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R:\Charter Schools\!!FEFP\FY 26 - FEFP Funding\!Payments 2025-26\2026-02\"/>
    </mc:Choice>
  </mc:AlternateContent>
  <xr:revisionPtr revIDLastSave="0" documentId="13_ncr:1_{2C78A935-8264-4ED4-9A89-46B9690B6C8C}" xr6:coauthVersionLast="47" xr6:coauthVersionMax="47" xr10:uidLastSave="{00000000-0000-0000-0000-000000000000}"/>
  <bookViews>
    <workbookView xWindow="-120" yWindow="-120" windowWidth="29040" windowHeight="15720" xr2:uid="{59C60F74-6336-4F91-B581-6AC1AE562698}"/>
  </bookViews>
  <sheets>
    <sheet name="Net Payment" sheetId="106" r:id="rId1"/>
    <sheet name="Annual Rev &amp; Fees" sheetId="54" r:id="rId2"/>
    <sheet name="Charter Schools" sheetId="55" r:id="rId3"/>
    <sheet name="Cumulative Payments" sheetId="57" state="hidden" r:id="rId4"/>
    <sheet name="Consolidated" sheetId="56" r:id="rId5"/>
    <sheet name="0040" sheetId="2" r:id="rId6"/>
    <sheet name="0571" sheetId="107" r:id="rId7"/>
    <sheet name="0100" sheetId="58" r:id="rId8"/>
    <sheet name="1461" sheetId="59" r:id="rId9"/>
    <sheet name="1571" sheetId="60" r:id="rId10"/>
    <sheet name="2521" sheetId="61" r:id="rId11"/>
    <sheet name="2531" sheetId="62" r:id="rId12"/>
    <sheet name="2791" sheetId="63" r:id="rId13"/>
    <sheet name="2801" sheetId="64" r:id="rId14"/>
    <sheet name="2911" sheetId="65" r:id="rId15"/>
    <sheet name="2941" sheetId="66" r:id="rId16"/>
    <sheet name="3083" sheetId="67" r:id="rId17"/>
    <sheet name="3345" sheetId="68" r:id="rId18"/>
    <sheet name="3362" sheetId="108" r:id="rId19"/>
    <sheet name="3381" sheetId="69" r:id="rId20"/>
    <sheet name="3382" sheetId="70" r:id="rId21"/>
    <sheet name="3391" sheetId="71" r:id="rId22"/>
    <sheet name="3394" sheetId="72" r:id="rId23"/>
    <sheet name="3395" sheetId="73" r:id="rId24"/>
    <sheet name="3396" sheetId="74" r:id="rId25"/>
    <sheet name="3398" sheetId="75" r:id="rId26"/>
    <sheet name="3400" sheetId="76" r:id="rId27"/>
    <sheet name="3401" sheetId="77" r:id="rId28"/>
    <sheet name="3413" sheetId="78" r:id="rId29"/>
    <sheet name="3421" sheetId="79" r:id="rId30"/>
    <sheet name="3431" sheetId="80" r:id="rId31"/>
    <sheet name="3441" sheetId="81" r:id="rId32"/>
    <sheet name="3924" sheetId="82" r:id="rId33"/>
    <sheet name="3941" sheetId="83" r:id="rId34"/>
    <sheet name="3961" sheetId="84" r:id="rId35"/>
    <sheet name="3971" sheetId="85" r:id="rId36"/>
    <sheet name="4001" sheetId="86" r:id="rId37"/>
    <sheet name="4002" sheetId="87" r:id="rId38"/>
    <sheet name="4012" sheetId="88" r:id="rId39"/>
    <sheet name="4013" sheetId="89" r:id="rId40"/>
    <sheet name="4020" sheetId="90" r:id="rId41"/>
    <sheet name="4030" sheetId="91" r:id="rId42"/>
    <sheet name="4031" sheetId="92" r:id="rId43"/>
    <sheet name="4041" sheetId="93" r:id="rId44"/>
    <sheet name="4050" sheetId="94" r:id="rId45"/>
    <sheet name="4051" sheetId="95" r:id="rId46"/>
    <sheet name="4061" sheetId="96" r:id="rId47"/>
    <sheet name="4080" sheetId="97" r:id="rId48"/>
    <sheet name="4081" sheetId="98" r:id="rId49"/>
    <sheet name="4090" sheetId="99" r:id="rId50"/>
    <sheet name="4091" sheetId="100" r:id="rId51"/>
    <sheet name="4100" sheetId="101" r:id="rId52"/>
    <sheet name="4102" sheetId="102" r:id="rId53"/>
    <sheet name="4103" sheetId="103" r:id="rId54"/>
    <sheet name="4111" sheetId="104" r:id="rId55"/>
    <sheet name="4131" sheetId="105" r:id="rId56"/>
  </sheets>
  <externalReferences>
    <externalReference r:id="rId57"/>
    <externalReference r:id="rId58"/>
  </externalReferences>
  <definedNames>
    <definedName name="_1" localSheetId="7">'0100'!$A$11</definedName>
    <definedName name="_1" localSheetId="6">'0571'!$A$11</definedName>
    <definedName name="_1" localSheetId="8">'1461'!$A$11</definedName>
    <definedName name="_1" localSheetId="9">'1571'!$A$11</definedName>
    <definedName name="_1" localSheetId="10">'2521'!$A$11</definedName>
    <definedName name="_1" localSheetId="11">'2531'!$A$11</definedName>
    <definedName name="_1" localSheetId="12">'2791'!$A$11</definedName>
    <definedName name="_1" localSheetId="13">'2801'!$A$11</definedName>
    <definedName name="_1" localSheetId="14">'2911'!$A$11</definedName>
    <definedName name="_1" localSheetId="15">'2941'!$A$11</definedName>
    <definedName name="_1" localSheetId="16">'3083'!$A$11</definedName>
    <definedName name="_1" localSheetId="17">'3345'!$A$11</definedName>
    <definedName name="_1" localSheetId="18">'3362'!$A$11</definedName>
    <definedName name="_1" localSheetId="19">'3381'!$A$11</definedName>
    <definedName name="_1" localSheetId="20">'3382'!$A$11</definedName>
    <definedName name="_1" localSheetId="21">'3391'!$A$11</definedName>
    <definedName name="_1" localSheetId="22">'3394'!$A$11</definedName>
    <definedName name="_1" localSheetId="23">'3395'!$A$11</definedName>
    <definedName name="_1" localSheetId="24">'3396'!$A$11</definedName>
    <definedName name="_1" localSheetId="25">'3398'!$A$11</definedName>
    <definedName name="_1" localSheetId="26">'3400'!$A$11</definedName>
    <definedName name="_1" localSheetId="27">'3401'!$A$11</definedName>
    <definedName name="_1" localSheetId="28">'3413'!$A$11</definedName>
    <definedName name="_1" localSheetId="29">'3421'!$A$11</definedName>
    <definedName name="_1" localSheetId="30">'3431'!$A$11</definedName>
    <definedName name="_1" localSheetId="31">'3441'!$A$11</definedName>
    <definedName name="_1" localSheetId="32">'3924'!$A$11</definedName>
    <definedName name="_1" localSheetId="33">'3941'!$A$11</definedName>
    <definedName name="_1" localSheetId="34">'3961'!$A$11</definedName>
    <definedName name="_1" localSheetId="35">'3971'!$A$11</definedName>
    <definedName name="_1" localSheetId="36">'4001'!$A$11</definedName>
    <definedName name="_1" localSheetId="37">'4002'!$A$11</definedName>
    <definedName name="_1" localSheetId="38">'4012'!$A$11</definedName>
    <definedName name="_1" localSheetId="39">'4013'!$A$11</definedName>
    <definedName name="_1" localSheetId="40">'4020'!$A$11</definedName>
    <definedName name="_1" localSheetId="41">'4030'!$A$11</definedName>
    <definedName name="_1" localSheetId="42">'4031'!$A$11</definedName>
    <definedName name="_1" localSheetId="43">'4041'!$A$11</definedName>
    <definedName name="_1" localSheetId="44">'4050'!$A$11</definedName>
    <definedName name="_1" localSheetId="45">'4051'!$A$11</definedName>
    <definedName name="_1" localSheetId="46">'4061'!$A$11</definedName>
    <definedName name="_1" localSheetId="47">'4080'!$A$11</definedName>
    <definedName name="_1" localSheetId="48">'4081'!$A$11</definedName>
    <definedName name="_1" localSheetId="49">'4090'!$A$11</definedName>
    <definedName name="_1" localSheetId="50">'4091'!$A$11</definedName>
    <definedName name="_1" localSheetId="51">'4100'!$A$11</definedName>
    <definedName name="_1" localSheetId="52">'4102'!$A$11</definedName>
    <definedName name="_1" localSheetId="53">'4103'!$A$11</definedName>
    <definedName name="_1" localSheetId="54">'4111'!$A$11</definedName>
    <definedName name="_1" localSheetId="55">'4131'!$A$11</definedName>
    <definedName name="_1">'0040'!$A$11</definedName>
    <definedName name="_1.__2009_10_FEFP_State_and_Local_Funding" localSheetId="7">'0100'!$A$5</definedName>
    <definedName name="_1.__2009_10_FEFP_State_and_Local_Funding" localSheetId="6">'0571'!$A$5</definedName>
    <definedName name="_1.__2009_10_FEFP_State_and_Local_Funding" localSheetId="8">'1461'!$A$5</definedName>
    <definedName name="_1.__2009_10_FEFP_State_and_Local_Funding" localSheetId="9">'1571'!$A$5</definedName>
    <definedName name="_1.__2009_10_FEFP_State_and_Local_Funding" localSheetId="10">'2521'!$A$5</definedName>
    <definedName name="_1.__2009_10_FEFP_State_and_Local_Funding" localSheetId="11">'2531'!$A$5</definedName>
    <definedName name="_1.__2009_10_FEFP_State_and_Local_Funding" localSheetId="12">'2791'!$A$5</definedName>
    <definedName name="_1.__2009_10_FEFP_State_and_Local_Funding" localSheetId="13">'2801'!$A$5</definedName>
    <definedName name="_1.__2009_10_FEFP_State_and_Local_Funding" localSheetId="14">'2911'!$A$5</definedName>
    <definedName name="_1.__2009_10_FEFP_State_and_Local_Funding" localSheetId="15">'2941'!$A$5</definedName>
    <definedName name="_1.__2009_10_FEFP_State_and_Local_Funding" localSheetId="16">'3083'!$A$5</definedName>
    <definedName name="_1.__2009_10_FEFP_State_and_Local_Funding" localSheetId="17">'3345'!$A$5</definedName>
    <definedName name="_1.__2009_10_FEFP_State_and_Local_Funding" localSheetId="18">'3362'!$A$5</definedName>
    <definedName name="_1.__2009_10_FEFP_State_and_Local_Funding" localSheetId="19">'3381'!$A$5</definedName>
    <definedName name="_1.__2009_10_FEFP_State_and_Local_Funding" localSheetId="20">'3382'!$A$5</definedName>
    <definedName name="_1.__2009_10_FEFP_State_and_Local_Funding" localSheetId="21">'3391'!$A$5</definedName>
    <definedName name="_1.__2009_10_FEFP_State_and_Local_Funding" localSheetId="22">'3394'!$A$5</definedName>
    <definedName name="_1.__2009_10_FEFP_State_and_Local_Funding" localSheetId="23">'3395'!$A$5</definedName>
    <definedName name="_1.__2009_10_FEFP_State_and_Local_Funding" localSheetId="24">'3396'!$A$5</definedName>
    <definedName name="_1.__2009_10_FEFP_State_and_Local_Funding" localSheetId="25">'3398'!$A$5</definedName>
    <definedName name="_1.__2009_10_FEFP_State_and_Local_Funding" localSheetId="26">'3400'!$A$5</definedName>
    <definedName name="_1.__2009_10_FEFP_State_and_Local_Funding" localSheetId="27">'3401'!$A$5</definedName>
    <definedName name="_1.__2009_10_FEFP_State_and_Local_Funding" localSheetId="28">'3413'!$A$5</definedName>
    <definedName name="_1.__2009_10_FEFP_State_and_Local_Funding" localSheetId="29">'3421'!$A$5</definedName>
    <definedName name="_1.__2009_10_FEFP_State_and_Local_Funding" localSheetId="30">'3431'!$A$5</definedName>
    <definedName name="_1.__2009_10_FEFP_State_and_Local_Funding" localSheetId="31">'3441'!$A$5</definedName>
    <definedName name="_1.__2009_10_FEFP_State_and_Local_Funding" localSheetId="32">'3924'!$A$5</definedName>
    <definedName name="_1.__2009_10_FEFP_State_and_Local_Funding" localSheetId="33">'3941'!$A$5</definedName>
    <definedName name="_1.__2009_10_FEFP_State_and_Local_Funding" localSheetId="34">'3961'!$A$5</definedName>
    <definedName name="_1.__2009_10_FEFP_State_and_Local_Funding" localSheetId="35">'3971'!$A$5</definedName>
    <definedName name="_1.__2009_10_FEFP_State_and_Local_Funding" localSheetId="36">'4001'!$A$5</definedName>
    <definedName name="_1.__2009_10_FEFP_State_and_Local_Funding" localSheetId="37">'4002'!$A$5</definedName>
    <definedName name="_1.__2009_10_FEFP_State_and_Local_Funding" localSheetId="38">'4012'!$A$5</definedName>
    <definedName name="_1.__2009_10_FEFP_State_and_Local_Funding" localSheetId="39">'4013'!$A$5</definedName>
    <definedName name="_1.__2009_10_FEFP_State_and_Local_Funding" localSheetId="40">'4020'!$A$5</definedName>
    <definedName name="_1.__2009_10_FEFP_State_and_Local_Funding" localSheetId="41">'4030'!$A$5</definedName>
    <definedName name="_1.__2009_10_FEFP_State_and_Local_Funding" localSheetId="42">'4031'!$A$5</definedName>
    <definedName name="_1.__2009_10_FEFP_State_and_Local_Funding" localSheetId="43">'4041'!$A$5</definedName>
    <definedName name="_1.__2009_10_FEFP_State_and_Local_Funding" localSheetId="44">'4050'!$A$5</definedName>
    <definedName name="_1.__2009_10_FEFP_State_and_Local_Funding" localSheetId="45">'4051'!$A$5</definedName>
    <definedName name="_1.__2009_10_FEFP_State_and_Local_Funding" localSheetId="46">'4061'!$A$5</definedName>
    <definedName name="_1.__2009_10_FEFP_State_and_Local_Funding" localSheetId="47">'4080'!$A$5</definedName>
    <definedName name="_1.__2009_10_FEFP_State_and_Local_Funding" localSheetId="48">'4081'!$A$5</definedName>
    <definedName name="_1.__2009_10_FEFP_State_and_Local_Funding" localSheetId="49">'4090'!$A$5</definedName>
    <definedName name="_1.__2009_10_FEFP_State_and_Local_Funding" localSheetId="50">'4091'!$A$5</definedName>
    <definedName name="_1.__2009_10_FEFP_State_and_Local_Funding" localSheetId="51">'4100'!$A$5</definedName>
    <definedName name="_1.__2009_10_FEFP_State_and_Local_Funding" localSheetId="52">'4102'!$A$5</definedName>
    <definedName name="_1.__2009_10_FEFP_State_and_Local_Funding" localSheetId="53">'4103'!$A$5</definedName>
    <definedName name="_1.__2009_10_FEFP_State_and_Local_Funding" localSheetId="54">'4111'!$A$5</definedName>
    <definedName name="_1.__2009_10_FEFP_State_and_Local_Funding" localSheetId="55">'4131'!$A$5</definedName>
    <definedName name="_1.__2009_10_FEFP_State_and_Local_Funding">'0040'!$A$5</definedName>
    <definedName name="_1.__2010_11_FEFP_State_and_Local_Funding" localSheetId="7">'0100'!$A$5</definedName>
    <definedName name="_1.__2010_11_FEFP_State_and_Local_Funding" localSheetId="6">'0571'!$A$5</definedName>
    <definedName name="_1.__2010_11_FEFP_State_and_Local_Funding" localSheetId="8">'1461'!$A$5</definedName>
    <definedName name="_1.__2010_11_FEFP_State_and_Local_Funding" localSheetId="9">'1571'!$A$5</definedName>
    <definedName name="_1.__2010_11_FEFP_State_and_Local_Funding" localSheetId="10">'2521'!$A$5</definedName>
    <definedName name="_1.__2010_11_FEFP_State_and_Local_Funding" localSheetId="11">'2531'!$A$5</definedName>
    <definedName name="_1.__2010_11_FEFP_State_and_Local_Funding" localSheetId="12">'2791'!$A$5</definedName>
    <definedName name="_1.__2010_11_FEFP_State_and_Local_Funding" localSheetId="13">'2801'!$A$5</definedName>
    <definedName name="_1.__2010_11_FEFP_State_and_Local_Funding" localSheetId="14">'2911'!$A$5</definedName>
    <definedName name="_1.__2010_11_FEFP_State_and_Local_Funding" localSheetId="15">'2941'!$A$5</definedName>
    <definedName name="_1.__2010_11_FEFP_State_and_Local_Funding" localSheetId="16">'3083'!$A$5</definedName>
    <definedName name="_1.__2010_11_FEFP_State_and_Local_Funding" localSheetId="17">'3345'!$A$5</definedName>
    <definedName name="_1.__2010_11_FEFP_State_and_Local_Funding" localSheetId="18">'3362'!$A$5</definedName>
    <definedName name="_1.__2010_11_FEFP_State_and_Local_Funding" localSheetId="19">'3381'!$A$5</definedName>
    <definedName name="_1.__2010_11_FEFP_State_and_Local_Funding" localSheetId="20">'3382'!$A$5</definedName>
    <definedName name="_1.__2010_11_FEFP_State_and_Local_Funding" localSheetId="21">'3391'!$A$5</definedName>
    <definedName name="_1.__2010_11_FEFP_State_and_Local_Funding" localSheetId="22">'3394'!$A$5</definedName>
    <definedName name="_1.__2010_11_FEFP_State_and_Local_Funding" localSheetId="23">'3395'!$A$5</definedName>
    <definedName name="_1.__2010_11_FEFP_State_and_Local_Funding" localSheetId="24">'3396'!$A$5</definedName>
    <definedName name="_1.__2010_11_FEFP_State_and_Local_Funding" localSheetId="25">'3398'!$A$5</definedName>
    <definedName name="_1.__2010_11_FEFP_State_and_Local_Funding" localSheetId="26">'3400'!$A$5</definedName>
    <definedName name="_1.__2010_11_FEFP_State_and_Local_Funding" localSheetId="27">'3401'!$A$5</definedName>
    <definedName name="_1.__2010_11_FEFP_State_and_Local_Funding" localSheetId="28">'3413'!$A$5</definedName>
    <definedName name="_1.__2010_11_FEFP_State_and_Local_Funding" localSheetId="29">'3421'!$A$5</definedName>
    <definedName name="_1.__2010_11_FEFP_State_and_Local_Funding" localSheetId="30">'3431'!$A$5</definedName>
    <definedName name="_1.__2010_11_FEFP_State_and_Local_Funding" localSheetId="31">'3441'!$A$5</definedName>
    <definedName name="_1.__2010_11_FEFP_State_and_Local_Funding" localSheetId="32">'3924'!$A$5</definedName>
    <definedName name="_1.__2010_11_FEFP_State_and_Local_Funding" localSheetId="33">'3941'!$A$5</definedName>
    <definedName name="_1.__2010_11_FEFP_State_and_Local_Funding" localSheetId="34">'3961'!$A$5</definedName>
    <definedName name="_1.__2010_11_FEFP_State_and_Local_Funding" localSheetId="35">'3971'!$A$5</definedName>
    <definedName name="_1.__2010_11_FEFP_State_and_Local_Funding" localSheetId="36">'4001'!$A$5</definedName>
    <definedName name="_1.__2010_11_FEFP_State_and_Local_Funding" localSheetId="37">'4002'!$A$5</definedName>
    <definedName name="_1.__2010_11_FEFP_State_and_Local_Funding" localSheetId="38">'4012'!$A$5</definedName>
    <definedName name="_1.__2010_11_FEFP_State_and_Local_Funding" localSheetId="39">'4013'!$A$5</definedName>
    <definedName name="_1.__2010_11_FEFP_State_and_Local_Funding" localSheetId="40">'4020'!$A$5</definedName>
    <definedName name="_1.__2010_11_FEFP_State_and_Local_Funding" localSheetId="41">'4030'!$A$5</definedName>
    <definedName name="_1.__2010_11_FEFP_State_and_Local_Funding" localSheetId="42">'4031'!$A$5</definedName>
    <definedName name="_1.__2010_11_FEFP_State_and_Local_Funding" localSheetId="43">'4041'!$A$5</definedName>
    <definedName name="_1.__2010_11_FEFP_State_and_Local_Funding" localSheetId="44">'4050'!$A$5</definedName>
    <definedName name="_1.__2010_11_FEFP_State_and_Local_Funding" localSheetId="45">'4051'!$A$5</definedName>
    <definedName name="_1.__2010_11_FEFP_State_and_Local_Funding" localSheetId="46">'4061'!$A$5</definedName>
    <definedName name="_1.__2010_11_FEFP_State_and_Local_Funding" localSheetId="47">'4080'!$A$5</definedName>
    <definedName name="_1.__2010_11_FEFP_State_and_Local_Funding" localSheetId="48">'4081'!$A$5</definedName>
    <definedName name="_1.__2010_11_FEFP_State_and_Local_Funding" localSheetId="49">'4090'!$A$5</definedName>
    <definedName name="_1.__2010_11_FEFP_State_and_Local_Funding" localSheetId="50">'4091'!$A$5</definedName>
    <definedName name="_1.__2010_11_FEFP_State_and_Local_Funding" localSheetId="51">'4100'!$A$5</definedName>
    <definedName name="_1.__2010_11_FEFP_State_and_Local_Funding" localSheetId="52">'4102'!$A$5</definedName>
    <definedName name="_1.__2010_11_FEFP_State_and_Local_Funding" localSheetId="53">'4103'!$A$5</definedName>
    <definedName name="_1.__2010_11_FEFP_State_and_Local_Funding" localSheetId="54">'4111'!$A$5</definedName>
    <definedName name="_1.__2010_11_FEFP_State_and_Local_Funding" localSheetId="55">'4131'!$A$5</definedName>
    <definedName name="_1.__2010_11_FEFP_State_and_Local_Funding">'0040'!$A$5</definedName>
    <definedName name="_101_Basic_K_3" localSheetId="7">'0100'!$A$12</definedName>
    <definedName name="_101_Basic_K_3" localSheetId="6">'0571'!$A$12</definedName>
    <definedName name="_101_Basic_K_3" localSheetId="8">'1461'!$A$12</definedName>
    <definedName name="_101_Basic_K_3" localSheetId="9">'1571'!$A$12</definedName>
    <definedName name="_101_Basic_K_3" localSheetId="10">'2521'!$A$12</definedName>
    <definedName name="_101_Basic_K_3" localSheetId="11">'2531'!$A$12</definedName>
    <definedName name="_101_Basic_K_3" localSheetId="12">'2791'!$A$12</definedName>
    <definedName name="_101_Basic_K_3" localSheetId="13">'2801'!$A$12</definedName>
    <definedName name="_101_Basic_K_3" localSheetId="14">'2911'!$A$12</definedName>
    <definedName name="_101_Basic_K_3" localSheetId="15">'2941'!$A$12</definedName>
    <definedName name="_101_Basic_K_3" localSheetId="16">'3083'!$A$12</definedName>
    <definedName name="_101_Basic_K_3" localSheetId="17">'3345'!$A$12</definedName>
    <definedName name="_101_Basic_K_3" localSheetId="18">'3362'!$A$12</definedName>
    <definedName name="_101_Basic_K_3" localSheetId="19">'3381'!$A$12</definedName>
    <definedName name="_101_Basic_K_3" localSheetId="20">'3382'!$A$12</definedName>
    <definedName name="_101_Basic_K_3" localSheetId="21">'3391'!$A$12</definedName>
    <definedName name="_101_Basic_K_3" localSheetId="22">'3394'!$A$12</definedName>
    <definedName name="_101_Basic_K_3" localSheetId="23">'3395'!$A$12</definedName>
    <definedName name="_101_Basic_K_3" localSheetId="24">'3396'!$A$12</definedName>
    <definedName name="_101_Basic_K_3" localSheetId="25">'3398'!$A$12</definedName>
    <definedName name="_101_Basic_K_3" localSheetId="26">'3400'!$A$12</definedName>
    <definedName name="_101_Basic_K_3" localSheetId="27">'3401'!$A$12</definedName>
    <definedName name="_101_Basic_K_3" localSheetId="28">'3413'!$A$12</definedName>
    <definedName name="_101_Basic_K_3" localSheetId="29">'3421'!$A$12</definedName>
    <definedName name="_101_Basic_K_3" localSheetId="30">'3431'!$A$12</definedName>
    <definedName name="_101_Basic_K_3" localSheetId="31">'3441'!$A$12</definedName>
    <definedName name="_101_Basic_K_3" localSheetId="32">'3924'!$A$12</definedName>
    <definedName name="_101_Basic_K_3" localSheetId="33">'3941'!$A$12</definedName>
    <definedName name="_101_Basic_K_3" localSheetId="34">'3961'!$A$12</definedName>
    <definedName name="_101_Basic_K_3" localSheetId="35">'3971'!$A$12</definedName>
    <definedName name="_101_Basic_K_3" localSheetId="36">'4001'!$A$12</definedName>
    <definedName name="_101_Basic_K_3" localSheetId="37">'4002'!$A$12</definedName>
    <definedName name="_101_Basic_K_3" localSheetId="38">'4012'!$A$12</definedName>
    <definedName name="_101_Basic_K_3" localSheetId="39">'4013'!$A$12</definedName>
    <definedName name="_101_Basic_K_3" localSheetId="40">'4020'!$A$12</definedName>
    <definedName name="_101_Basic_K_3" localSheetId="41">'4030'!$A$12</definedName>
    <definedName name="_101_Basic_K_3" localSheetId="42">'4031'!$A$12</definedName>
    <definedName name="_101_Basic_K_3" localSheetId="43">'4041'!$A$12</definedName>
    <definedName name="_101_Basic_K_3" localSheetId="44">'4050'!$A$12</definedName>
    <definedName name="_101_Basic_K_3" localSheetId="45">'4051'!$A$12</definedName>
    <definedName name="_101_Basic_K_3" localSheetId="46">'4061'!$A$12</definedName>
    <definedName name="_101_Basic_K_3" localSheetId="47">'4080'!$A$12</definedName>
    <definedName name="_101_Basic_K_3" localSheetId="48">'4081'!$A$12</definedName>
    <definedName name="_101_Basic_K_3" localSheetId="49">'4090'!$A$12</definedName>
    <definedName name="_101_Basic_K_3" localSheetId="50">'4091'!$A$12</definedName>
    <definedName name="_101_Basic_K_3" localSheetId="51">'4100'!$A$12</definedName>
    <definedName name="_101_Basic_K_3" localSheetId="52">'4102'!$A$12</definedName>
    <definedName name="_101_Basic_K_3" localSheetId="53">'4103'!$A$12</definedName>
    <definedName name="_101_Basic_K_3" localSheetId="54">'4111'!$A$12</definedName>
    <definedName name="_101_Basic_K_3" localSheetId="55">'4131'!$A$12</definedName>
    <definedName name="_101_Basic_K_3">'0040'!$A$12</definedName>
    <definedName name="_102_Basic_4_8" localSheetId="7">'0100'!$A$14</definedName>
    <definedName name="_102_Basic_4_8" localSheetId="6">'0571'!$A$14</definedName>
    <definedName name="_102_Basic_4_8" localSheetId="8">'1461'!$A$14</definedName>
    <definedName name="_102_Basic_4_8" localSheetId="9">'1571'!$A$14</definedName>
    <definedName name="_102_Basic_4_8" localSheetId="10">'2521'!$A$14</definedName>
    <definedName name="_102_Basic_4_8" localSheetId="11">'2531'!$A$14</definedName>
    <definedName name="_102_Basic_4_8" localSheetId="12">'2791'!$A$14</definedName>
    <definedName name="_102_Basic_4_8" localSheetId="13">'2801'!$A$14</definedName>
    <definedName name="_102_Basic_4_8" localSheetId="14">'2911'!$A$14</definedName>
    <definedName name="_102_Basic_4_8" localSheetId="15">'2941'!$A$14</definedName>
    <definedName name="_102_Basic_4_8" localSheetId="16">'3083'!$A$14</definedName>
    <definedName name="_102_Basic_4_8" localSheetId="17">'3345'!$A$14</definedName>
    <definedName name="_102_Basic_4_8" localSheetId="18">'3362'!$A$14</definedName>
    <definedName name="_102_Basic_4_8" localSheetId="19">'3381'!$A$14</definedName>
    <definedName name="_102_Basic_4_8" localSheetId="20">'3382'!$A$14</definedName>
    <definedName name="_102_Basic_4_8" localSheetId="21">'3391'!$A$14</definedName>
    <definedName name="_102_Basic_4_8" localSheetId="22">'3394'!$A$14</definedName>
    <definedName name="_102_Basic_4_8" localSheetId="23">'3395'!$A$14</definedName>
    <definedName name="_102_Basic_4_8" localSheetId="24">'3396'!$A$14</definedName>
    <definedName name="_102_Basic_4_8" localSheetId="25">'3398'!$A$14</definedName>
    <definedName name="_102_Basic_4_8" localSheetId="26">'3400'!$A$14</definedName>
    <definedName name="_102_Basic_4_8" localSheetId="27">'3401'!$A$14</definedName>
    <definedName name="_102_Basic_4_8" localSheetId="28">'3413'!$A$14</definedName>
    <definedName name="_102_Basic_4_8" localSheetId="29">'3421'!$A$14</definedName>
    <definedName name="_102_Basic_4_8" localSheetId="30">'3431'!$A$14</definedName>
    <definedName name="_102_Basic_4_8" localSheetId="31">'3441'!$A$14</definedName>
    <definedName name="_102_Basic_4_8" localSheetId="32">'3924'!$A$14</definedName>
    <definedName name="_102_Basic_4_8" localSheetId="33">'3941'!$A$14</definedName>
    <definedName name="_102_Basic_4_8" localSheetId="34">'3961'!$A$14</definedName>
    <definedName name="_102_Basic_4_8" localSheetId="35">'3971'!$A$14</definedName>
    <definedName name="_102_Basic_4_8" localSheetId="36">'4001'!$A$14</definedName>
    <definedName name="_102_Basic_4_8" localSheetId="37">'4002'!$A$14</definedName>
    <definedName name="_102_Basic_4_8" localSheetId="38">'4012'!$A$14</definedName>
    <definedName name="_102_Basic_4_8" localSheetId="39">'4013'!$A$14</definedName>
    <definedName name="_102_Basic_4_8" localSheetId="40">'4020'!$A$14</definedName>
    <definedName name="_102_Basic_4_8" localSheetId="41">'4030'!$A$14</definedName>
    <definedName name="_102_Basic_4_8" localSheetId="42">'4031'!$A$14</definedName>
    <definedName name="_102_Basic_4_8" localSheetId="43">'4041'!$A$14</definedName>
    <definedName name="_102_Basic_4_8" localSheetId="44">'4050'!$A$14</definedName>
    <definedName name="_102_Basic_4_8" localSheetId="45">'4051'!$A$14</definedName>
    <definedName name="_102_Basic_4_8" localSheetId="46">'4061'!$A$14</definedName>
    <definedName name="_102_Basic_4_8" localSheetId="47">'4080'!$A$14</definedName>
    <definedName name="_102_Basic_4_8" localSheetId="48">'4081'!$A$14</definedName>
    <definedName name="_102_Basic_4_8" localSheetId="49">'4090'!$A$14</definedName>
    <definedName name="_102_Basic_4_8" localSheetId="50">'4091'!$A$14</definedName>
    <definedName name="_102_Basic_4_8" localSheetId="51">'4100'!$A$14</definedName>
    <definedName name="_102_Basic_4_8" localSheetId="52">'4102'!$A$14</definedName>
    <definedName name="_102_Basic_4_8" localSheetId="53">'4103'!$A$14</definedName>
    <definedName name="_102_Basic_4_8" localSheetId="54">'4111'!$A$14</definedName>
    <definedName name="_102_Basic_4_8" localSheetId="55">'4131'!$A$14</definedName>
    <definedName name="_102_Basic_4_8">'0040'!$A$14</definedName>
    <definedName name="_103_Basic_9_12" localSheetId="7">'0100'!$A$16</definedName>
    <definedName name="_103_Basic_9_12" localSheetId="6">'0571'!$A$16</definedName>
    <definedName name="_103_Basic_9_12" localSheetId="8">'1461'!$A$16</definedName>
    <definedName name="_103_Basic_9_12" localSheetId="9">'1571'!$A$16</definedName>
    <definedName name="_103_Basic_9_12" localSheetId="10">'2521'!$A$16</definedName>
    <definedName name="_103_Basic_9_12" localSheetId="11">'2531'!$A$16</definedName>
    <definedName name="_103_Basic_9_12" localSheetId="12">'2791'!$A$16</definedName>
    <definedName name="_103_Basic_9_12" localSheetId="13">'2801'!$A$16</definedName>
    <definedName name="_103_Basic_9_12" localSheetId="14">'2911'!$A$16</definedName>
    <definedName name="_103_Basic_9_12" localSheetId="15">'2941'!$A$16</definedName>
    <definedName name="_103_Basic_9_12" localSheetId="16">'3083'!$A$16</definedName>
    <definedName name="_103_Basic_9_12" localSheetId="17">'3345'!$A$16</definedName>
    <definedName name="_103_Basic_9_12" localSheetId="18">'3362'!$A$16</definedName>
    <definedName name="_103_Basic_9_12" localSheetId="19">'3381'!$A$16</definedName>
    <definedName name="_103_Basic_9_12" localSheetId="20">'3382'!$A$16</definedName>
    <definedName name="_103_Basic_9_12" localSheetId="21">'3391'!$A$16</definedName>
    <definedName name="_103_Basic_9_12" localSheetId="22">'3394'!$A$16</definedName>
    <definedName name="_103_Basic_9_12" localSheetId="23">'3395'!$A$16</definedName>
    <definedName name="_103_Basic_9_12" localSheetId="24">'3396'!$A$16</definedName>
    <definedName name="_103_Basic_9_12" localSheetId="25">'3398'!$A$16</definedName>
    <definedName name="_103_Basic_9_12" localSheetId="26">'3400'!$A$16</definedName>
    <definedName name="_103_Basic_9_12" localSheetId="27">'3401'!$A$16</definedName>
    <definedName name="_103_Basic_9_12" localSheetId="28">'3413'!$A$16</definedName>
    <definedName name="_103_Basic_9_12" localSheetId="29">'3421'!$A$16</definedName>
    <definedName name="_103_Basic_9_12" localSheetId="30">'3431'!$A$16</definedName>
    <definedName name="_103_Basic_9_12" localSheetId="31">'3441'!$A$16</definedName>
    <definedName name="_103_Basic_9_12" localSheetId="32">'3924'!$A$16</definedName>
    <definedName name="_103_Basic_9_12" localSheetId="33">'3941'!$A$16</definedName>
    <definedName name="_103_Basic_9_12" localSheetId="34">'3961'!$A$16</definedName>
    <definedName name="_103_Basic_9_12" localSheetId="35">'3971'!$A$16</definedName>
    <definedName name="_103_Basic_9_12" localSheetId="36">'4001'!$A$16</definedName>
    <definedName name="_103_Basic_9_12" localSheetId="37">'4002'!$A$16</definedName>
    <definedName name="_103_Basic_9_12" localSheetId="38">'4012'!$A$16</definedName>
    <definedName name="_103_Basic_9_12" localSheetId="39">'4013'!$A$16</definedName>
    <definedName name="_103_Basic_9_12" localSheetId="40">'4020'!$A$16</definedName>
    <definedName name="_103_Basic_9_12" localSheetId="41">'4030'!$A$16</definedName>
    <definedName name="_103_Basic_9_12" localSheetId="42">'4031'!$A$16</definedName>
    <definedName name="_103_Basic_9_12" localSheetId="43">'4041'!$A$16</definedName>
    <definedName name="_103_Basic_9_12" localSheetId="44">'4050'!$A$16</definedName>
    <definedName name="_103_Basic_9_12" localSheetId="45">'4051'!$A$16</definedName>
    <definedName name="_103_Basic_9_12" localSheetId="46">'4061'!$A$16</definedName>
    <definedName name="_103_Basic_9_12" localSheetId="47">'4080'!$A$16</definedName>
    <definedName name="_103_Basic_9_12" localSheetId="48">'4081'!$A$16</definedName>
    <definedName name="_103_Basic_9_12" localSheetId="49">'4090'!$A$16</definedName>
    <definedName name="_103_Basic_9_12" localSheetId="50">'4091'!$A$16</definedName>
    <definedName name="_103_Basic_9_12" localSheetId="51">'4100'!$A$16</definedName>
    <definedName name="_103_Basic_9_12" localSheetId="52">'4102'!$A$16</definedName>
    <definedName name="_103_Basic_9_12" localSheetId="53">'4103'!$A$16</definedName>
    <definedName name="_103_Basic_9_12" localSheetId="54">'4111'!$A$16</definedName>
    <definedName name="_103_Basic_9_12" localSheetId="55">'4131'!$A$16</definedName>
    <definedName name="_103_Basic_9_12">'0040'!$A$16</definedName>
    <definedName name="_111_Basic_K_3_with_ESE_Services" localSheetId="7">'0100'!$A$13</definedName>
    <definedName name="_111_Basic_K_3_with_ESE_Services" localSheetId="6">'0571'!$A$13</definedName>
    <definedName name="_111_Basic_K_3_with_ESE_Services" localSheetId="8">'1461'!$A$13</definedName>
    <definedName name="_111_Basic_K_3_with_ESE_Services" localSheetId="9">'1571'!$A$13</definedName>
    <definedName name="_111_Basic_K_3_with_ESE_Services" localSheetId="10">'2521'!$A$13</definedName>
    <definedName name="_111_Basic_K_3_with_ESE_Services" localSheetId="11">'2531'!$A$13</definedName>
    <definedName name="_111_Basic_K_3_with_ESE_Services" localSheetId="12">'2791'!$A$13</definedName>
    <definedName name="_111_Basic_K_3_with_ESE_Services" localSheetId="13">'2801'!$A$13</definedName>
    <definedName name="_111_Basic_K_3_with_ESE_Services" localSheetId="14">'2911'!$A$13</definedName>
    <definedName name="_111_Basic_K_3_with_ESE_Services" localSheetId="15">'2941'!$A$13</definedName>
    <definedName name="_111_Basic_K_3_with_ESE_Services" localSheetId="16">'3083'!$A$13</definedName>
    <definedName name="_111_Basic_K_3_with_ESE_Services" localSheetId="17">'3345'!$A$13</definedName>
    <definedName name="_111_Basic_K_3_with_ESE_Services" localSheetId="18">'3362'!$A$13</definedName>
    <definedName name="_111_Basic_K_3_with_ESE_Services" localSheetId="19">'3381'!$A$13</definedName>
    <definedName name="_111_Basic_K_3_with_ESE_Services" localSheetId="20">'3382'!$A$13</definedName>
    <definedName name="_111_Basic_K_3_with_ESE_Services" localSheetId="21">'3391'!$A$13</definedName>
    <definedName name="_111_Basic_K_3_with_ESE_Services" localSheetId="22">'3394'!$A$13</definedName>
    <definedName name="_111_Basic_K_3_with_ESE_Services" localSheetId="23">'3395'!$A$13</definedName>
    <definedName name="_111_Basic_K_3_with_ESE_Services" localSheetId="24">'3396'!$A$13</definedName>
    <definedName name="_111_Basic_K_3_with_ESE_Services" localSheetId="25">'3398'!$A$13</definedName>
    <definedName name="_111_Basic_K_3_with_ESE_Services" localSheetId="26">'3400'!$A$13</definedName>
    <definedName name="_111_Basic_K_3_with_ESE_Services" localSheetId="27">'3401'!$A$13</definedName>
    <definedName name="_111_Basic_K_3_with_ESE_Services" localSheetId="28">'3413'!$A$13</definedName>
    <definedName name="_111_Basic_K_3_with_ESE_Services" localSheetId="29">'3421'!$A$13</definedName>
    <definedName name="_111_Basic_K_3_with_ESE_Services" localSheetId="30">'3431'!$A$13</definedName>
    <definedName name="_111_Basic_K_3_with_ESE_Services" localSheetId="31">'3441'!$A$13</definedName>
    <definedName name="_111_Basic_K_3_with_ESE_Services" localSheetId="32">'3924'!$A$13</definedName>
    <definedName name="_111_Basic_K_3_with_ESE_Services" localSheetId="33">'3941'!$A$13</definedName>
    <definedName name="_111_Basic_K_3_with_ESE_Services" localSheetId="34">'3961'!$A$13</definedName>
    <definedName name="_111_Basic_K_3_with_ESE_Services" localSheetId="35">'3971'!$A$13</definedName>
    <definedName name="_111_Basic_K_3_with_ESE_Services" localSheetId="36">'4001'!$A$13</definedName>
    <definedName name="_111_Basic_K_3_with_ESE_Services" localSheetId="37">'4002'!$A$13</definedName>
    <definedName name="_111_Basic_K_3_with_ESE_Services" localSheetId="38">'4012'!$A$13</definedName>
    <definedName name="_111_Basic_K_3_with_ESE_Services" localSheetId="39">'4013'!$A$13</definedName>
    <definedName name="_111_Basic_K_3_with_ESE_Services" localSheetId="40">'4020'!$A$13</definedName>
    <definedName name="_111_Basic_K_3_with_ESE_Services" localSheetId="41">'4030'!$A$13</definedName>
    <definedName name="_111_Basic_K_3_with_ESE_Services" localSheetId="42">'4031'!$A$13</definedName>
    <definedName name="_111_Basic_K_3_with_ESE_Services" localSheetId="43">'4041'!$A$13</definedName>
    <definedName name="_111_Basic_K_3_with_ESE_Services" localSheetId="44">'4050'!$A$13</definedName>
    <definedName name="_111_Basic_K_3_with_ESE_Services" localSheetId="45">'4051'!$A$13</definedName>
    <definedName name="_111_Basic_K_3_with_ESE_Services" localSheetId="46">'4061'!$A$13</definedName>
    <definedName name="_111_Basic_K_3_with_ESE_Services" localSheetId="47">'4080'!$A$13</definedName>
    <definedName name="_111_Basic_K_3_with_ESE_Services" localSheetId="48">'4081'!$A$13</definedName>
    <definedName name="_111_Basic_K_3_with_ESE_Services" localSheetId="49">'4090'!$A$13</definedName>
    <definedName name="_111_Basic_K_3_with_ESE_Services" localSheetId="50">'4091'!$A$13</definedName>
    <definedName name="_111_Basic_K_3_with_ESE_Services" localSheetId="51">'4100'!$A$13</definedName>
    <definedName name="_111_Basic_K_3_with_ESE_Services" localSheetId="52">'4102'!$A$13</definedName>
    <definedName name="_111_Basic_K_3_with_ESE_Services" localSheetId="53">'4103'!$A$13</definedName>
    <definedName name="_111_Basic_K_3_with_ESE_Services" localSheetId="54">'4111'!$A$13</definedName>
    <definedName name="_111_Basic_K_3_with_ESE_Services" localSheetId="55">'4131'!$A$13</definedName>
    <definedName name="_111_Basic_K_3_with_ESE_Services">'0040'!$A$13</definedName>
    <definedName name="_112_Basic_4_8_with_ESE_Services" localSheetId="7">'0100'!$A$15</definedName>
    <definedName name="_112_Basic_4_8_with_ESE_Services" localSheetId="6">'0571'!$A$15</definedName>
    <definedName name="_112_Basic_4_8_with_ESE_Services" localSheetId="8">'1461'!$A$15</definedName>
    <definedName name="_112_Basic_4_8_with_ESE_Services" localSheetId="9">'1571'!$A$15</definedName>
    <definedName name="_112_Basic_4_8_with_ESE_Services" localSheetId="10">'2521'!$A$15</definedName>
    <definedName name="_112_Basic_4_8_with_ESE_Services" localSheetId="11">'2531'!$A$15</definedName>
    <definedName name="_112_Basic_4_8_with_ESE_Services" localSheetId="12">'2791'!$A$15</definedName>
    <definedName name="_112_Basic_4_8_with_ESE_Services" localSheetId="13">'2801'!$A$15</definedName>
    <definedName name="_112_Basic_4_8_with_ESE_Services" localSheetId="14">'2911'!$A$15</definedName>
    <definedName name="_112_Basic_4_8_with_ESE_Services" localSheetId="15">'2941'!$A$15</definedName>
    <definedName name="_112_Basic_4_8_with_ESE_Services" localSheetId="16">'3083'!$A$15</definedName>
    <definedName name="_112_Basic_4_8_with_ESE_Services" localSheetId="17">'3345'!$A$15</definedName>
    <definedName name="_112_Basic_4_8_with_ESE_Services" localSheetId="18">'3362'!$A$15</definedName>
    <definedName name="_112_Basic_4_8_with_ESE_Services" localSheetId="19">'3381'!$A$15</definedName>
    <definedName name="_112_Basic_4_8_with_ESE_Services" localSheetId="20">'3382'!$A$15</definedName>
    <definedName name="_112_Basic_4_8_with_ESE_Services" localSheetId="21">'3391'!$A$15</definedName>
    <definedName name="_112_Basic_4_8_with_ESE_Services" localSheetId="22">'3394'!$A$15</definedName>
    <definedName name="_112_Basic_4_8_with_ESE_Services" localSheetId="23">'3395'!$A$15</definedName>
    <definedName name="_112_Basic_4_8_with_ESE_Services" localSheetId="24">'3396'!$A$15</definedName>
    <definedName name="_112_Basic_4_8_with_ESE_Services" localSheetId="25">'3398'!$A$15</definedName>
    <definedName name="_112_Basic_4_8_with_ESE_Services" localSheetId="26">'3400'!$A$15</definedName>
    <definedName name="_112_Basic_4_8_with_ESE_Services" localSheetId="27">'3401'!$A$15</definedName>
    <definedName name="_112_Basic_4_8_with_ESE_Services" localSheetId="28">'3413'!$A$15</definedName>
    <definedName name="_112_Basic_4_8_with_ESE_Services" localSheetId="29">'3421'!$A$15</definedName>
    <definedName name="_112_Basic_4_8_with_ESE_Services" localSheetId="30">'3431'!$A$15</definedName>
    <definedName name="_112_Basic_4_8_with_ESE_Services" localSheetId="31">'3441'!$A$15</definedName>
    <definedName name="_112_Basic_4_8_with_ESE_Services" localSheetId="32">'3924'!$A$15</definedName>
    <definedName name="_112_Basic_4_8_with_ESE_Services" localSheetId="33">'3941'!$A$15</definedName>
    <definedName name="_112_Basic_4_8_with_ESE_Services" localSheetId="34">'3961'!$A$15</definedName>
    <definedName name="_112_Basic_4_8_with_ESE_Services" localSheetId="35">'3971'!$A$15</definedName>
    <definedName name="_112_Basic_4_8_with_ESE_Services" localSheetId="36">'4001'!$A$15</definedName>
    <definedName name="_112_Basic_4_8_with_ESE_Services" localSheetId="37">'4002'!$A$15</definedName>
    <definedName name="_112_Basic_4_8_with_ESE_Services" localSheetId="38">'4012'!$A$15</definedName>
    <definedName name="_112_Basic_4_8_with_ESE_Services" localSheetId="39">'4013'!$A$15</definedName>
    <definedName name="_112_Basic_4_8_with_ESE_Services" localSheetId="40">'4020'!$A$15</definedName>
    <definedName name="_112_Basic_4_8_with_ESE_Services" localSheetId="41">'4030'!$A$15</definedName>
    <definedName name="_112_Basic_4_8_with_ESE_Services" localSheetId="42">'4031'!$A$15</definedName>
    <definedName name="_112_Basic_4_8_with_ESE_Services" localSheetId="43">'4041'!$A$15</definedName>
    <definedName name="_112_Basic_4_8_with_ESE_Services" localSheetId="44">'4050'!$A$15</definedName>
    <definedName name="_112_Basic_4_8_with_ESE_Services" localSheetId="45">'4051'!$A$15</definedName>
    <definedName name="_112_Basic_4_8_with_ESE_Services" localSheetId="46">'4061'!$A$15</definedName>
    <definedName name="_112_Basic_4_8_with_ESE_Services" localSheetId="47">'4080'!$A$15</definedName>
    <definedName name="_112_Basic_4_8_with_ESE_Services" localSheetId="48">'4081'!$A$15</definedName>
    <definedName name="_112_Basic_4_8_with_ESE_Services" localSheetId="49">'4090'!$A$15</definedName>
    <definedName name="_112_Basic_4_8_with_ESE_Services" localSheetId="50">'4091'!$A$15</definedName>
    <definedName name="_112_Basic_4_8_with_ESE_Services" localSheetId="51">'4100'!$A$15</definedName>
    <definedName name="_112_Basic_4_8_with_ESE_Services" localSheetId="52">'4102'!$A$15</definedName>
    <definedName name="_112_Basic_4_8_with_ESE_Services" localSheetId="53">'4103'!$A$15</definedName>
    <definedName name="_112_Basic_4_8_with_ESE_Services" localSheetId="54">'4111'!$A$15</definedName>
    <definedName name="_112_Basic_4_8_with_ESE_Services" localSheetId="55">'4131'!$A$15</definedName>
    <definedName name="_112_Basic_4_8_with_ESE_Services">'0040'!$A$15</definedName>
    <definedName name="_113_Basic_9_12_with_ESE_Services" localSheetId="7">'0100'!$A$17</definedName>
    <definedName name="_113_Basic_9_12_with_ESE_Services" localSheetId="6">'0571'!$A$17</definedName>
    <definedName name="_113_Basic_9_12_with_ESE_Services" localSheetId="8">'1461'!$A$17</definedName>
    <definedName name="_113_Basic_9_12_with_ESE_Services" localSheetId="9">'1571'!$A$17</definedName>
    <definedName name="_113_Basic_9_12_with_ESE_Services" localSheetId="10">'2521'!$A$17</definedName>
    <definedName name="_113_Basic_9_12_with_ESE_Services" localSheetId="11">'2531'!$A$17</definedName>
    <definedName name="_113_Basic_9_12_with_ESE_Services" localSheetId="12">'2791'!$A$17</definedName>
    <definedName name="_113_Basic_9_12_with_ESE_Services" localSheetId="13">'2801'!$A$17</definedName>
    <definedName name="_113_Basic_9_12_with_ESE_Services" localSheetId="14">'2911'!$A$17</definedName>
    <definedName name="_113_Basic_9_12_with_ESE_Services" localSheetId="15">'2941'!$A$17</definedName>
    <definedName name="_113_Basic_9_12_with_ESE_Services" localSheetId="16">'3083'!$A$17</definedName>
    <definedName name="_113_Basic_9_12_with_ESE_Services" localSheetId="17">'3345'!$A$17</definedName>
    <definedName name="_113_Basic_9_12_with_ESE_Services" localSheetId="18">'3362'!$A$17</definedName>
    <definedName name="_113_Basic_9_12_with_ESE_Services" localSheetId="19">'3381'!$A$17</definedName>
    <definedName name="_113_Basic_9_12_with_ESE_Services" localSheetId="20">'3382'!$A$17</definedName>
    <definedName name="_113_Basic_9_12_with_ESE_Services" localSheetId="21">'3391'!$A$17</definedName>
    <definedName name="_113_Basic_9_12_with_ESE_Services" localSheetId="22">'3394'!$A$17</definedName>
    <definedName name="_113_Basic_9_12_with_ESE_Services" localSheetId="23">'3395'!$A$17</definedName>
    <definedName name="_113_Basic_9_12_with_ESE_Services" localSheetId="24">'3396'!$A$17</definedName>
    <definedName name="_113_Basic_9_12_with_ESE_Services" localSheetId="25">'3398'!$A$17</definedName>
    <definedName name="_113_Basic_9_12_with_ESE_Services" localSheetId="26">'3400'!$A$17</definedName>
    <definedName name="_113_Basic_9_12_with_ESE_Services" localSheetId="27">'3401'!$A$17</definedName>
    <definedName name="_113_Basic_9_12_with_ESE_Services" localSheetId="28">'3413'!$A$17</definedName>
    <definedName name="_113_Basic_9_12_with_ESE_Services" localSheetId="29">'3421'!$A$17</definedName>
    <definedName name="_113_Basic_9_12_with_ESE_Services" localSheetId="30">'3431'!$A$17</definedName>
    <definedName name="_113_Basic_9_12_with_ESE_Services" localSheetId="31">'3441'!$A$17</definedName>
    <definedName name="_113_Basic_9_12_with_ESE_Services" localSheetId="32">'3924'!$A$17</definedName>
    <definedName name="_113_Basic_9_12_with_ESE_Services" localSheetId="33">'3941'!$A$17</definedName>
    <definedName name="_113_Basic_9_12_with_ESE_Services" localSheetId="34">'3961'!$A$17</definedName>
    <definedName name="_113_Basic_9_12_with_ESE_Services" localSheetId="35">'3971'!$A$17</definedName>
    <definedName name="_113_Basic_9_12_with_ESE_Services" localSheetId="36">'4001'!$A$17</definedName>
    <definedName name="_113_Basic_9_12_with_ESE_Services" localSheetId="37">'4002'!$A$17</definedName>
    <definedName name="_113_Basic_9_12_with_ESE_Services" localSheetId="38">'4012'!$A$17</definedName>
    <definedName name="_113_Basic_9_12_with_ESE_Services" localSheetId="39">'4013'!$A$17</definedName>
    <definedName name="_113_Basic_9_12_with_ESE_Services" localSheetId="40">'4020'!$A$17</definedName>
    <definedName name="_113_Basic_9_12_with_ESE_Services" localSheetId="41">'4030'!$A$17</definedName>
    <definedName name="_113_Basic_9_12_with_ESE_Services" localSheetId="42">'4031'!$A$17</definedName>
    <definedName name="_113_Basic_9_12_with_ESE_Services" localSheetId="43">'4041'!$A$17</definedName>
    <definedName name="_113_Basic_9_12_with_ESE_Services" localSheetId="44">'4050'!$A$17</definedName>
    <definedName name="_113_Basic_9_12_with_ESE_Services" localSheetId="45">'4051'!$A$17</definedName>
    <definedName name="_113_Basic_9_12_with_ESE_Services" localSheetId="46">'4061'!$A$17</definedName>
    <definedName name="_113_Basic_9_12_with_ESE_Services" localSheetId="47">'4080'!$A$17</definedName>
    <definedName name="_113_Basic_9_12_with_ESE_Services" localSheetId="48">'4081'!$A$17</definedName>
    <definedName name="_113_Basic_9_12_with_ESE_Services" localSheetId="49">'4090'!$A$17</definedName>
    <definedName name="_113_Basic_9_12_with_ESE_Services" localSheetId="50">'4091'!$A$17</definedName>
    <definedName name="_113_Basic_9_12_with_ESE_Services" localSheetId="51">'4100'!$A$17</definedName>
    <definedName name="_113_Basic_9_12_with_ESE_Services" localSheetId="52">'4102'!$A$17</definedName>
    <definedName name="_113_Basic_9_12_with_ESE_Services" localSheetId="53">'4103'!$A$17</definedName>
    <definedName name="_113_Basic_9_12_with_ESE_Services" localSheetId="54">'4111'!$A$17</definedName>
    <definedName name="_113_Basic_9_12_with_ESE_Services" localSheetId="55">'4131'!$A$17</definedName>
    <definedName name="_113_Basic_9_12_with_ESE_Services">'0040'!$A$17</definedName>
    <definedName name="_130_ESOL__Grade_Level_4_8" localSheetId="7">'0100'!$A$25</definedName>
    <definedName name="_130_ESOL__Grade_Level_4_8" localSheetId="6">'0571'!$A$25</definedName>
    <definedName name="_130_ESOL__Grade_Level_4_8" localSheetId="8">'1461'!$A$25</definedName>
    <definedName name="_130_ESOL__Grade_Level_4_8" localSheetId="9">'1571'!$A$25</definedName>
    <definedName name="_130_ESOL__Grade_Level_4_8" localSheetId="10">'2521'!$A$25</definedName>
    <definedName name="_130_ESOL__Grade_Level_4_8" localSheetId="11">'2531'!$A$25</definedName>
    <definedName name="_130_ESOL__Grade_Level_4_8" localSheetId="12">'2791'!$A$25</definedName>
    <definedName name="_130_ESOL__Grade_Level_4_8" localSheetId="13">'2801'!$A$25</definedName>
    <definedName name="_130_ESOL__Grade_Level_4_8" localSheetId="14">'2911'!$A$25</definedName>
    <definedName name="_130_ESOL__Grade_Level_4_8" localSheetId="15">'2941'!$A$25</definedName>
    <definedName name="_130_ESOL__Grade_Level_4_8" localSheetId="16">'3083'!$A$25</definedName>
    <definedName name="_130_ESOL__Grade_Level_4_8" localSheetId="17">'3345'!$A$25</definedName>
    <definedName name="_130_ESOL__Grade_Level_4_8" localSheetId="18">'3362'!$A$25</definedName>
    <definedName name="_130_ESOL__Grade_Level_4_8" localSheetId="19">'3381'!$A$25</definedName>
    <definedName name="_130_ESOL__Grade_Level_4_8" localSheetId="20">'3382'!$A$25</definedName>
    <definedName name="_130_ESOL__Grade_Level_4_8" localSheetId="21">'3391'!$A$25</definedName>
    <definedName name="_130_ESOL__Grade_Level_4_8" localSheetId="22">'3394'!$A$25</definedName>
    <definedName name="_130_ESOL__Grade_Level_4_8" localSheetId="23">'3395'!$A$25</definedName>
    <definedName name="_130_ESOL__Grade_Level_4_8" localSheetId="24">'3396'!$A$25</definedName>
    <definedName name="_130_ESOL__Grade_Level_4_8" localSheetId="25">'3398'!$A$25</definedName>
    <definedName name="_130_ESOL__Grade_Level_4_8" localSheetId="26">'3400'!$A$25</definedName>
    <definedName name="_130_ESOL__Grade_Level_4_8" localSheetId="27">'3401'!$A$25</definedName>
    <definedName name="_130_ESOL__Grade_Level_4_8" localSheetId="28">'3413'!$A$25</definedName>
    <definedName name="_130_ESOL__Grade_Level_4_8" localSheetId="29">'3421'!$A$25</definedName>
    <definedName name="_130_ESOL__Grade_Level_4_8" localSheetId="30">'3431'!$A$25</definedName>
    <definedName name="_130_ESOL__Grade_Level_4_8" localSheetId="31">'3441'!$A$25</definedName>
    <definedName name="_130_ESOL__Grade_Level_4_8" localSheetId="32">'3924'!$A$25</definedName>
    <definedName name="_130_ESOL__Grade_Level_4_8" localSheetId="33">'3941'!$A$25</definedName>
    <definedName name="_130_ESOL__Grade_Level_4_8" localSheetId="34">'3961'!$A$25</definedName>
    <definedName name="_130_ESOL__Grade_Level_4_8" localSheetId="35">'3971'!$A$25</definedName>
    <definedName name="_130_ESOL__Grade_Level_4_8" localSheetId="36">'4001'!$A$25</definedName>
    <definedName name="_130_ESOL__Grade_Level_4_8" localSheetId="37">'4002'!$A$25</definedName>
    <definedName name="_130_ESOL__Grade_Level_4_8" localSheetId="38">'4012'!$A$25</definedName>
    <definedName name="_130_ESOL__Grade_Level_4_8" localSheetId="39">'4013'!$A$25</definedName>
    <definedName name="_130_ESOL__Grade_Level_4_8" localSheetId="40">'4020'!$A$25</definedName>
    <definedName name="_130_ESOL__Grade_Level_4_8" localSheetId="41">'4030'!$A$25</definedName>
    <definedName name="_130_ESOL__Grade_Level_4_8" localSheetId="42">'4031'!$A$25</definedName>
    <definedName name="_130_ESOL__Grade_Level_4_8" localSheetId="43">'4041'!$A$25</definedName>
    <definedName name="_130_ESOL__Grade_Level_4_8" localSheetId="44">'4050'!$A$25</definedName>
    <definedName name="_130_ESOL__Grade_Level_4_8" localSheetId="45">'4051'!$A$25</definedName>
    <definedName name="_130_ESOL__Grade_Level_4_8" localSheetId="46">'4061'!$A$25</definedName>
    <definedName name="_130_ESOL__Grade_Level_4_8" localSheetId="47">'4080'!$A$25</definedName>
    <definedName name="_130_ESOL__Grade_Level_4_8" localSheetId="48">'4081'!$A$25</definedName>
    <definedName name="_130_ESOL__Grade_Level_4_8" localSheetId="49">'4090'!$A$25</definedName>
    <definedName name="_130_ESOL__Grade_Level_4_8" localSheetId="50">'4091'!$A$25</definedName>
    <definedName name="_130_ESOL__Grade_Level_4_8" localSheetId="51">'4100'!$A$25</definedName>
    <definedName name="_130_ESOL__Grade_Level_4_8" localSheetId="52">'4102'!$A$25</definedName>
    <definedName name="_130_ESOL__Grade_Level_4_8" localSheetId="53">'4103'!$A$25</definedName>
    <definedName name="_130_ESOL__Grade_Level_4_8" localSheetId="54">'4111'!$A$25</definedName>
    <definedName name="_130_ESOL__Grade_Level_4_8" localSheetId="55">'4131'!$A$25</definedName>
    <definedName name="_130_ESOL__Grade_Level_4_8">'0040'!$A$25</definedName>
    <definedName name="_130_ESOL__Grade_Level_9_12" localSheetId="7">'0100'!$A$26</definedName>
    <definedName name="_130_ESOL__Grade_Level_9_12" localSheetId="6">'0571'!$A$26</definedName>
    <definedName name="_130_ESOL__Grade_Level_9_12" localSheetId="8">'1461'!$A$26</definedName>
    <definedName name="_130_ESOL__Grade_Level_9_12" localSheetId="9">'1571'!$A$26</definedName>
    <definedName name="_130_ESOL__Grade_Level_9_12" localSheetId="10">'2521'!$A$26</definedName>
    <definedName name="_130_ESOL__Grade_Level_9_12" localSheetId="11">'2531'!$A$26</definedName>
    <definedName name="_130_ESOL__Grade_Level_9_12" localSheetId="12">'2791'!$A$26</definedName>
    <definedName name="_130_ESOL__Grade_Level_9_12" localSheetId="13">'2801'!$A$26</definedName>
    <definedName name="_130_ESOL__Grade_Level_9_12" localSheetId="14">'2911'!$A$26</definedName>
    <definedName name="_130_ESOL__Grade_Level_9_12" localSheetId="15">'2941'!$A$26</definedName>
    <definedName name="_130_ESOL__Grade_Level_9_12" localSheetId="16">'3083'!$A$26</definedName>
    <definedName name="_130_ESOL__Grade_Level_9_12" localSheetId="17">'3345'!$A$26</definedName>
    <definedName name="_130_ESOL__Grade_Level_9_12" localSheetId="18">'3362'!$A$26</definedName>
    <definedName name="_130_ESOL__Grade_Level_9_12" localSheetId="19">'3381'!$A$26</definedName>
    <definedName name="_130_ESOL__Grade_Level_9_12" localSheetId="20">'3382'!$A$26</definedName>
    <definedName name="_130_ESOL__Grade_Level_9_12" localSheetId="21">'3391'!$A$26</definedName>
    <definedName name="_130_ESOL__Grade_Level_9_12" localSheetId="22">'3394'!$A$26</definedName>
    <definedName name="_130_ESOL__Grade_Level_9_12" localSheetId="23">'3395'!$A$26</definedName>
    <definedName name="_130_ESOL__Grade_Level_9_12" localSheetId="24">'3396'!$A$26</definedName>
    <definedName name="_130_ESOL__Grade_Level_9_12" localSheetId="25">'3398'!$A$26</definedName>
    <definedName name="_130_ESOL__Grade_Level_9_12" localSheetId="26">'3400'!$A$26</definedName>
    <definedName name="_130_ESOL__Grade_Level_9_12" localSheetId="27">'3401'!$A$26</definedName>
    <definedName name="_130_ESOL__Grade_Level_9_12" localSheetId="28">'3413'!$A$26</definedName>
    <definedName name="_130_ESOL__Grade_Level_9_12" localSheetId="29">'3421'!$A$26</definedName>
    <definedName name="_130_ESOL__Grade_Level_9_12" localSheetId="30">'3431'!$A$26</definedName>
    <definedName name="_130_ESOL__Grade_Level_9_12" localSheetId="31">'3441'!$A$26</definedName>
    <definedName name="_130_ESOL__Grade_Level_9_12" localSheetId="32">'3924'!$A$26</definedName>
    <definedName name="_130_ESOL__Grade_Level_9_12" localSheetId="33">'3941'!$A$26</definedName>
    <definedName name="_130_ESOL__Grade_Level_9_12" localSheetId="34">'3961'!$A$26</definedName>
    <definedName name="_130_ESOL__Grade_Level_9_12" localSheetId="35">'3971'!$A$26</definedName>
    <definedName name="_130_ESOL__Grade_Level_9_12" localSheetId="36">'4001'!$A$26</definedName>
    <definedName name="_130_ESOL__Grade_Level_9_12" localSheetId="37">'4002'!$A$26</definedName>
    <definedName name="_130_ESOL__Grade_Level_9_12" localSheetId="38">'4012'!$A$26</definedName>
    <definedName name="_130_ESOL__Grade_Level_9_12" localSheetId="39">'4013'!$A$26</definedName>
    <definedName name="_130_ESOL__Grade_Level_9_12" localSheetId="40">'4020'!$A$26</definedName>
    <definedName name="_130_ESOL__Grade_Level_9_12" localSheetId="41">'4030'!$A$26</definedName>
    <definedName name="_130_ESOL__Grade_Level_9_12" localSheetId="42">'4031'!$A$26</definedName>
    <definedName name="_130_ESOL__Grade_Level_9_12" localSheetId="43">'4041'!$A$26</definedName>
    <definedName name="_130_ESOL__Grade_Level_9_12" localSheetId="44">'4050'!$A$26</definedName>
    <definedName name="_130_ESOL__Grade_Level_9_12" localSheetId="45">'4051'!$A$26</definedName>
    <definedName name="_130_ESOL__Grade_Level_9_12" localSheetId="46">'4061'!$A$26</definedName>
    <definedName name="_130_ESOL__Grade_Level_9_12" localSheetId="47">'4080'!$A$26</definedName>
    <definedName name="_130_ESOL__Grade_Level_9_12" localSheetId="48">'4081'!$A$26</definedName>
    <definedName name="_130_ESOL__Grade_Level_9_12" localSheetId="49">'4090'!$A$26</definedName>
    <definedName name="_130_ESOL__Grade_Level_9_12" localSheetId="50">'4091'!$A$26</definedName>
    <definedName name="_130_ESOL__Grade_Level_9_12" localSheetId="51">'4100'!$A$26</definedName>
    <definedName name="_130_ESOL__Grade_Level_9_12" localSheetId="52">'4102'!$A$26</definedName>
    <definedName name="_130_ESOL__Grade_Level_9_12" localSheetId="53">'4103'!$A$26</definedName>
    <definedName name="_130_ESOL__Grade_Level_9_12" localSheetId="54">'4111'!$A$26</definedName>
    <definedName name="_130_ESOL__Grade_Level_9_12" localSheetId="55">'4131'!$A$26</definedName>
    <definedName name="_130_ESOL__Grade_Level_9_12">'0040'!$A$26</definedName>
    <definedName name="_130_ESOL__Grade_Level_PK_3" localSheetId="7">'0100'!$A$24</definedName>
    <definedName name="_130_ESOL__Grade_Level_PK_3" localSheetId="6">'0571'!$A$24</definedName>
    <definedName name="_130_ESOL__Grade_Level_PK_3" localSheetId="8">'1461'!$A$24</definedName>
    <definedName name="_130_ESOL__Grade_Level_PK_3" localSheetId="9">'1571'!$A$24</definedName>
    <definedName name="_130_ESOL__Grade_Level_PK_3" localSheetId="10">'2521'!$A$24</definedName>
    <definedName name="_130_ESOL__Grade_Level_PK_3" localSheetId="11">'2531'!$A$24</definedName>
    <definedName name="_130_ESOL__Grade_Level_PK_3" localSheetId="12">'2791'!$A$24</definedName>
    <definedName name="_130_ESOL__Grade_Level_PK_3" localSheetId="13">'2801'!$A$24</definedName>
    <definedName name="_130_ESOL__Grade_Level_PK_3" localSheetId="14">'2911'!$A$24</definedName>
    <definedName name="_130_ESOL__Grade_Level_PK_3" localSheetId="15">'2941'!$A$24</definedName>
    <definedName name="_130_ESOL__Grade_Level_PK_3" localSheetId="16">'3083'!$A$24</definedName>
    <definedName name="_130_ESOL__Grade_Level_PK_3" localSheetId="17">'3345'!$A$24</definedName>
    <definedName name="_130_ESOL__Grade_Level_PK_3" localSheetId="18">'3362'!$A$24</definedName>
    <definedName name="_130_ESOL__Grade_Level_PK_3" localSheetId="19">'3381'!$A$24</definedName>
    <definedName name="_130_ESOL__Grade_Level_PK_3" localSheetId="20">'3382'!$A$24</definedName>
    <definedName name="_130_ESOL__Grade_Level_PK_3" localSheetId="21">'3391'!$A$24</definedName>
    <definedName name="_130_ESOL__Grade_Level_PK_3" localSheetId="22">'3394'!$A$24</definedName>
    <definedName name="_130_ESOL__Grade_Level_PK_3" localSheetId="23">'3395'!$A$24</definedName>
    <definedName name="_130_ESOL__Grade_Level_PK_3" localSheetId="24">'3396'!$A$24</definedName>
    <definedName name="_130_ESOL__Grade_Level_PK_3" localSheetId="25">'3398'!$A$24</definedName>
    <definedName name="_130_ESOL__Grade_Level_PK_3" localSheetId="26">'3400'!$A$24</definedName>
    <definedName name="_130_ESOL__Grade_Level_PK_3" localSheetId="27">'3401'!$A$24</definedName>
    <definedName name="_130_ESOL__Grade_Level_PK_3" localSheetId="28">'3413'!$A$24</definedName>
    <definedName name="_130_ESOL__Grade_Level_PK_3" localSheetId="29">'3421'!$A$24</definedName>
    <definedName name="_130_ESOL__Grade_Level_PK_3" localSheetId="30">'3431'!$A$24</definedName>
    <definedName name="_130_ESOL__Grade_Level_PK_3" localSheetId="31">'3441'!$A$24</definedName>
    <definedName name="_130_ESOL__Grade_Level_PK_3" localSheetId="32">'3924'!$A$24</definedName>
    <definedName name="_130_ESOL__Grade_Level_PK_3" localSheetId="33">'3941'!$A$24</definedName>
    <definedName name="_130_ESOL__Grade_Level_PK_3" localSheetId="34">'3961'!$A$24</definedName>
    <definedName name="_130_ESOL__Grade_Level_PK_3" localSheetId="35">'3971'!$A$24</definedName>
    <definedName name="_130_ESOL__Grade_Level_PK_3" localSheetId="36">'4001'!$A$24</definedName>
    <definedName name="_130_ESOL__Grade_Level_PK_3" localSheetId="37">'4002'!$A$24</definedName>
    <definedName name="_130_ESOL__Grade_Level_PK_3" localSheetId="38">'4012'!$A$24</definedName>
    <definedName name="_130_ESOL__Grade_Level_PK_3" localSheetId="39">'4013'!$A$24</definedName>
    <definedName name="_130_ESOL__Grade_Level_PK_3" localSheetId="40">'4020'!$A$24</definedName>
    <definedName name="_130_ESOL__Grade_Level_PK_3" localSheetId="41">'4030'!$A$24</definedName>
    <definedName name="_130_ESOL__Grade_Level_PK_3" localSheetId="42">'4031'!$A$24</definedName>
    <definedName name="_130_ESOL__Grade_Level_PK_3" localSheetId="43">'4041'!$A$24</definedName>
    <definedName name="_130_ESOL__Grade_Level_PK_3" localSheetId="44">'4050'!$A$24</definedName>
    <definedName name="_130_ESOL__Grade_Level_PK_3" localSheetId="45">'4051'!$A$24</definedName>
    <definedName name="_130_ESOL__Grade_Level_PK_3" localSheetId="46">'4061'!$A$24</definedName>
    <definedName name="_130_ESOL__Grade_Level_PK_3" localSheetId="47">'4080'!$A$24</definedName>
    <definedName name="_130_ESOL__Grade_Level_PK_3" localSheetId="48">'4081'!$A$24</definedName>
    <definedName name="_130_ESOL__Grade_Level_PK_3" localSheetId="49">'4090'!$A$24</definedName>
    <definedName name="_130_ESOL__Grade_Level_PK_3" localSheetId="50">'4091'!$A$24</definedName>
    <definedName name="_130_ESOL__Grade_Level_PK_3" localSheetId="51">'4100'!$A$24</definedName>
    <definedName name="_130_ESOL__Grade_Level_PK_3" localSheetId="52">'4102'!$A$24</definedName>
    <definedName name="_130_ESOL__Grade_Level_PK_3" localSheetId="53">'4103'!$A$24</definedName>
    <definedName name="_130_ESOL__Grade_Level_PK_3" localSheetId="54">'4111'!$A$24</definedName>
    <definedName name="_130_ESOL__Grade_Level_PK_3" localSheetId="55">'4131'!$A$24</definedName>
    <definedName name="_130_ESOL__Grade_Level_PK_3">'0040'!$A$24</definedName>
    <definedName name="_1A.___2023_24_FEFP_State_and_Local_Funding" localSheetId="5">'0040'!$A$5</definedName>
    <definedName name="_1A.___2023_24_FEFP_State_and_Local_Funding" localSheetId="7">'0100'!$A$5</definedName>
    <definedName name="_1A.___2023_24_FEFP_State_and_Local_Funding" localSheetId="6">'0571'!$A$5</definedName>
    <definedName name="_1A.___2023_24_FEFP_State_and_Local_Funding" localSheetId="8">'1461'!$A$5</definedName>
    <definedName name="_1A.___2023_24_FEFP_State_and_Local_Funding" localSheetId="9">'1571'!$A$5</definedName>
    <definedName name="_1A.___2023_24_FEFP_State_and_Local_Funding" localSheetId="10">'2521'!$A$5</definedName>
    <definedName name="_1A.___2023_24_FEFP_State_and_Local_Funding" localSheetId="11">'2531'!$A$5</definedName>
    <definedName name="_1A.___2023_24_FEFP_State_and_Local_Funding" localSheetId="12">'2791'!$A$5</definedName>
    <definedName name="_1A.___2023_24_FEFP_State_and_Local_Funding" localSheetId="13">'2801'!$A$5</definedName>
    <definedName name="_1A.___2023_24_FEFP_State_and_Local_Funding" localSheetId="14">'2911'!$A$5</definedName>
    <definedName name="_1A.___2023_24_FEFP_State_and_Local_Funding" localSheetId="15">'2941'!$A$5</definedName>
    <definedName name="_1A.___2023_24_FEFP_State_and_Local_Funding" localSheetId="16">'3083'!$A$5</definedName>
    <definedName name="_1A.___2023_24_FEFP_State_and_Local_Funding" localSheetId="17">'3345'!$A$5</definedName>
    <definedName name="_1A.___2023_24_FEFP_State_and_Local_Funding" localSheetId="18">'3362'!$A$5</definedName>
    <definedName name="_1A.___2023_24_FEFP_State_and_Local_Funding" localSheetId="19">'3381'!$A$5</definedName>
    <definedName name="_1A.___2023_24_FEFP_State_and_Local_Funding" localSheetId="20">'3382'!$A$5</definedName>
    <definedName name="_1A.___2023_24_FEFP_State_and_Local_Funding" localSheetId="21">'3391'!$A$5</definedName>
    <definedName name="_1A.___2023_24_FEFP_State_and_Local_Funding" localSheetId="22">'3394'!$A$5</definedName>
    <definedName name="_1A.___2023_24_FEFP_State_and_Local_Funding" localSheetId="23">'3395'!$A$5</definedName>
    <definedName name="_1A.___2023_24_FEFP_State_and_Local_Funding" localSheetId="24">'3396'!$A$5</definedName>
    <definedName name="_1A.___2023_24_FEFP_State_and_Local_Funding" localSheetId="25">'3398'!$A$5</definedName>
    <definedName name="_1A.___2023_24_FEFP_State_and_Local_Funding" localSheetId="26">'3400'!$A$5</definedName>
    <definedName name="_1A.___2023_24_FEFP_State_and_Local_Funding" localSheetId="27">'3401'!$A$5</definedName>
    <definedName name="_1A.___2023_24_FEFP_State_and_Local_Funding" localSheetId="28">'3413'!$A$5</definedName>
    <definedName name="_1A.___2023_24_FEFP_State_and_Local_Funding" localSheetId="29">'3421'!$A$5</definedName>
    <definedName name="_1A.___2023_24_FEFP_State_and_Local_Funding" localSheetId="30">'3431'!$A$5</definedName>
    <definedName name="_1A.___2023_24_FEFP_State_and_Local_Funding" localSheetId="31">'3441'!$A$5</definedName>
    <definedName name="_1A.___2023_24_FEFP_State_and_Local_Funding" localSheetId="32">'3924'!$A$5</definedName>
    <definedName name="_1A.___2023_24_FEFP_State_and_Local_Funding" localSheetId="33">'3941'!$A$5</definedName>
    <definedName name="_1A.___2023_24_FEFP_State_and_Local_Funding" localSheetId="34">'3961'!$A$5</definedName>
    <definedName name="_1A.___2023_24_FEFP_State_and_Local_Funding" localSheetId="35">'3971'!$A$5</definedName>
    <definedName name="_1A.___2023_24_FEFP_State_and_Local_Funding" localSheetId="36">'4001'!$A$5</definedName>
    <definedName name="_1A.___2023_24_FEFP_State_and_Local_Funding" localSheetId="37">'4002'!$A$5</definedName>
    <definedName name="_1A.___2023_24_FEFP_State_and_Local_Funding" localSheetId="38">'4012'!$A$5</definedName>
    <definedName name="_1A.___2023_24_FEFP_State_and_Local_Funding" localSheetId="39">'4013'!$A$5</definedName>
    <definedName name="_1A.___2023_24_FEFP_State_and_Local_Funding" localSheetId="40">'4020'!$A$5</definedName>
    <definedName name="_1A.___2023_24_FEFP_State_and_Local_Funding" localSheetId="41">'4030'!$A$5</definedName>
    <definedName name="_1A.___2023_24_FEFP_State_and_Local_Funding" localSheetId="42">'4031'!$A$5</definedName>
    <definedName name="_1A.___2023_24_FEFP_State_and_Local_Funding" localSheetId="43">'4041'!$A$5</definedName>
    <definedName name="_1A.___2023_24_FEFP_State_and_Local_Funding" localSheetId="44">'4050'!$A$5</definedName>
    <definedName name="_1A.___2023_24_FEFP_State_and_Local_Funding" localSheetId="45">'4051'!$A$5</definedName>
    <definedName name="_1A.___2023_24_FEFP_State_and_Local_Funding" localSheetId="46">'4061'!$A$5</definedName>
    <definedName name="_1A.___2023_24_FEFP_State_and_Local_Funding" localSheetId="47">'4080'!$A$5</definedName>
    <definedName name="_1A.___2023_24_FEFP_State_and_Local_Funding" localSheetId="48">'4081'!$A$5</definedName>
    <definedName name="_1A.___2023_24_FEFP_State_and_Local_Funding" localSheetId="49">'4090'!$A$5</definedName>
    <definedName name="_1A.___2023_24_FEFP_State_and_Local_Funding" localSheetId="50">'4091'!$A$5</definedName>
    <definedName name="_1A.___2023_24_FEFP_State_and_Local_Funding" localSheetId="51">'4100'!$A$5</definedName>
    <definedName name="_1A.___2023_24_FEFP_State_and_Local_Funding" localSheetId="52">'4102'!$A$5</definedName>
    <definedName name="_1A.___2023_24_FEFP_State_and_Local_Funding" localSheetId="53">'4103'!$A$5</definedName>
    <definedName name="_1A.___2023_24_FEFP_State_and_Local_Funding" localSheetId="54">'4111'!$A$5</definedName>
    <definedName name="_1A.___2023_24_FEFP_State_and_Local_Funding" localSheetId="55">'4131'!$A$5</definedName>
    <definedName name="_2" localSheetId="7">'0100'!$E$11</definedName>
    <definedName name="_2" localSheetId="6">'0571'!$E$11</definedName>
    <definedName name="_2" localSheetId="8">'1461'!$E$11</definedName>
    <definedName name="_2" localSheetId="9">'1571'!$E$11</definedName>
    <definedName name="_2" localSheetId="10">'2521'!$E$11</definedName>
    <definedName name="_2" localSheetId="11">'2531'!$E$11</definedName>
    <definedName name="_2" localSheetId="12">'2791'!$E$11</definedName>
    <definedName name="_2" localSheetId="13">'2801'!$E$11</definedName>
    <definedName name="_2" localSheetId="14">'2911'!$E$11</definedName>
    <definedName name="_2" localSheetId="15">'2941'!$E$11</definedName>
    <definedName name="_2" localSheetId="16">'3083'!$E$11</definedName>
    <definedName name="_2" localSheetId="17">'3345'!$E$11</definedName>
    <definedName name="_2" localSheetId="18">'3362'!$E$11</definedName>
    <definedName name="_2" localSheetId="19">'3381'!$E$11</definedName>
    <definedName name="_2" localSheetId="20">'3382'!$E$11</definedName>
    <definedName name="_2" localSheetId="21">'3391'!$E$11</definedName>
    <definedName name="_2" localSheetId="22">'3394'!$E$11</definedName>
    <definedName name="_2" localSheetId="23">'3395'!$E$11</definedName>
    <definedName name="_2" localSheetId="24">'3396'!$E$11</definedName>
    <definedName name="_2" localSheetId="25">'3398'!$E$11</definedName>
    <definedName name="_2" localSheetId="26">'3400'!$E$11</definedName>
    <definedName name="_2" localSheetId="27">'3401'!$E$11</definedName>
    <definedName name="_2" localSheetId="28">'3413'!$E$11</definedName>
    <definedName name="_2" localSheetId="29">'3421'!$E$11</definedName>
    <definedName name="_2" localSheetId="30">'3431'!$E$11</definedName>
    <definedName name="_2" localSheetId="31">'3441'!$E$11</definedName>
    <definedName name="_2" localSheetId="32">'3924'!$E$11</definedName>
    <definedName name="_2" localSheetId="33">'3941'!$E$11</definedName>
    <definedName name="_2" localSheetId="34">'3961'!$E$11</definedName>
    <definedName name="_2" localSheetId="35">'3971'!$E$11</definedName>
    <definedName name="_2" localSheetId="36">'4001'!$E$11</definedName>
    <definedName name="_2" localSheetId="37">'4002'!$E$11</definedName>
    <definedName name="_2" localSheetId="38">'4012'!$E$11</definedName>
    <definedName name="_2" localSheetId="39">'4013'!$E$11</definedName>
    <definedName name="_2" localSheetId="40">'4020'!$E$11</definedName>
    <definedName name="_2" localSheetId="41">'4030'!$E$11</definedName>
    <definedName name="_2" localSheetId="42">'4031'!$E$11</definedName>
    <definedName name="_2" localSheetId="43">'4041'!$E$11</definedName>
    <definedName name="_2" localSheetId="44">'4050'!$E$11</definedName>
    <definedName name="_2" localSheetId="45">'4051'!$E$11</definedName>
    <definedName name="_2" localSheetId="46">'4061'!$E$11</definedName>
    <definedName name="_2" localSheetId="47">'4080'!$E$11</definedName>
    <definedName name="_2" localSheetId="48">'4081'!$E$11</definedName>
    <definedName name="_2" localSheetId="49">'4090'!$E$11</definedName>
    <definedName name="_2" localSheetId="50">'4091'!$E$11</definedName>
    <definedName name="_2" localSheetId="51">'4100'!$E$11</definedName>
    <definedName name="_2" localSheetId="52">'4102'!$E$11</definedName>
    <definedName name="_2" localSheetId="53">'4103'!$E$11</definedName>
    <definedName name="_2" localSheetId="54">'4111'!$E$11</definedName>
    <definedName name="_2" localSheetId="55">'4131'!$E$11</definedName>
    <definedName name="_2">'0040'!$E$11</definedName>
    <definedName name="_2.__ESE_Guaranteed_Allocation" localSheetId="7">'0100'!#REF!</definedName>
    <definedName name="_2.__ESE_Guaranteed_Allocation" localSheetId="6">'0571'!#REF!</definedName>
    <definedName name="_2.__ESE_Guaranteed_Allocation" localSheetId="8">'1461'!#REF!</definedName>
    <definedName name="_2.__ESE_Guaranteed_Allocation" localSheetId="9">'1571'!#REF!</definedName>
    <definedName name="_2.__ESE_Guaranteed_Allocation" localSheetId="10">'2521'!#REF!</definedName>
    <definedName name="_2.__ESE_Guaranteed_Allocation" localSheetId="11">'2531'!#REF!</definedName>
    <definedName name="_2.__ESE_Guaranteed_Allocation" localSheetId="12">'2791'!#REF!</definedName>
    <definedName name="_2.__ESE_Guaranteed_Allocation" localSheetId="13">'2801'!#REF!</definedName>
    <definedName name="_2.__ESE_Guaranteed_Allocation" localSheetId="14">'2911'!#REF!</definedName>
    <definedName name="_2.__ESE_Guaranteed_Allocation" localSheetId="15">'2941'!#REF!</definedName>
    <definedName name="_2.__ESE_Guaranteed_Allocation" localSheetId="16">'3083'!#REF!</definedName>
    <definedName name="_2.__ESE_Guaranteed_Allocation" localSheetId="17">'3345'!#REF!</definedName>
    <definedName name="_2.__ESE_Guaranteed_Allocation" localSheetId="18">'3362'!#REF!</definedName>
    <definedName name="_2.__ESE_Guaranteed_Allocation" localSheetId="19">'3381'!#REF!</definedName>
    <definedName name="_2.__ESE_Guaranteed_Allocation" localSheetId="20">'3382'!#REF!</definedName>
    <definedName name="_2.__ESE_Guaranteed_Allocation" localSheetId="21">'3391'!#REF!</definedName>
    <definedName name="_2.__ESE_Guaranteed_Allocation" localSheetId="22">'3394'!#REF!</definedName>
    <definedName name="_2.__ESE_Guaranteed_Allocation" localSheetId="23">'3395'!#REF!</definedName>
    <definedName name="_2.__ESE_Guaranteed_Allocation" localSheetId="24">'3396'!#REF!</definedName>
    <definedName name="_2.__ESE_Guaranteed_Allocation" localSheetId="25">'3398'!#REF!</definedName>
    <definedName name="_2.__ESE_Guaranteed_Allocation" localSheetId="26">'3400'!#REF!</definedName>
    <definedName name="_2.__ESE_Guaranteed_Allocation" localSheetId="27">'3401'!#REF!</definedName>
    <definedName name="_2.__ESE_Guaranteed_Allocation" localSheetId="28">'3413'!#REF!</definedName>
    <definedName name="_2.__ESE_Guaranteed_Allocation" localSheetId="29">'3421'!#REF!</definedName>
    <definedName name="_2.__ESE_Guaranteed_Allocation" localSheetId="30">'3431'!#REF!</definedName>
    <definedName name="_2.__ESE_Guaranteed_Allocation" localSheetId="31">'3441'!#REF!</definedName>
    <definedName name="_2.__ESE_Guaranteed_Allocation" localSheetId="32">'3924'!#REF!</definedName>
    <definedName name="_2.__ESE_Guaranteed_Allocation" localSheetId="33">'3941'!#REF!</definedName>
    <definedName name="_2.__ESE_Guaranteed_Allocation" localSheetId="34">'3961'!#REF!</definedName>
    <definedName name="_2.__ESE_Guaranteed_Allocation" localSheetId="35">'3971'!#REF!</definedName>
    <definedName name="_2.__ESE_Guaranteed_Allocation" localSheetId="36">'4001'!#REF!</definedName>
    <definedName name="_2.__ESE_Guaranteed_Allocation" localSheetId="37">'4002'!#REF!</definedName>
    <definedName name="_2.__ESE_Guaranteed_Allocation" localSheetId="38">'4012'!#REF!</definedName>
    <definedName name="_2.__ESE_Guaranteed_Allocation" localSheetId="39">'4013'!#REF!</definedName>
    <definedName name="_2.__ESE_Guaranteed_Allocation" localSheetId="40">'4020'!#REF!</definedName>
    <definedName name="_2.__ESE_Guaranteed_Allocation" localSheetId="41">'4030'!#REF!</definedName>
    <definedName name="_2.__ESE_Guaranteed_Allocation" localSheetId="42">'4031'!#REF!</definedName>
    <definedName name="_2.__ESE_Guaranteed_Allocation" localSheetId="43">'4041'!#REF!</definedName>
    <definedName name="_2.__ESE_Guaranteed_Allocation" localSheetId="44">'4050'!#REF!</definedName>
    <definedName name="_2.__ESE_Guaranteed_Allocation" localSheetId="45">'4051'!#REF!</definedName>
    <definedName name="_2.__ESE_Guaranteed_Allocation" localSheetId="46">'4061'!#REF!</definedName>
    <definedName name="_2.__ESE_Guaranteed_Allocation" localSheetId="47">'4080'!#REF!</definedName>
    <definedName name="_2.__ESE_Guaranteed_Allocation" localSheetId="48">'4081'!#REF!</definedName>
    <definedName name="_2.__ESE_Guaranteed_Allocation" localSheetId="49">'4090'!#REF!</definedName>
    <definedName name="_2.__ESE_Guaranteed_Allocation" localSheetId="50">'4091'!#REF!</definedName>
    <definedName name="_2.__ESE_Guaranteed_Allocation" localSheetId="51">'4100'!#REF!</definedName>
    <definedName name="_2.__ESE_Guaranteed_Allocation" localSheetId="52">'4102'!#REF!</definedName>
    <definedName name="_2.__ESE_Guaranteed_Allocation" localSheetId="53">'4103'!#REF!</definedName>
    <definedName name="_2.__ESE_Guaranteed_Allocation" localSheetId="54">'4111'!#REF!</definedName>
    <definedName name="_2.__ESE_Guaranteed_Allocation" localSheetId="55">'4131'!#REF!</definedName>
    <definedName name="_2.__ESE_Guaranteed_Allocation">'0040'!#REF!</definedName>
    <definedName name="_2000_01_District_Cost_Differential">#REF!</definedName>
    <definedName name="_2010_11_Base_Funding_WFTE_x_BSA_x_DCD" localSheetId="7">'0100'!$J$10</definedName>
    <definedName name="_2010_11_Base_Funding_WFTE_x_BSA_x_DCD" localSheetId="6">'0571'!$J$10</definedName>
    <definedName name="_2010_11_Base_Funding_WFTE_x_BSA_x_DCD" localSheetId="8">'1461'!$J$10</definedName>
    <definedName name="_2010_11_Base_Funding_WFTE_x_BSA_x_DCD" localSheetId="9">'1571'!$J$10</definedName>
    <definedName name="_2010_11_Base_Funding_WFTE_x_BSA_x_DCD" localSheetId="10">'2521'!$J$10</definedName>
    <definedName name="_2010_11_Base_Funding_WFTE_x_BSA_x_DCD" localSheetId="11">'2531'!$J$10</definedName>
    <definedName name="_2010_11_Base_Funding_WFTE_x_BSA_x_DCD" localSheetId="12">'2791'!$J$10</definedName>
    <definedName name="_2010_11_Base_Funding_WFTE_x_BSA_x_DCD" localSheetId="13">'2801'!$J$10</definedName>
    <definedName name="_2010_11_Base_Funding_WFTE_x_BSA_x_DCD" localSheetId="14">'2911'!$J$10</definedName>
    <definedName name="_2010_11_Base_Funding_WFTE_x_BSA_x_DCD" localSheetId="15">'2941'!$J$10</definedName>
    <definedName name="_2010_11_Base_Funding_WFTE_x_BSA_x_DCD" localSheetId="16">'3083'!$J$10</definedName>
    <definedName name="_2010_11_Base_Funding_WFTE_x_BSA_x_DCD" localSheetId="17">'3345'!$J$10</definedName>
    <definedName name="_2010_11_Base_Funding_WFTE_x_BSA_x_DCD" localSheetId="18">'3362'!$J$10</definedName>
    <definedName name="_2010_11_Base_Funding_WFTE_x_BSA_x_DCD" localSheetId="19">'3381'!$J$10</definedName>
    <definedName name="_2010_11_Base_Funding_WFTE_x_BSA_x_DCD" localSheetId="20">'3382'!$J$10</definedName>
    <definedName name="_2010_11_Base_Funding_WFTE_x_BSA_x_DCD" localSheetId="21">'3391'!$J$10</definedName>
    <definedName name="_2010_11_Base_Funding_WFTE_x_BSA_x_DCD" localSheetId="22">'3394'!$J$10</definedName>
    <definedName name="_2010_11_Base_Funding_WFTE_x_BSA_x_DCD" localSheetId="23">'3395'!$J$10</definedName>
    <definedName name="_2010_11_Base_Funding_WFTE_x_BSA_x_DCD" localSheetId="24">'3396'!$J$10</definedName>
    <definedName name="_2010_11_Base_Funding_WFTE_x_BSA_x_DCD" localSheetId="25">'3398'!$J$10</definedName>
    <definedName name="_2010_11_Base_Funding_WFTE_x_BSA_x_DCD" localSheetId="26">'3400'!$J$10</definedName>
    <definedName name="_2010_11_Base_Funding_WFTE_x_BSA_x_DCD" localSheetId="27">'3401'!$J$10</definedName>
    <definedName name="_2010_11_Base_Funding_WFTE_x_BSA_x_DCD" localSheetId="28">'3413'!$J$10</definedName>
    <definedName name="_2010_11_Base_Funding_WFTE_x_BSA_x_DCD" localSheetId="29">'3421'!$J$10</definedName>
    <definedName name="_2010_11_Base_Funding_WFTE_x_BSA_x_DCD" localSheetId="30">'3431'!$J$10</definedName>
    <definedName name="_2010_11_Base_Funding_WFTE_x_BSA_x_DCD" localSheetId="31">'3441'!$J$10</definedName>
    <definedName name="_2010_11_Base_Funding_WFTE_x_BSA_x_DCD" localSheetId="32">'3924'!$J$10</definedName>
    <definedName name="_2010_11_Base_Funding_WFTE_x_BSA_x_DCD" localSheetId="33">'3941'!$J$10</definedName>
    <definedName name="_2010_11_Base_Funding_WFTE_x_BSA_x_DCD" localSheetId="34">'3961'!$J$10</definedName>
    <definedName name="_2010_11_Base_Funding_WFTE_x_BSA_x_DCD" localSheetId="35">'3971'!$J$10</definedName>
    <definedName name="_2010_11_Base_Funding_WFTE_x_BSA_x_DCD" localSheetId="36">'4001'!$J$10</definedName>
    <definedName name="_2010_11_Base_Funding_WFTE_x_BSA_x_DCD" localSheetId="37">'4002'!$J$10</definedName>
    <definedName name="_2010_11_Base_Funding_WFTE_x_BSA_x_DCD" localSheetId="38">'4012'!$J$10</definedName>
    <definedName name="_2010_11_Base_Funding_WFTE_x_BSA_x_DCD" localSheetId="39">'4013'!$J$10</definedName>
    <definedName name="_2010_11_Base_Funding_WFTE_x_BSA_x_DCD" localSheetId="40">'4020'!$J$10</definedName>
    <definedName name="_2010_11_Base_Funding_WFTE_x_BSA_x_DCD" localSheetId="41">'4030'!$J$10</definedName>
    <definedName name="_2010_11_Base_Funding_WFTE_x_BSA_x_DCD" localSheetId="42">'4031'!$J$10</definedName>
    <definedName name="_2010_11_Base_Funding_WFTE_x_BSA_x_DCD" localSheetId="43">'4041'!$J$10</definedName>
    <definedName name="_2010_11_Base_Funding_WFTE_x_BSA_x_DCD" localSheetId="44">'4050'!$J$10</definedName>
    <definedName name="_2010_11_Base_Funding_WFTE_x_BSA_x_DCD" localSheetId="45">'4051'!$J$10</definedName>
    <definedName name="_2010_11_Base_Funding_WFTE_x_BSA_x_DCD" localSheetId="46">'4061'!$J$10</definedName>
    <definedName name="_2010_11_Base_Funding_WFTE_x_BSA_x_DCD" localSheetId="47">'4080'!$J$10</definedName>
    <definedName name="_2010_11_Base_Funding_WFTE_x_BSA_x_DCD" localSheetId="48">'4081'!$J$10</definedName>
    <definedName name="_2010_11_Base_Funding_WFTE_x_BSA_x_DCD" localSheetId="49">'4090'!$J$10</definedName>
    <definedName name="_2010_11_Base_Funding_WFTE_x_BSA_x_DCD" localSheetId="50">'4091'!$J$10</definedName>
    <definedName name="_2010_11_Base_Funding_WFTE_x_BSA_x_DCD" localSheetId="51">'4100'!$J$10</definedName>
    <definedName name="_2010_11_Base_Funding_WFTE_x_BSA_x_DCD" localSheetId="52">'4102'!$J$10</definedName>
    <definedName name="_2010_11_Base_Funding_WFTE_x_BSA_x_DCD" localSheetId="53">'4103'!$J$10</definedName>
    <definedName name="_2010_11_Base_Funding_WFTE_x_BSA_x_DCD" localSheetId="54">'4111'!$J$10</definedName>
    <definedName name="_2010_11_Base_Funding_WFTE_x_BSA_x_DCD" localSheetId="55">'4131'!$J$10</definedName>
    <definedName name="_2010_11_Base_Funding_WFTE_x_BSA_x_DCD">'0040'!$J$10</definedName>
    <definedName name="_254_ESE_Level_4__Grade_Level_4_8" localSheetId="7">'0100'!$A$19</definedName>
    <definedName name="_254_ESE_Level_4__Grade_Level_4_8" localSheetId="6">'0571'!$A$19</definedName>
    <definedName name="_254_ESE_Level_4__Grade_Level_4_8" localSheetId="8">'1461'!$A$19</definedName>
    <definedName name="_254_ESE_Level_4__Grade_Level_4_8" localSheetId="9">'1571'!$A$19</definedName>
    <definedName name="_254_ESE_Level_4__Grade_Level_4_8" localSheetId="10">'2521'!$A$19</definedName>
    <definedName name="_254_ESE_Level_4__Grade_Level_4_8" localSheetId="11">'2531'!$A$19</definedName>
    <definedName name="_254_ESE_Level_4__Grade_Level_4_8" localSheetId="12">'2791'!$A$19</definedName>
    <definedName name="_254_ESE_Level_4__Grade_Level_4_8" localSheetId="13">'2801'!$A$19</definedName>
    <definedName name="_254_ESE_Level_4__Grade_Level_4_8" localSheetId="14">'2911'!$A$19</definedName>
    <definedName name="_254_ESE_Level_4__Grade_Level_4_8" localSheetId="15">'2941'!$A$19</definedName>
    <definedName name="_254_ESE_Level_4__Grade_Level_4_8" localSheetId="16">'3083'!$A$19</definedName>
    <definedName name="_254_ESE_Level_4__Grade_Level_4_8" localSheetId="17">'3345'!$A$19</definedName>
    <definedName name="_254_ESE_Level_4__Grade_Level_4_8" localSheetId="18">'3362'!$A$19</definedName>
    <definedName name="_254_ESE_Level_4__Grade_Level_4_8" localSheetId="19">'3381'!$A$19</definedName>
    <definedName name="_254_ESE_Level_4__Grade_Level_4_8" localSheetId="20">'3382'!$A$19</definedName>
    <definedName name="_254_ESE_Level_4__Grade_Level_4_8" localSheetId="21">'3391'!$A$19</definedName>
    <definedName name="_254_ESE_Level_4__Grade_Level_4_8" localSheetId="22">'3394'!$A$19</definedName>
    <definedName name="_254_ESE_Level_4__Grade_Level_4_8" localSheetId="23">'3395'!$A$19</definedName>
    <definedName name="_254_ESE_Level_4__Grade_Level_4_8" localSheetId="24">'3396'!$A$19</definedName>
    <definedName name="_254_ESE_Level_4__Grade_Level_4_8" localSheetId="25">'3398'!$A$19</definedName>
    <definedName name="_254_ESE_Level_4__Grade_Level_4_8" localSheetId="26">'3400'!$A$19</definedName>
    <definedName name="_254_ESE_Level_4__Grade_Level_4_8" localSheetId="27">'3401'!$A$19</definedName>
    <definedName name="_254_ESE_Level_4__Grade_Level_4_8" localSheetId="28">'3413'!$A$19</definedName>
    <definedName name="_254_ESE_Level_4__Grade_Level_4_8" localSheetId="29">'3421'!$A$19</definedName>
    <definedName name="_254_ESE_Level_4__Grade_Level_4_8" localSheetId="30">'3431'!$A$19</definedName>
    <definedName name="_254_ESE_Level_4__Grade_Level_4_8" localSheetId="31">'3441'!$A$19</definedName>
    <definedName name="_254_ESE_Level_4__Grade_Level_4_8" localSheetId="32">'3924'!$A$19</definedName>
    <definedName name="_254_ESE_Level_4__Grade_Level_4_8" localSheetId="33">'3941'!$A$19</definedName>
    <definedName name="_254_ESE_Level_4__Grade_Level_4_8" localSheetId="34">'3961'!$A$19</definedName>
    <definedName name="_254_ESE_Level_4__Grade_Level_4_8" localSheetId="35">'3971'!$A$19</definedName>
    <definedName name="_254_ESE_Level_4__Grade_Level_4_8" localSheetId="36">'4001'!$A$19</definedName>
    <definedName name="_254_ESE_Level_4__Grade_Level_4_8" localSheetId="37">'4002'!$A$19</definedName>
    <definedName name="_254_ESE_Level_4__Grade_Level_4_8" localSheetId="38">'4012'!$A$19</definedName>
    <definedName name="_254_ESE_Level_4__Grade_Level_4_8" localSheetId="39">'4013'!$A$19</definedName>
    <definedName name="_254_ESE_Level_4__Grade_Level_4_8" localSheetId="40">'4020'!$A$19</definedName>
    <definedName name="_254_ESE_Level_4__Grade_Level_4_8" localSheetId="41">'4030'!$A$19</definedName>
    <definedName name="_254_ESE_Level_4__Grade_Level_4_8" localSheetId="42">'4031'!$A$19</definedName>
    <definedName name="_254_ESE_Level_4__Grade_Level_4_8" localSheetId="43">'4041'!$A$19</definedName>
    <definedName name="_254_ESE_Level_4__Grade_Level_4_8" localSheetId="44">'4050'!$A$19</definedName>
    <definedName name="_254_ESE_Level_4__Grade_Level_4_8" localSheetId="45">'4051'!$A$19</definedName>
    <definedName name="_254_ESE_Level_4__Grade_Level_4_8" localSheetId="46">'4061'!$A$19</definedName>
    <definedName name="_254_ESE_Level_4__Grade_Level_4_8" localSheetId="47">'4080'!$A$19</definedName>
    <definedName name="_254_ESE_Level_4__Grade_Level_4_8" localSheetId="48">'4081'!$A$19</definedName>
    <definedName name="_254_ESE_Level_4__Grade_Level_4_8" localSheetId="49">'4090'!$A$19</definedName>
    <definedName name="_254_ESE_Level_4__Grade_Level_4_8" localSheetId="50">'4091'!$A$19</definedName>
    <definedName name="_254_ESE_Level_4__Grade_Level_4_8" localSheetId="51">'4100'!$A$19</definedName>
    <definedName name="_254_ESE_Level_4__Grade_Level_4_8" localSheetId="52">'4102'!$A$19</definedName>
    <definedName name="_254_ESE_Level_4__Grade_Level_4_8" localSheetId="53">'4103'!$A$19</definedName>
    <definedName name="_254_ESE_Level_4__Grade_Level_4_8" localSheetId="54">'4111'!$A$19</definedName>
    <definedName name="_254_ESE_Level_4__Grade_Level_4_8" localSheetId="55">'4131'!$A$19</definedName>
    <definedName name="_254_ESE_Level_4__Grade_Level_4_8">'0040'!$A$19</definedName>
    <definedName name="_254_ESE_Level_4__Grade_Level_9_12" localSheetId="7">'0100'!$A$20</definedName>
    <definedName name="_254_ESE_Level_4__Grade_Level_9_12" localSheetId="6">'0571'!$A$20</definedName>
    <definedName name="_254_ESE_Level_4__Grade_Level_9_12" localSheetId="8">'1461'!$A$20</definedName>
    <definedName name="_254_ESE_Level_4__Grade_Level_9_12" localSheetId="9">'1571'!$A$20</definedName>
    <definedName name="_254_ESE_Level_4__Grade_Level_9_12" localSheetId="10">'2521'!$A$20</definedName>
    <definedName name="_254_ESE_Level_4__Grade_Level_9_12" localSheetId="11">'2531'!$A$20</definedName>
    <definedName name="_254_ESE_Level_4__Grade_Level_9_12" localSheetId="12">'2791'!$A$20</definedName>
    <definedName name="_254_ESE_Level_4__Grade_Level_9_12" localSheetId="13">'2801'!$A$20</definedName>
    <definedName name="_254_ESE_Level_4__Grade_Level_9_12" localSheetId="14">'2911'!$A$20</definedName>
    <definedName name="_254_ESE_Level_4__Grade_Level_9_12" localSheetId="15">'2941'!$A$20</definedName>
    <definedName name="_254_ESE_Level_4__Grade_Level_9_12" localSheetId="16">'3083'!$A$20</definedName>
    <definedName name="_254_ESE_Level_4__Grade_Level_9_12" localSheetId="17">'3345'!$A$20</definedName>
    <definedName name="_254_ESE_Level_4__Grade_Level_9_12" localSheetId="18">'3362'!$A$20</definedName>
    <definedName name="_254_ESE_Level_4__Grade_Level_9_12" localSheetId="19">'3381'!$A$20</definedName>
    <definedName name="_254_ESE_Level_4__Grade_Level_9_12" localSheetId="20">'3382'!$A$20</definedName>
    <definedName name="_254_ESE_Level_4__Grade_Level_9_12" localSheetId="21">'3391'!$A$20</definedName>
    <definedName name="_254_ESE_Level_4__Grade_Level_9_12" localSheetId="22">'3394'!$A$20</definedName>
    <definedName name="_254_ESE_Level_4__Grade_Level_9_12" localSheetId="23">'3395'!$A$20</definedName>
    <definedName name="_254_ESE_Level_4__Grade_Level_9_12" localSheetId="24">'3396'!$A$20</definedName>
    <definedName name="_254_ESE_Level_4__Grade_Level_9_12" localSheetId="25">'3398'!$A$20</definedName>
    <definedName name="_254_ESE_Level_4__Grade_Level_9_12" localSheetId="26">'3400'!$A$20</definedName>
    <definedName name="_254_ESE_Level_4__Grade_Level_9_12" localSheetId="27">'3401'!$A$20</definedName>
    <definedName name="_254_ESE_Level_4__Grade_Level_9_12" localSheetId="28">'3413'!$A$20</definedName>
    <definedName name="_254_ESE_Level_4__Grade_Level_9_12" localSheetId="29">'3421'!$A$20</definedName>
    <definedName name="_254_ESE_Level_4__Grade_Level_9_12" localSheetId="30">'3431'!$A$20</definedName>
    <definedName name="_254_ESE_Level_4__Grade_Level_9_12" localSheetId="31">'3441'!$A$20</definedName>
    <definedName name="_254_ESE_Level_4__Grade_Level_9_12" localSheetId="32">'3924'!$A$20</definedName>
    <definedName name="_254_ESE_Level_4__Grade_Level_9_12" localSheetId="33">'3941'!$A$20</definedName>
    <definedName name="_254_ESE_Level_4__Grade_Level_9_12" localSheetId="34">'3961'!$A$20</definedName>
    <definedName name="_254_ESE_Level_4__Grade_Level_9_12" localSheetId="35">'3971'!$A$20</definedName>
    <definedName name="_254_ESE_Level_4__Grade_Level_9_12" localSheetId="36">'4001'!$A$20</definedName>
    <definedName name="_254_ESE_Level_4__Grade_Level_9_12" localSheetId="37">'4002'!$A$20</definedName>
    <definedName name="_254_ESE_Level_4__Grade_Level_9_12" localSheetId="38">'4012'!$A$20</definedName>
    <definedName name="_254_ESE_Level_4__Grade_Level_9_12" localSheetId="39">'4013'!$A$20</definedName>
    <definedName name="_254_ESE_Level_4__Grade_Level_9_12" localSheetId="40">'4020'!$A$20</definedName>
    <definedName name="_254_ESE_Level_4__Grade_Level_9_12" localSheetId="41">'4030'!$A$20</definedName>
    <definedName name="_254_ESE_Level_4__Grade_Level_9_12" localSheetId="42">'4031'!$A$20</definedName>
    <definedName name="_254_ESE_Level_4__Grade_Level_9_12" localSheetId="43">'4041'!$A$20</definedName>
    <definedName name="_254_ESE_Level_4__Grade_Level_9_12" localSheetId="44">'4050'!$A$20</definedName>
    <definedName name="_254_ESE_Level_4__Grade_Level_9_12" localSheetId="45">'4051'!$A$20</definedName>
    <definedName name="_254_ESE_Level_4__Grade_Level_9_12" localSheetId="46">'4061'!$A$20</definedName>
    <definedName name="_254_ESE_Level_4__Grade_Level_9_12" localSheetId="47">'4080'!$A$20</definedName>
    <definedName name="_254_ESE_Level_4__Grade_Level_9_12" localSheetId="48">'4081'!$A$20</definedName>
    <definedName name="_254_ESE_Level_4__Grade_Level_9_12" localSheetId="49">'4090'!$A$20</definedName>
    <definedName name="_254_ESE_Level_4__Grade_Level_9_12" localSheetId="50">'4091'!$A$20</definedName>
    <definedName name="_254_ESE_Level_4__Grade_Level_9_12" localSheetId="51">'4100'!$A$20</definedName>
    <definedName name="_254_ESE_Level_4__Grade_Level_9_12" localSheetId="52">'4102'!$A$20</definedName>
    <definedName name="_254_ESE_Level_4__Grade_Level_9_12" localSheetId="53">'4103'!$A$20</definedName>
    <definedName name="_254_ESE_Level_4__Grade_Level_9_12" localSheetId="54">'4111'!$A$20</definedName>
    <definedName name="_254_ESE_Level_4__Grade_Level_9_12" localSheetId="55">'4131'!$A$20</definedName>
    <definedName name="_254_ESE_Level_4__Grade_Level_9_12">'0040'!$A$20</definedName>
    <definedName name="_254_ESE_Level_4__Grade_Level_PK_3" localSheetId="7">'0100'!$A$18</definedName>
    <definedName name="_254_ESE_Level_4__Grade_Level_PK_3" localSheetId="6">'0571'!$A$18</definedName>
    <definedName name="_254_ESE_Level_4__Grade_Level_PK_3" localSheetId="8">'1461'!$A$18</definedName>
    <definedName name="_254_ESE_Level_4__Grade_Level_PK_3" localSheetId="9">'1571'!$A$18</definedName>
    <definedName name="_254_ESE_Level_4__Grade_Level_PK_3" localSheetId="10">'2521'!$A$18</definedName>
    <definedName name="_254_ESE_Level_4__Grade_Level_PK_3" localSheetId="11">'2531'!$A$18</definedName>
    <definedName name="_254_ESE_Level_4__Grade_Level_PK_3" localSheetId="12">'2791'!$A$18</definedName>
    <definedName name="_254_ESE_Level_4__Grade_Level_PK_3" localSheetId="13">'2801'!$A$18</definedName>
    <definedName name="_254_ESE_Level_4__Grade_Level_PK_3" localSheetId="14">'2911'!$A$18</definedName>
    <definedName name="_254_ESE_Level_4__Grade_Level_PK_3" localSheetId="15">'2941'!$A$18</definedName>
    <definedName name="_254_ESE_Level_4__Grade_Level_PK_3" localSheetId="16">'3083'!$A$18</definedName>
    <definedName name="_254_ESE_Level_4__Grade_Level_PK_3" localSheetId="17">'3345'!$A$18</definedName>
    <definedName name="_254_ESE_Level_4__Grade_Level_PK_3" localSheetId="18">'3362'!$A$18</definedName>
    <definedName name="_254_ESE_Level_4__Grade_Level_PK_3" localSheetId="19">'3381'!$A$18</definedName>
    <definedName name="_254_ESE_Level_4__Grade_Level_PK_3" localSheetId="20">'3382'!$A$18</definedName>
    <definedName name="_254_ESE_Level_4__Grade_Level_PK_3" localSheetId="21">'3391'!$A$18</definedName>
    <definedName name="_254_ESE_Level_4__Grade_Level_PK_3" localSheetId="22">'3394'!$A$18</definedName>
    <definedName name="_254_ESE_Level_4__Grade_Level_PK_3" localSheetId="23">'3395'!$A$18</definedName>
    <definedName name="_254_ESE_Level_4__Grade_Level_PK_3" localSheetId="24">'3396'!$A$18</definedName>
    <definedName name="_254_ESE_Level_4__Grade_Level_PK_3" localSheetId="25">'3398'!$A$18</definedName>
    <definedName name="_254_ESE_Level_4__Grade_Level_PK_3" localSheetId="26">'3400'!$A$18</definedName>
    <definedName name="_254_ESE_Level_4__Grade_Level_PK_3" localSheetId="27">'3401'!$A$18</definedName>
    <definedName name="_254_ESE_Level_4__Grade_Level_PK_3" localSheetId="28">'3413'!$A$18</definedName>
    <definedName name="_254_ESE_Level_4__Grade_Level_PK_3" localSheetId="29">'3421'!$A$18</definedName>
    <definedName name="_254_ESE_Level_4__Grade_Level_PK_3" localSheetId="30">'3431'!$A$18</definedName>
    <definedName name="_254_ESE_Level_4__Grade_Level_PK_3" localSheetId="31">'3441'!$A$18</definedName>
    <definedName name="_254_ESE_Level_4__Grade_Level_PK_3" localSheetId="32">'3924'!$A$18</definedName>
    <definedName name="_254_ESE_Level_4__Grade_Level_PK_3" localSheetId="33">'3941'!$A$18</definedName>
    <definedName name="_254_ESE_Level_4__Grade_Level_PK_3" localSheetId="34">'3961'!$A$18</definedName>
    <definedName name="_254_ESE_Level_4__Grade_Level_PK_3" localSheetId="35">'3971'!$A$18</definedName>
    <definedName name="_254_ESE_Level_4__Grade_Level_PK_3" localSheetId="36">'4001'!$A$18</definedName>
    <definedName name="_254_ESE_Level_4__Grade_Level_PK_3" localSheetId="37">'4002'!$A$18</definedName>
    <definedName name="_254_ESE_Level_4__Grade_Level_PK_3" localSheetId="38">'4012'!$A$18</definedName>
    <definedName name="_254_ESE_Level_4__Grade_Level_PK_3" localSheetId="39">'4013'!$A$18</definedName>
    <definedName name="_254_ESE_Level_4__Grade_Level_PK_3" localSheetId="40">'4020'!$A$18</definedName>
    <definedName name="_254_ESE_Level_4__Grade_Level_PK_3" localSheetId="41">'4030'!$A$18</definedName>
    <definedName name="_254_ESE_Level_4__Grade_Level_PK_3" localSheetId="42">'4031'!$A$18</definedName>
    <definedName name="_254_ESE_Level_4__Grade_Level_PK_3" localSheetId="43">'4041'!$A$18</definedName>
    <definedName name="_254_ESE_Level_4__Grade_Level_PK_3" localSheetId="44">'4050'!$A$18</definedName>
    <definedName name="_254_ESE_Level_4__Grade_Level_PK_3" localSheetId="45">'4051'!$A$18</definedName>
    <definedName name="_254_ESE_Level_4__Grade_Level_PK_3" localSheetId="46">'4061'!$A$18</definedName>
    <definedName name="_254_ESE_Level_4__Grade_Level_PK_3" localSheetId="47">'4080'!$A$18</definedName>
    <definedName name="_254_ESE_Level_4__Grade_Level_PK_3" localSheetId="48">'4081'!$A$18</definedName>
    <definedName name="_254_ESE_Level_4__Grade_Level_PK_3" localSheetId="49">'4090'!$A$18</definedName>
    <definedName name="_254_ESE_Level_4__Grade_Level_PK_3" localSheetId="50">'4091'!$A$18</definedName>
    <definedName name="_254_ESE_Level_4__Grade_Level_PK_3" localSheetId="51">'4100'!$A$18</definedName>
    <definedName name="_254_ESE_Level_4__Grade_Level_PK_3" localSheetId="52">'4102'!$A$18</definedName>
    <definedName name="_254_ESE_Level_4__Grade_Level_PK_3" localSheetId="53">'4103'!$A$18</definedName>
    <definedName name="_254_ESE_Level_4__Grade_Level_PK_3" localSheetId="54">'4111'!$A$18</definedName>
    <definedName name="_254_ESE_Level_4__Grade_Level_PK_3" localSheetId="55">'4131'!$A$18</definedName>
    <definedName name="_254_ESE_Level_4__Grade_Level_PK_3">'0040'!$A$18</definedName>
    <definedName name="_255_ESE_Level_5__Grade_Level_4_8" localSheetId="7">'0100'!$A$22</definedName>
    <definedName name="_255_ESE_Level_5__Grade_Level_4_8" localSheetId="6">'0571'!$A$22</definedName>
    <definedName name="_255_ESE_Level_5__Grade_Level_4_8" localSheetId="8">'1461'!$A$22</definedName>
    <definedName name="_255_ESE_Level_5__Grade_Level_4_8" localSheetId="9">'1571'!$A$22</definedName>
    <definedName name="_255_ESE_Level_5__Grade_Level_4_8" localSheetId="10">'2521'!$A$22</definedName>
    <definedName name="_255_ESE_Level_5__Grade_Level_4_8" localSheetId="11">'2531'!$A$22</definedName>
    <definedName name="_255_ESE_Level_5__Grade_Level_4_8" localSheetId="12">'2791'!$A$22</definedName>
    <definedName name="_255_ESE_Level_5__Grade_Level_4_8" localSheetId="13">'2801'!$A$22</definedName>
    <definedName name="_255_ESE_Level_5__Grade_Level_4_8" localSheetId="14">'2911'!$A$22</definedName>
    <definedName name="_255_ESE_Level_5__Grade_Level_4_8" localSheetId="15">'2941'!$A$22</definedName>
    <definedName name="_255_ESE_Level_5__Grade_Level_4_8" localSheetId="16">'3083'!$A$22</definedName>
    <definedName name="_255_ESE_Level_5__Grade_Level_4_8" localSheetId="17">'3345'!$A$22</definedName>
    <definedName name="_255_ESE_Level_5__Grade_Level_4_8" localSheetId="18">'3362'!$A$22</definedName>
    <definedName name="_255_ESE_Level_5__Grade_Level_4_8" localSheetId="19">'3381'!$A$22</definedName>
    <definedName name="_255_ESE_Level_5__Grade_Level_4_8" localSheetId="20">'3382'!$A$22</definedName>
    <definedName name="_255_ESE_Level_5__Grade_Level_4_8" localSheetId="21">'3391'!$A$22</definedName>
    <definedName name="_255_ESE_Level_5__Grade_Level_4_8" localSheetId="22">'3394'!$A$22</definedName>
    <definedName name="_255_ESE_Level_5__Grade_Level_4_8" localSheetId="23">'3395'!$A$22</definedName>
    <definedName name="_255_ESE_Level_5__Grade_Level_4_8" localSheetId="24">'3396'!$A$22</definedName>
    <definedName name="_255_ESE_Level_5__Grade_Level_4_8" localSheetId="25">'3398'!$A$22</definedName>
    <definedName name="_255_ESE_Level_5__Grade_Level_4_8" localSheetId="26">'3400'!$A$22</definedName>
    <definedName name="_255_ESE_Level_5__Grade_Level_4_8" localSheetId="27">'3401'!$A$22</definedName>
    <definedName name="_255_ESE_Level_5__Grade_Level_4_8" localSheetId="28">'3413'!$A$22</definedName>
    <definedName name="_255_ESE_Level_5__Grade_Level_4_8" localSheetId="29">'3421'!$A$22</definedName>
    <definedName name="_255_ESE_Level_5__Grade_Level_4_8" localSheetId="30">'3431'!$A$22</definedName>
    <definedName name="_255_ESE_Level_5__Grade_Level_4_8" localSheetId="31">'3441'!$A$22</definedName>
    <definedName name="_255_ESE_Level_5__Grade_Level_4_8" localSheetId="32">'3924'!$A$22</definedName>
    <definedName name="_255_ESE_Level_5__Grade_Level_4_8" localSheetId="33">'3941'!$A$22</definedName>
    <definedName name="_255_ESE_Level_5__Grade_Level_4_8" localSheetId="34">'3961'!$A$22</definedName>
    <definedName name="_255_ESE_Level_5__Grade_Level_4_8" localSheetId="35">'3971'!$A$22</definedName>
    <definedName name="_255_ESE_Level_5__Grade_Level_4_8" localSheetId="36">'4001'!$A$22</definedName>
    <definedName name="_255_ESE_Level_5__Grade_Level_4_8" localSheetId="37">'4002'!$A$22</definedName>
    <definedName name="_255_ESE_Level_5__Grade_Level_4_8" localSheetId="38">'4012'!$A$22</definedName>
    <definedName name="_255_ESE_Level_5__Grade_Level_4_8" localSheetId="39">'4013'!$A$22</definedName>
    <definedName name="_255_ESE_Level_5__Grade_Level_4_8" localSheetId="40">'4020'!$A$22</definedName>
    <definedName name="_255_ESE_Level_5__Grade_Level_4_8" localSheetId="41">'4030'!$A$22</definedName>
    <definedName name="_255_ESE_Level_5__Grade_Level_4_8" localSheetId="42">'4031'!$A$22</definedName>
    <definedName name="_255_ESE_Level_5__Grade_Level_4_8" localSheetId="43">'4041'!$A$22</definedName>
    <definedName name="_255_ESE_Level_5__Grade_Level_4_8" localSheetId="44">'4050'!$A$22</definedName>
    <definedName name="_255_ESE_Level_5__Grade_Level_4_8" localSheetId="45">'4051'!$A$22</definedName>
    <definedName name="_255_ESE_Level_5__Grade_Level_4_8" localSheetId="46">'4061'!$A$22</definedName>
    <definedName name="_255_ESE_Level_5__Grade_Level_4_8" localSheetId="47">'4080'!$A$22</definedName>
    <definedName name="_255_ESE_Level_5__Grade_Level_4_8" localSheetId="48">'4081'!$A$22</definedName>
    <definedName name="_255_ESE_Level_5__Grade_Level_4_8" localSheetId="49">'4090'!$A$22</definedName>
    <definedName name="_255_ESE_Level_5__Grade_Level_4_8" localSheetId="50">'4091'!$A$22</definedName>
    <definedName name="_255_ESE_Level_5__Grade_Level_4_8" localSheetId="51">'4100'!$A$22</definedName>
    <definedName name="_255_ESE_Level_5__Grade_Level_4_8" localSheetId="52">'4102'!$A$22</definedName>
    <definedName name="_255_ESE_Level_5__Grade_Level_4_8" localSheetId="53">'4103'!$A$22</definedName>
    <definedName name="_255_ESE_Level_5__Grade_Level_4_8" localSheetId="54">'4111'!$A$22</definedName>
    <definedName name="_255_ESE_Level_5__Grade_Level_4_8" localSheetId="55">'4131'!$A$22</definedName>
    <definedName name="_255_ESE_Level_5__Grade_Level_4_8">'0040'!$A$22</definedName>
    <definedName name="_255_ESE_Level_5__Grade_Level_9_12" localSheetId="7">'0100'!$A$23</definedName>
    <definedName name="_255_ESE_Level_5__Grade_Level_9_12" localSheetId="6">'0571'!$A$23</definedName>
    <definedName name="_255_ESE_Level_5__Grade_Level_9_12" localSheetId="8">'1461'!$A$23</definedName>
    <definedName name="_255_ESE_Level_5__Grade_Level_9_12" localSheetId="9">'1571'!$A$23</definedName>
    <definedName name="_255_ESE_Level_5__Grade_Level_9_12" localSheetId="10">'2521'!$A$23</definedName>
    <definedName name="_255_ESE_Level_5__Grade_Level_9_12" localSheetId="11">'2531'!$A$23</definedName>
    <definedName name="_255_ESE_Level_5__Grade_Level_9_12" localSheetId="12">'2791'!$A$23</definedName>
    <definedName name="_255_ESE_Level_5__Grade_Level_9_12" localSheetId="13">'2801'!$A$23</definedName>
    <definedName name="_255_ESE_Level_5__Grade_Level_9_12" localSheetId="14">'2911'!$A$23</definedName>
    <definedName name="_255_ESE_Level_5__Grade_Level_9_12" localSheetId="15">'2941'!$A$23</definedName>
    <definedName name="_255_ESE_Level_5__Grade_Level_9_12" localSheetId="16">'3083'!$A$23</definedName>
    <definedName name="_255_ESE_Level_5__Grade_Level_9_12" localSheetId="17">'3345'!$A$23</definedName>
    <definedName name="_255_ESE_Level_5__Grade_Level_9_12" localSheetId="18">'3362'!$A$23</definedName>
    <definedName name="_255_ESE_Level_5__Grade_Level_9_12" localSheetId="19">'3381'!$A$23</definedName>
    <definedName name="_255_ESE_Level_5__Grade_Level_9_12" localSheetId="20">'3382'!$A$23</definedName>
    <definedName name="_255_ESE_Level_5__Grade_Level_9_12" localSheetId="21">'3391'!$A$23</definedName>
    <definedName name="_255_ESE_Level_5__Grade_Level_9_12" localSheetId="22">'3394'!$A$23</definedName>
    <definedName name="_255_ESE_Level_5__Grade_Level_9_12" localSheetId="23">'3395'!$A$23</definedName>
    <definedName name="_255_ESE_Level_5__Grade_Level_9_12" localSheetId="24">'3396'!$A$23</definedName>
    <definedName name="_255_ESE_Level_5__Grade_Level_9_12" localSheetId="25">'3398'!$A$23</definedName>
    <definedName name="_255_ESE_Level_5__Grade_Level_9_12" localSheetId="26">'3400'!$A$23</definedName>
    <definedName name="_255_ESE_Level_5__Grade_Level_9_12" localSheetId="27">'3401'!$A$23</definedName>
    <definedName name="_255_ESE_Level_5__Grade_Level_9_12" localSheetId="28">'3413'!$A$23</definedName>
    <definedName name="_255_ESE_Level_5__Grade_Level_9_12" localSheetId="29">'3421'!$A$23</definedName>
    <definedName name="_255_ESE_Level_5__Grade_Level_9_12" localSheetId="30">'3431'!$A$23</definedName>
    <definedName name="_255_ESE_Level_5__Grade_Level_9_12" localSheetId="31">'3441'!$A$23</definedName>
    <definedName name="_255_ESE_Level_5__Grade_Level_9_12" localSheetId="32">'3924'!$A$23</definedName>
    <definedName name="_255_ESE_Level_5__Grade_Level_9_12" localSheetId="33">'3941'!$A$23</definedName>
    <definedName name="_255_ESE_Level_5__Grade_Level_9_12" localSheetId="34">'3961'!$A$23</definedName>
    <definedName name="_255_ESE_Level_5__Grade_Level_9_12" localSheetId="35">'3971'!$A$23</definedName>
    <definedName name="_255_ESE_Level_5__Grade_Level_9_12" localSheetId="36">'4001'!$A$23</definedName>
    <definedName name="_255_ESE_Level_5__Grade_Level_9_12" localSheetId="37">'4002'!$A$23</definedName>
    <definedName name="_255_ESE_Level_5__Grade_Level_9_12" localSheetId="38">'4012'!$A$23</definedName>
    <definedName name="_255_ESE_Level_5__Grade_Level_9_12" localSheetId="39">'4013'!$A$23</definedName>
    <definedName name="_255_ESE_Level_5__Grade_Level_9_12" localSheetId="40">'4020'!$A$23</definedName>
    <definedName name="_255_ESE_Level_5__Grade_Level_9_12" localSheetId="41">'4030'!$A$23</definedName>
    <definedName name="_255_ESE_Level_5__Grade_Level_9_12" localSheetId="42">'4031'!$A$23</definedName>
    <definedName name="_255_ESE_Level_5__Grade_Level_9_12" localSheetId="43">'4041'!$A$23</definedName>
    <definedName name="_255_ESE_Level_5__Grade_Level_9_12" localSheetId="44">'4050'!$A$23</definedName>
    <definedName name="_255_ESE_Level_5__Grade_Level_9_12" localSheetId="45">'4051'!$A$23</definedName>
    <definedName name="_255_ESE_Level_5__Grade_Level_9_12" localSheetId="46">'4061'!$A$23</definedName>
    <definedName name="_255_ESE_Level_5__Grade_Level_9_12" localSheetId="47">'4080'!$A$23</definedName>
    <definedName name="_255_ESE_Level_5__Grade_Level_9_12" localSheetId="48">'4081'!$A$23</definedName>
    <definedName name="_255_ESE_Level_5__Grade_Level_9_12" localSheetId="49">'4090'!$A$23</definedName>
    <definedName name="_255_ESE_Level_5__Grade_Level_9_12" localSheetId="50">'4091'!$A$23</definedName>
    <definedName name="_255_ESE_Level_5__Grade_Level_9_12" localSheetId="51">'4100'!$A$23</definedName>
    <definedName name="_255_ESE_Level_5__Grade_Level_9_12" localSheetId="52">'4102'!$A$23</definedName>
    <definedName name="_255_ESE_Level_5__Grade_Level_9_12" localSheetId="53">'4103'!$A$23</definedName>
    <definedName name="_255_ESE_Level_5__Grade_Level_9_12" localSheetId="54">'4111'!$A$23</definedName>
    <definedName name="_255_ESE_Level_5__Grade_Level_9_12" localSheetId="55">'4131'!$A$23</definedName>
    <definedName name="_255_ESE_Level_5__Grade_Level_9_12">'0040'!$A$23</definedName>
    <definedName name="_255_ESE_Level_5__Grade_Level_PK_3" localSheetId="7">'0100'!$A$21</definedName>
    <definedName name="_255_ESE_Level_5__Grade_Level_PK_3" localSheetId="6">'0571'!$A$21</definedName>
    <definedName name="_255_ESE_Level_5__Grade_Level_PK_3" localSheetId="8">'1461'!$A$21</definedName>
    <definedName name="_255_ESE_Level_5__Grade_Level_PK_3" localSheetId="9">'1571'!$A$21</definedName>
    <definedName name="_255_ESE_Level_5__Grade_Level_PK_3" localSheetId="10">'2521'!$A$21</definedName>
    <definedName name="_255_ESE_Level_5__Grade_Level_PK_3" localSheetId="11">'2531'!$A$21</definedName>
    <definedName name="_255_ESE_Level_5__Grade_Level_PK_3" localSheetId="12">'2791'!$A$21</definedName>
    <definedName name="_255_ESE_Level_5__Grade_Level_PK_3" localSheetId="13">'2801'!$A$21</definedName>
    <definedName name="_255_ESE_Level_5__Grade_Level_PK_3" localSheetId="14">'2911'!$A$21</definedName>
    <definedName name="_255_ESE_Level_5__Grade_Level_PK_3" localSheetId="15">'2941'!$A$21</definedName>
    <definedName name="_255_ESE_Level_5__Grade_Level_PK_3" localSheetId="16">'3083'!$A$21</definedName>
    <definedName name="_255_ESE_Level_5__Grade_Level_PK_3" localSheetId="17">'3345'!$A$21</definedName>
    <definedName name="_255_ESE_Level_5__Grade_Level_PK_3" localSheetId="18">'3362'!$A$21</definedName>
    <definedName name="_255_ESE_Level_5__Grade_Level_PK_3" localSheetId="19">'3381'!$A$21</definedName>
    <definedName name="_255_ESE_Level_5__Grade_Level_PK_3" localSheetId="20">'3382'!$A$21</definedName>
    <definedName name="_255_ESE_Level_5__Grade_Level_PK_3" localSheetId="21">'3391'!$A$21</definedName>
    <definedName name="_255_ESE_Level_5__Grade_Level_PK_3" localSheetId="22">'3394'!$A$21</definedName>
    <definedName name="_255_ESE_Level_5__Grade_Level_PK_3" localSheetId="23">'3395'!$A$21</definedName>
    <definedName name="_255_ESE_Level_5__Grade_Level_PK_3" localSheetId="24">'3396'!$A$21</definedName>
    <definedName name="_255_ESE_Level_5__Grade_Level_PK_3" localSheetId="25">'3398'!$A$21</definedName>
    <definedName name="_255_ESE_Level_5__Grade_Level_PK_3" localSheetId="26">'3400'!$A$21</definedName>
    <definedName name="_255_ESE_Level_5__Grade_Level_PK_3" localSheetId="27">'3401'!$A$21</definedName>
    <definedName name="_255_ESE_Level_5__Grade_Level_PK_3" localSheetId="28">'3413'!$A$21</definedName>
    <definedName name="_255_ESE_Level_5__Grade_Level_PK_3" localSheetId="29">'3421'!$A$21</definedName>
    <definedName name="_255_ESE_Level_5__Grade_Level_PK_3" localSheetId="30">'3431'!$A$21</definedName>
    <definedName name="_255_ESE_Level_5__Grade_Level_PK_3" localSheetId="31">'3441'!$A$21</definedName>
    <definedName name="_255_ESE_Level_5__Grade_Level_PK_3" localSheetId="32">'3924'!$A$21</definedName>
    <definedName name="_255_ESE_Level_5__Grade_Level_PK_3" localSheetId="33">'3941'!$A$21</definedName>
    <definedName name="_255_ESE_Level_5__Grade_Level_PK_3" localSheetId="34">'3961'!$A$21</definedName>
    <definedName name="_255_ESE_Level_5__Grade_Level_PK_3" localSheetId="35">'3971'!$A$21</definedName>
    <definedName name="_255_ESE_Level_5__Grade_Level_PK_3" localSheetId="36">'4001'!$A$21</definedName>
    <definedName name="_255_ESE_Level_5__Grade_Level_PK_3" localSheetId="37">'4002'!$A$21</definedName>
    <definedName name="_255_ESE_Level_5__Grade_Level_PK_3" localSheetId="38">'4012'!$A$21</definedName>
    <definedName name="_255_ESE_Level_5__Grade_Level_PK_3" localSheetId="39">'4013'!$A$21</definedName>
    <definedName name="_255_ESE_Level_5__Grade_Level_PK_3" localSheetId="40">'4020'!$A$21</definedName>
    <definedName name="_255_ESE_Level_5__Grade_Level_PK_3" localSheetId="41">'4030'!$A$21</definedName>
    <definedName name="_255_ESE_Level_5__Grade_Level_PK_3" localSheetId="42">'4031'!$A$21</definedName>
    <definedName name="_255_ESE_Level_5__Grade_Level_PK_3" localSheetId="43">'4041'!$A$21</definedName>
    <definedName name="_255_ESE_Level_5__Grade_Level_PK_3" localSheetId="44">'4050'!$A$21</definedName>
    <definedName name="_255_ESE_Level_5__Grade_Level_PK_3" localSheetId="45">'4051'!$A$21</definedName>
    <definedName name="_255_ESE_Level_5__Grade_Level_PK_3" localSheetId="46">'4061'!$A$21</definedName>
    <definedName name="_255_ESE_Level_5__Grade_Level_PK_3" localSheetId="47">'4080'!$A$21</definedName>
    <definedName name="_255_ESE_Level_5__Grade_Level_PK_3" localSheetId="48">'4081'!$A$21</definedName>
    <definedName name="_255_ESE_Level_5__Grade_Level_PK_3" localSheetId="49">'4090'!$A$21</definedName>
    <definedName name="_255_ESE_Level_5__Grade_Level_PK_3" localSheetId="50">'4091'!$A$21</definedName>
    <definedName name="_255_ESE_Level_5__Grade_Level_PK_3" localSheetId="51">'4100'!$A$21</definedName>
    <definedName name="_255_ESE_Level_5__Grade_Level_PK_3" localSheetId="52">'4102'!$A$21</definedName>
    <definedName name="_255_ESE_Level_5__Grade_Level_PK_3" localSheetId="53">'4103'!$A$21</definedName>
    <definedName name="_255_ESE_Level_5__Grade_Level_PK_3" localSheetId="54">'4111'!$A$21</definedName>
    <definedName name="_255_ESE_Level_5__Grade_Level_PK_3" localSheetId="55">'4131'!$A$21</definedName>
    <definedName name="_255_ESE_Level_5__Grade_Level_PK_3">'0040'!$A$21</definedName>
    <definedName name="_3.__Supplemental_Academic_Instruction" localSheetId="7">'0100'!#REF!</definedName>
    <definedName name="_3.__Supplemental_Academic_Instruction" localSheetId="6">'0571'!#REF!</definedName>
    <definedName name="_3.__Supplemental_Academic_Instruction" localSheetId="8">'1461'!#REF!</definedName>
    <definedName name="_3.__Supplemental_Academic_Instruction" localSheetId="9">'1571'!#REF!</definedName>
    <definedName name="_3.__Supplemental_Academic_Instruction" localSheetId="10">'2521'!#REF!</definedName>
    <definedName name="_3.__Supplemental_Academic_Instruction" localSheetId="11">'2531'!#REF!</definedName>
    <definedName name="_3.__Supplemental_Academic_Instruction" localSheetId="12">'2791'!#REF!</definedName>
    <definedName name="_3.__Supplemental_Academic_Instruction" localSheetId="13">'2801'!#REF!</definedName>
    <definedName name="_3.__Supplemental_Academic_Instruction" localSheetId="14">'2911'!#REF!</definedName>
    <definedName name="_3.__Supplemental_Academic_Instruction" localSheetId="15">'2941'!#REF!</definedName>
    <definedName name="_3.__Supplemental_Academic_Instruction" localSheetId="16">'3083'!#REF!</definedName>
    <definedName name="_3.__Supplemental_Academic_Instruction" localSheetId="17">'3345'!#REF!</definedName>
    <definedName name="_3.__Supplemental_Academic_Instruction" localSheetId="18">'3362'!#REF!</definedName>
    <definedName name="_3.__Supplemental_Academic_Instruction" localSheetId="19">'3381'!#REF!</definedName>
    <definedName name="_3.__Supplemental_Academic_Instruction" localSheetId="20">'3382'!#REF!</definedName>
    <definedName name="_3.__Supplemental_Academic_Instruction" localSheetId="21">'3391'!#REF!</definedName>
    <definedName name="_3.__Supplemental_Academic_Instruction" localSheetId="22">'3394'!#REF!</definedName>
    <definedName name="_3.__Supplemental_Academic_Instruction" localSheetId="23">'3395'!#REF!</definedName>
    <definedName name="_3.__Supplemental_Academic_Instruction" localSheetId="24">'3396'!#REF!</definedName>
    <definedName name="_3.__Supplemental_Academic_Instruction" localSheetId="25">'3398'!#REF!</definedName>
    <definedName name="_3.__Supplemental_Academic_Instruction" localSheetId="26">'3400'!#REF!</definedName>
    <definedName name="_3.__Supplemental_Academic_Instruction" localSheetId="27">'3401'!#REF!</definedName>
    <definedName name="_3.__Supplemental_Academic_Instruction" localSheetId="28">'3413'!#REF!</definedName>
    <definedName name="_3.__Supplemental_Academic_Instruction" localSheetId="29">'3421'!#REF!</definedName>
    <definedName name="_3.__Supplemental_Academic_Instruction" localSheetId="30">'3431'!#REF!</definedName>
    <definedName name="_3.__Supplemental_Academic_Instruction" localSheetId="31">'3441'!#REF!</definedName>
    <definedName name="_3.__Supplemental_Academic_Instruction" localSheetId="32">'3924'!#REF!</definedName>
    <definedName name="_3.__Supplemental_Academic_Instruction" localSheetId="33">'3941'!#REF!</definedName>
    <definedName name="_3.__Supplemental_Academic_Instruction" localSheetId="34">'3961'!#REF!</definedName>
    <definedName name="_3.__Supplemental_Academic_Instruction" localSheetId="35">'3971'!#REF!</definedName>
    <definedName name="_3.__Supplemental_Academic_Instruction" localSheetId="36">'4001'!#REF!</definedName>
    <definedName name="_3.__Supplemental_Academic_Instruction" localSheetId="37">'4002'!#REF!</definedName>
    <definedName name="_3.__Supplemental_Academic_Instruction" localSheetId="38">'4012'!#REF!</definedName>
    <definedName name="_3.__Supplemental_Academic_Instruction" localSheetId="39">'4013'!#REF!</definedName>
    <definedName name="_3.__Supplemental_Academic_Instruction" localSheetId="40">'4020'!#REF!</definedName>
    <definedName name="_3.__Supplemental_Academic_Instruction" localSheetId="41">'4030'!#REF!</definedName>
    <definedName name="_3.__Supplemental_Academic_Instruction" localSheetId="42">'4031'!#REF!</definedName>
    <definedName name="_3.__Supplemental_Academic_Instruction" localSheetId="43">'4041'!#REF!</definedName>
    <definedName name="_3.__Supplemental_Academic_Instruction" localSheetId="44">'4050'!#REF!</definedName>
    <definedName name="_3.__Supplemental_Academic_Instruction" localSheetId="45">'4051'!#REF!</definedName>
    <definedName name="_3.__Supplemental_Academic_Instruction" localSheetId="46">'4061'!#REF!</definedName>
    <definedName name="_3.__Supplemental_Academic_Instruction" localSheetId="47">'4080'!#REF!</definedName>
    <definedName name="_3.__Supplemental_Academic_Instruction" localSheetId="48">'4081'!#REF!</definedName>
    <definedName name="_3.__Supplemental_Academic_Instruction" localSheetId="49">'4090'!#REF!</definedName>
    <definedName name="_3.__Supplemental_Academic_Instruction" localSheetId="50">'4091'!#REF!</definedName>
    <definedName name="_3.__Supplemental_Academic_Instruction" localSheetId="51">'4100'!#REF!</definedName>
    <definedName name="_3.__Supplemental_Academic_Instruction" localSheetId="52">'4102'!#REF!</definedName>
    <definedName name="_3.__Supplemental_Academic_Instruction" localSheetId="53">'4103'!#REF!</definedName>
    <definedName name="_3.__Supplemental_Academic_Instruction" localSheetId="54">'4111'!#REF!</definedName>
    <definedName name="_3.__Supplemental_Academic_Instruction" localSheetId="55">'4131'!#REF!</definedName>
    <definedName name="_3.__Supplemental_Academic_Instruction">'0040'!#REF!</definedName>
    <definedName name="_300_Career_Education__Grades_9_12" localSheetId="7">'0100'!$A$27</definedName>
    <definedName name="_300_Career_Education__Grades_9_12" localSheetId="6">'0571'!$A$27</definedName>
    <definedName name="_300_Career_Education__Grades_9_12" localSheetId="8">'1461'!$A$27</definedName>
    <definedName name="_300_Career_Education__Grades_9_12" localSheetId="9">'1571'!$A$27</definedName>
    <definedName name="_300_Career_Education__Grades_9_12" localSheetId="10">'2521'!$A$27</definedName>
    <definedName name="_300_Career_Education__Grades_9_12" localSheetId="11">'2531'!$A$27</definedName>
    <definedName name="_300_Career_Education__Grades_9_12" localSheetId="12">'2791'!$A$27</definedName>
    <definedName name="_300_Career_Education__Grades_9_12" localSheetId="13">'2801'!$A$27</definedName>
    <definedName name="_300_Career_Education__Grades_9_12" localSheetId="14">'2911'!$A$27</definedName>
    <definedName name="_300_Career_Education__Grades_9_12" localSheetId="15">'2941'!$A$27</definedName>
    <definedName name="_300_Career_Education__Grades_9_12" localSheetId="16">'3083'!$A$27</definedName>
    <definedName name="_300_Career_Education__Grades_9_12" localSheetId="17">'3345'!$A$27</definedName>
    <definedName name="_300_Career_Education__Grades_9_12" localSheetId="18">'3362'!$A$27</definedName>
    <definedName name="_300_Career_Education__Grades_9_12" localSheetId="19">'3381'!$A$27</definedName>
    <definedName name="_300_Career_Education__Grades_9_12" localSheetId="20">'3382'!$A$27</definedName>
    <definedName name="_300_Career_Education__Grades_9_12" localSheetId="21">'3391'!$A$27</definedName>
    <definedName name="_300_Career_Education__Grades_9_12" localSheetId="22">'3394'!$A$27</definedName>
    <definedName name="_300_Career_Education__Grades_9_12" localSheetId="23">'3395'!$A$27</definedName>
    <definedName name="_300_Career_Education__Grades_9_12" localSheetId="24">'3396'!$A$27</definedName>
    <definedName name="_300_Career_Education__Grades_9_12" localSheetId="25">'3398'!$A$27</definedName>
    <definedName name="_300_Career_Education__Grades_9_12" localSheetId="26">'3400'!$A$27</definedName>
    <definedName name="_300_Career_Education__Grades_9_12" localSheetId="27">'3401'!$A$27</definedName>
    <definedName name="_300_Career_Education__Grades_9_12" localSheetId="28">'3413'!$A$27</definedName>
    <definedName name="_300_Career_Education__Grades_9_12" localSheetId="29">'3421'!$A$27</definedName>
    <definedName name="_300_Career_Education__Grades_9_12" localSheetId="30">'3431'!$A$27</definedName>
    <definedName name="_300_Career_Education__Grades_9_12" localSheetId="31">'3441'!$A$27</definedName>
    <definedName name="_300_Career_Education__Grades_9_12" localSheetId="32">'3924'!$A$27</definedName>
    <definedName name="_300_Career_Education__Grades_9_12" localSheetId="33">'3941'!$A$27</definedName>
    <definedName name="_300_Career_Education__Grades_9_12" localSheetId="34">'3961'!$A$27</definedName>
    <definedName name="_300_Career_Education__Grades_9_12" localSheetId="35">'3971'!$A$27</definedName>
    <definedName name="_300_Career_Education__Grades_9_12" localSheetId="36">'4001'!$A$27</definedName>
    <definedName name="_300_Career_Education__Grades_9_12" localSheetId="37">'4002'!$A$27</definedName>
    <definedName name="_300_Career_Education__Grades_9_12" localSheetId="38">'4012'!$A$27</definedName>
    <definedName name="_300_Career_Education__Grades_9_12" localSheetId="39">'4013'!$A$27</definedName>
    <definedName name="_300_Career_Education__Grades_9_12" localSheetId="40">'4020'!$A$27</definedName>
    <definedName name="_300_Career_Education__Grades_9_12" localSheetId="41">'4030'!$A$27</definedName>
    <definedName name="_300_Career_Education__Grades_9_12" localSheetId="42">'4031'!$A$27</definedName>
    <definedName name="_300_Career_Education__Grades_9_12" localSheetId="43">'4041'!$A$27</definedName>
    <definedName name="_300_Career_Education__Grades_9_12" localSheetId="44">'4050'!$A$27</definedName>
    <definedName name="_300_Career_Education__Grades_9_12" localSheetId="45">'4051'!$A$27</definedName>
    <definedName name="_300_Career_Education__Grades_9_12" localSheetId="46">'4061'!$A$27</definedName>
    <definedName name="_300_Career_Education__Grades_9_12" localSheetId="47">'4080'!$A$27</definedName>
    <definedName name="_300_Career_Education__Grades_9_12" localSheetId="48">'4081'!$A$27</definedName>
    <definedName name="_300_Career_Education__Grades_9_12" localSheetId="49">'4090'!$A$27</definedName>
    <definedName name="_300_Career_Education__Grades_9_12" localSheetId="50">'4091'!$A$27</definedName>
    <definedName name="_300_Career_Education__Grades_9_12" localSheetId="51">'4100'!$A$27</definedName>
    <definedName name="_300_Career_Education__Grades_9_12" localSheetId="52">'4102'!$A$27</definedName>
    <definedName name="_300_Career_Education__Grades_9_12" localSheetId="53">'4103'!$A$27</definedName>
    <definedName name="_300_Career_Education__Grades_9_12" localSheetId="54">'4111'!$A$27</definedName>
    <definedName name="_300_Career_Education__Grades_9_12" localSheetId="55">'4131'!$A$27</definedName>
    <definedName name="_300_Career_Education__Grades_9_12">'0040'!$A$27</definedName>
    <definedName name="_4_8" localSheetId="7">'0100'!$A$91</definedName>
    <definedName name="_4_8" localSheetId="6">'0571'!$A$91</definedName>
    <definedName name="_4_8" localSheetId="8">'1461'!$A$91</definedName>
    <definedName name="_4_8" localSheetId="9">'1571'!$A$91</definedName>
    <definedName name="_4_8" localSheetId="10">'2521'!$A$91</definedName>
    <definedName name="_4_8" localSheetId="11">'2531'!$A$91</definedName>
    <definedName name="_4_8" localSheetId="12">'2791'!$A$91</definedName>
    <definedName name="_4_8" localSheetId="13">'2801'!$A$91</definedName>
    <definedName name="_4_8" localSheetId="14">'2911'!$A$91</definedName>
    <definedName name="_4_8" localSheetId="15">'2941'!$A$91</definedName>
    <definedName name="_4_8" localSheetId="16">'3083'!$A$91</definedName>
    <definedName name="_4_8" localSheetId="17">'3345'!$A$91</definedName>
    <definedName name="_4_8" localSheetId="18">'3362'!$A$91</definedName>
    <definedName name="_4_8" localSheetId="19">'3381'!$A$91</definedName>
    <definedName name="_4_8" localSheetId="20">'3382'!$A$91</definedName>
    <definedName name="_4_8" localSheetId="21">'3391'!$A$91</definedName>
    <definedName name="_4_8" localSheetId="22">'3394'!$A$91</definedName>
    <definedName name="_4_8" localSheetId="23">'3395'!$A$91</definedName>
    <definedName name="_4_8" localSheetId="24">'3396'!$A$91</definedName>
    <definedName name="_4_8" localSheetId="25">'3398'!$A$91</definedName>
    <definedName name="_4_8" localSheetId="26">'3400'!$A$91</definedName>
    <definedName name="_4_8" localSheetId="27">'3401'!$A$91</definedName>
    <definedName name="_4_8" localSheetId="28">'3413'!$A$91</definedName>
    <definedName name="_4_8" localSheetId="29">'3421'!$A$91</definedName>
    <definedName name="_4_8" localSheetId="30">'3431'!$A$91</definedName>
    <definedName name="_4_8" localSheetId="31">'3441'!$A$91</definedName>
    <definedName name="_4_8" localSheetId="32">'3924'!$A$91</definedName>
    <definedName name="_4_8" localSheetId="33">'3941'!$A$91</definedName>
    <definedName name="_4_8" localSheetId="34">'3961'!$A$91</definedName>
    <definedName name="_4_8" localSheetId="35">'3971'!$A$91</definedName>
    <definedName name="_4_8" localSheetId="36">'4001'!$A$91</definedName>
    <definedName name="_4_8" localSheetId="37">'4002'!$A$91</definedName>
    <definedName name="_4_8" localSheetId="38">'4012'!$A$91</definedName>
    <definedName name="_4_8" localSheetId="39">'4013'!$A$91</definedName>
    <definedName name="_4_8" localSheetId="40">'4020'!$A$91</definedName>
    <definedName name="_4_8" localSheetId="41">'4030'!$A$91</definedName>
    <definedName name="_4_8" localSheetId="42">'4031'!$A$91</definedName>
    <definedName name="_4_8" localSheetId="43">'4041'!$A$91</definedName>
    <definedName name="_4_8" localSheetId="44">'4050'!$A$91</definedName>
    <definedName name="_4_8" localSheetId="45">'4051'!$A$91</definedName>
    <definedName name="_4_8" localSheetId="46">'4061'!$A$91</definedName>
    <definedName name="_4_8" localSheetId="47">'4080'!$A$91</definedName>
    <definedName name="_4_8" localSheetId="48">'4081'!$A$91</definedName>
    <definedName name="_4_8" localSheetId="49">'4090'!$A$91</definedName>
    <definedName name="_4_8" localSheetId="50">'4091'!$A$91</definedName>
    <definedName name="_4_8" localSheetId="51">'4100'!$A$91</definedName>
    <definedName name="_4_8" localSheetId="52">'4102'!$A$91</definedName>
    <definedName name="_4_8" localSheetId="53">'4103'!$A$91</definedName>
    <definedName name="_4_8" localSheetId="54">'4111'!$A$91</definedName>
    <definedName name="_4_8" localSheetId="55">'4131'!$A$91</definedName>
    <definedName name="_4_8">'0040'!$A$91</definedName>
    <definedName name="_9_12" localSheetId="7">'0100'!$A$92</definedName>
    <definedName name="_9_12" localSheetId="6">'0571'!$A$92</definedName>
    <definedName name="_9_12" localSheetId="8">'1461'!$A$92</definedName>
    <definedName name="_9_12" localSheetId="9">'1571'!$A$92</definedName>
    <definedName name="_9_12" localSheetId="10">'2521'!$A$92</definedName>
    <definedName name="_9_12" localSheetId="11">'2531'!$A$92</definedName>
    <definedName name="_9_12" localSheetId="12">'2791'!$A$92</definedName>
    <definedName name="_9_12" localSheetId="13">'2801'!$A$92</definedName>
    <definedName name="_9_12" localSheetId="14">'2911'!$A$92</definedName>
    <definedName name="_9_12" localSheetId="15">'2941'!$A$92</definedName>
    <definedName name="_9_12" localSheetId="16">'3083'!$A$92</definedName>
    <definedName name="_9_12" localSheetId="17">'3345'!$A$92</definedName>
    <definedName name="_9_12" localSheetId="18">'3362'!$A$92</definedName>
    <definedName name="_9_12" localSheetId="19">'3381'!$A$92</definedName>
    <definedName name="_9_12" localSheetId="20">'3382'!$A$92</definedName>
    <definedName name="_9_12" localSheetId="21">'3391'!$A$92</definedName>
    <definedName name="_9_12" localSheetId="22">'3394'!$A$92</definedName>
    <definedName name="_9_12" localSheetId="23">'3395'!$A$92</definedName>
    <definedName name="_9_12" localSheetId="24">'3396'!$A$92</definedName>
    <definedName name="_9_12" localSheetId="25">'3398'!$A$92</definedName>
    <definedName name="_9_12" localSheetId="26">'3400'!$A$92</definedName>
    <definedName name="_9_12" localSheetId="27">'3401'!$A$92</definedName>
    <definedName name="_9_12" localSheetId="28">'3413'!$A$92</definedName>
    <definedName name="_9_12" localSheetId="29">'3421'!$A$92</definedName>
    <definedName name="_9_12" localSheetId="30">'3431'!$A$92</definedName>
    <definedName name="_9_12" localSheetId="31">'3441'!$A$92</definedName>
    <definedName name="_9_12" localSheetId="32">'3924'!$A$92</definedName>
    <definedName name="_9_12" localSheetId="33">'3941'!$A$92</definedName>
    <definedName name="_9_12" localSheetId="34">'3961'!$A$92</definedName>
    <definedName name="_9_12" localSheetId="35">'3971'!$A$92</definedName>
    <definedName name="_9_12" localSheetId="36">'4001'!$A$92</definedName>
    <definedName name="_9_12" localSheetId="37">'4002'!$A$92</definedName>
    <definedName name="_9_12" localSheetId="38">'4012'!$A$92</definedName>
    <definedName name="_9_12" localSheetId="39">'4013'!$A$92</definedName>
    <definedName name="_9_12" localSheetId="40">'4020'!$A$92</definedName>
    <definedName name="_9_12" localSheetId="41">'4030'!$A$92</definedName>
    <definedName name="_9_12" localSheetId="42">'4031'!$A$92</definedName>
    <definedName name="_9_12" localSheetId="43">'4041'!$A$92</definedName>
    <definedName name="_9_12" localSheetId="44">'4050'!$A$92</definedName>
    <definedName name="_9_12" localSheetId="45">'4051'!$A$92</definedName>
    <definedName name="_9_12" localSheetId="46">'4061'!$A$92</definedName>
    <definedName name="_9_12" localSheetId="47">'4080'!$A$92</definedName>
    <definedName name="_9_12" localSheetId="48">'4081'!$A$92</definedName>
    <definedName name="_9_12" localSheetId="49">'4090'!$A$92</definedName>
    <definedName name="_9_12" localSheetId="50">'4091'!$A$92</definedName>
    <definedName name="_9_12" localSheetId="51">'4100'!$A$92</definedName>
    <definedName name="_9_12" localSheetId="52">'4102'!$A$92</definedName>
    <definedName name="_9_12" localSheetId="53">'4103'!$A$92</definedName>
    <definedName name="_9_12" localSheetId="54">'4111'!$A$92</definedName>
    <definedName name="_9_12" localSheetId="55">'4131'!$A$92</definedName>
    <definedName name="_9_12">'0040'!$A$92</definedName>
    <definedName name="_Add_On_FTE" localSheetId="7">'0100'!#REF!</definedName>
    <definedName name="_Add_On_FTE" localSheetId="6">'0571'!#REF!</definedName>
    <definedName name="_Add_On_FTE" localSheetId="8">'1461'!#REF!</definedName>
    <definedName name="_Add_On_FTE" localSheetId="9">'1571'!#REF!</definedName>
    <definedName name="_Add_On_FTE" localSheetId="10">'2521'!#REF!</definedName>
    <definedName name="_Add_On_FTE" localSheetId="11">'2531'!#REF!</definedName>
    <definedName name="_Add_On_FTE" localSheetId="12">'2791'!#REF!</definedName>
    <definedName name="_Add_On_FTE" localSheetId="13">'2801'!#REF!</definedName>
    <definedName name="_Add_On_FTE" localSheetId="14">'2911'!#REF!</definedName>
    <definedName name="_Add_On_FTE" localSheetId="15">'2941'!#REF!</definedName>
    <definedName name="_Add_On_FTE" localSheetId="16">'3083'!#REF!</definedName>
    <definedName name="_Add_On_FTE" localSheetId="17">'3345'!#REF!</definedName>
    <definedName name="_Add_On_FTE" localSheetId="18">'3362'!#REF!</definedName>
    <definedName name="_Add_On_FTE" localSheetId="19">'3381'!#REF!</definedName>
    <definedName name="_Add_On_FTE" localSheetId="20">'3382'!#REF!</definedName>
    <definedName name="_Add_On_FTE" localSheetId="21">'3391'!#REF!</definedName>
    <definedName name="_Add_On_FTE" localSheetId="22">'3394'!#REF!</definedName>
    <definedName name="_Add_On_FTE" localSheetId="23">'3395'!#REF!</definedName>
    <definedName name="_Add_On_FTE" localSheetId="24">'3396'!#REF!</definedName>
    <definedName name="_Add_On_FTE" localSheetId="25">'3398'!#REF!</definedName>
    <definedName name="_Add_On_FTE" localSheetId="26">'3400'!#REF!</definedName>
    <definedName name="_Add_On_FTE" localSheetId="27">'3401'!#REF!</definedName>
    <definedName name="_Add_On_FTE" localSheetId="28">'3413'!#REF!</definedName>
    <definedName name="_Add_On_FTE" localSheetId="29">'3421'!#REF!</definedName>
    <definedName name="_Add_On_FTE" localSheetId="30">'3431'!#REF!</definedName>
    <definedName name="_Add_On_FTE" localSheetId="31">'3441'!#REF!</definedName>
    <definedName name="_Add_On_FTE" localSheetId="32">'3924'!#REF!</definedName>
    <definedName name="_Add_On_FTE" localSheetId="33">'3941'!#REF!</definedName>
    <definedName name="_Add_On_FTE" localSheetId="34">'3961'!#REF!</definedName>
    <definedName name="_Add_On_FTE" localSheetId="35">'3971'!#REF!</definedName>
    <definedName name="_Add_On_FTE" localSheetId="36">'4001'!#REF!</definedName>
    <definedName name="_Add_On_FTE" localSheetId="37">'4002'!#REF!</definedName>
    <definedName name="_Add_On_FTE" localSheetId="38">'4012'!#REF!</definedName>
    <definedName name="_Add_On_FTE" localSheetId="39">'4013'!#REF!</definedName>
    <definedName name="_Add_On_FTE" localSheetId="40">'4020'!#REF!</definedName>
    <definedName name="_Add_On_FTE" localSheetId="41">'4030'!#REF!</definedName>
    <definedName name="_Add_On_FTE" localSheetId="42">'4031'!#REF!</definedName>
    <definedName name="_Add_On_FTE" localSheetId="43">'4041'!#REF!</definedName>
    <definedName name="_Add_On_FTE" localSheetId="44">'4050'!#REF!</definedName>
    <definedName name="_Add_On_FTE" localSheetId="45">'4051'!#REF!</definedName>
    <definedName name="_Add_On_FTE" localSheetId="46">'4061'!#REF!</definedName>
    <definedName name="_Add_On_FTE" localSheetId="47">'4080'!#REF!</definedName>
    <definedName name="_Add_On_FTE" localSheetId="48">'4081'!#REF!</definedName>
    <definedName name="_Add_On_FTE" localSheetId="49">'4090'!#REF!</definedName>
    <definedName name="_Add_On_FTE" localSheetId="50">'4091'!#REF!</definedName>
    <definedName name="_Add_On_FTE" localSheetId="51">'4100'!#REF!</definedName>
    <definedName name="_Add_On_FTE" localSheetId="52">'4102'!#REF!</definedName>
    <definedName name="_Add_On_FTE" localSheetId="53">'4103'!#REF!</definedName>
    <definedName name="_Add_On_FTE" localSheetId="54">'4111'!#REF!</definedName>
    <definedName name="_Add_On_FTE" localSheetId="55">'4131'!#REF!</definedName>
    <definedName name="_Add_On_FTE">'0040'!#REF!</definedName>
    <definedName name="_xlnm._FilterDatabase" localSheetId="1" hidden="1">'Annual Rev &amp; Fees'!$A$5:$W$55</definedName>
    <definedName name="_xlnm._FilterDatabase" localSheetId="0" hidden="1">'Net Payment'!$A$4:$G$468</definedName>
    <definedName name="_grp1">#REF!</definedName>
    <definedName name="Actual_Additional_.25_Discretionary_Revenue">'[1]Detail 2025-26 FEFP Second'!#REF!</definedName>
    <definedName name="Add_On_FTE" localSheetId="7">'0100'!#REF!</definedName>
    <definedName name="Add_On_FTE" localSheetId="6">'0571'!#REF!</definedName>
    <definedName name="Add_On_FTE" localSheetId="8">'1461'!#REF!</definedName>
    <definedName name="Add_On_FTE" localSheetId="9">'1571'!#REF!</definedName>
    <definedName name="Add_On_FTE" localSheetId="10">'2521'!#REF!</definedName>
    <definedName name="Add_On_FTE" localSheetId="11">'2531'!#REF!</definedName>
    <definedName name="Add_On_FTE" localSheetId="12">'2791'!#REF!</definedName>
    <definedName name="Add_On_FTE" localSheetId="13">'2801'!#REF!</definedName>
    <definedName name="Add_On_FTE" localSheetId="14">'2911'!#REF!</definedName>
    <definedName name="Add_On_FTE" localSheetId="15">'2941'!#REF!</definedName>
    <definedName name="Add_On_FTE" localSheetId="16">'3083'!#REF!</definedName>
    <definedName name="Add_On_FTE" localSheetId="17">'3345'!#REF!</definedName>
    <definedName name="Add_On_FTE" localSheetId="18">'3362'!#REF!</definedName>
    <definedName name="Add_On_FTE" localSheetId="19">'3381'!#REF!</definedName>
    <definedName name="Add_On_FTE" localSheetId="20">'3382'!#REF!</definedName>
    <definedName name="Add_On_FTE" localSheetId="21">'3391'!#REF!</definedName>
    <definedName name="Add_On_FTE" localSheetId="22">'3394'!#REF!</definedName>
    <definedName name="Add_On_FTE" localSheetId="23">'3395'!#REF!</definedName>
    <definedName name="Add_On_FTE" localSheetId="24">'3396'!#REF!</definedName>
    <definedName name="Add_On_FTE" localSheetId="25">'3398'!#REF!</definedName>
    <definedName name="Add_On_FTE" localSheetId="26">'3400'!#REF!</definedName>
    <definedName name="Add_On_FTE" localSheetId="27">'3401'!#REF!</definedName>
    <definedName name="Add_On_FTE" localSheetId="28">'3413'!#REF!</definedName>
    <definedName name="Add_On_FTE" localSheetId="29">'3421'!#REF!</definedName>
    <definedName name="Add_On_FTE" localSheetId="30">'3431'!#REF!</definedName>
    <definedName name="Add_On_FTE" localSheetId="31">'3441'!#REF!</definedName>
    <definedName name="Add_On_FTE" localSheetId="32">'3924'!#REF!</definedName>
    <definedName name="Add_On_FTE" localSheetId="33">'3941'!#REF!</definedName>
    <definedName name="Add_On_FTE" localSheetId="34">'3961'!#REF!</definedName>
    <definedName name="Add_On_FTE" localSheetId="35">'3971'!#REF!</definedName>
    <definedName name="Add_On_FTE" localSheetId="36">'4001'!#REF!</definedName>
    <definedName name="Add_On_FTE" localSheetId="37">'4002'!#REF!</definedName>
    <definedName name="Add_On_FTE" localSheetId="38">'4012'!#REF!</definedName>
    <definedName name="Add_On_FTE" localSheetId="39">'4013'!#REF!</definedName>
    <definedName name="Add_On_FTE" localSheetId="40">'4020'!#REF!</definedName>
    <definedName name="Add_On_FTE" localSheetId="41">'4030'!#REF!</definedName>
    <definedName name="Add_On_FTE" localSheetId="42">'4031'!#REF!</definedName>
    <definedName name="Add_On_FTE" localSheetId="43">'4041'!#REF!</definedName>
    <definedName name="Add_On_FTE" localSheetId="44">'4050'!#REF!</definedName>
    <definedName name="Add_On_FTE" localSheetId="45">'4051'!#REF!</definedName>
    <definedName name="Add_On_FTE" localSheetId="46">'4061'!#REF!</definedName>
    <definedName name="Add_On_FTE" localSheetId="47">'4080'!#REF!</definedName>
    <definedName name="Add_On_FTE" localSheetId="48">'4081'!#REF!</definedName>
    <definedName name="Add_On_FTE" localSheetId="49">'4090'!#REF!</definedName>
    <definedName name="Add_On_FTE" localSheetId="50">'4091'!#REF!</definedName>
    <definedName name="Add_On_FTE" localSheetId="51">'4100'!#REF!</definedName>
    <definedName name="Add_On_FTE" localSheetId="52">'4102'!#REF!</definedName>
    <definedName name="Add_On_FTE" localSheetId="53">'4103'!#REF!</definedName>
    <definedName name="Add_On_FTE" localSheetId="54">'4111'!#REF!</definedName>
    <definedName name="Add_On_FTE" localSheetId="55">'4131'!#REF!</definedName>
    <definedName name="Add_On_FTE">'0040'!#REF!</definedName>
    <definedName name="Alachua">#REF!</definedName>
    <definedName name="Allocation_factors" localSheetId="7">'0100'!$G$89</definedName>
    <definedName name="Allocation_factors" localSheetId="6">'0571'!$G$89</definedName>
    <definedName name="Allocation_factors" localSheetId="8">'1461'!$G$89</definedName>
    <definedName name="Allocation_factors" localSheetId="9">'1571'!$G$89</definedName>
    <definedName name="Allocation_factors" localSheetId="10">'2521'!$G$89</definedName>
    <definedName name="Allocation_factors" localSheetId="11">'2531'!$G$89</definedName>
    <definedName name="Allocation_factors" localSheetId="12">'2791'!$G$89</definedName>
    <definedName name="Allocation_factors" localSheetId="13">'2801'!$G$89</definedName>
    <definedName name="Allocation_factors" localSheetId="14">'2911'!$G$89</definedName>
    <definedName name="Allocation_factors" localSheetId="15">'2941'!$G$89</definedName>
    <definedName name="Allocation_factors" localSheetId="16">'3083'!$G$89</definedName>
    <definedName name="Allocation_factors" localSheetId="17">'3345'!$G$89</definedName>
    <definedName name="Allocation_factors" localSheetId="18">'3362'!$G$89</definedName>
    <definedName name="Allocation_factors" localSheetId="19">'3381'!$G$89</definedName>
    <definedName name="Allocation_factors" localSheetId="20">'3382'!$G$89</definedName>
    <definedName name="Allocation_factors" localSheetId="21">'3391'!$G$89</definedName>
    <definedName name="Allocation_factors" localSheetId="22">'3394'!$G$89</definedName>
    <definedName name="Allocation_factors" localSheetId="23">'3395'!$G$89</definedName>
    <definedName name="Allocation_factors" localSheetId="24">'3396'!$G$89</definedName>
    <definedName name="Allocation_factors" localSheetId="25">'3398'!$G$89</definedName>
    <definedName name="Allocation_factors" localSheetId="26">'3400'!$G$89</definedName>
    <definedName name="Allocation_factors" localSheetId="27">'3401'!$G$89</definedName>
    <definedName name="Allocation_factors" localSheetId="28">'3413'!$G$89</definedName>
    <definedName name="Allocation_factors" localSheetId="29">'3421'!$G$89</definedName>
    <definedName name="Allocation_factors" localSheetId="30">'3431'!$G$89</definedName>
    <definedName name="Allocation_factors" localSheetId="31">'3441'!$G$89</definedName>
    <definedName name="Allocation_factors" localSheetId="32">'3924'!$G$89</definedName>
    <definedName name="Allocation_factors" localSheetId="33">'3941'!$G$89</definedName>
    <definedName name="Allocation_factors" localSheetId="34">'3961'!$G$89</definedName>
    <definedName name="Allocation_factors" localSheetId="35">'3971'!$G$89</definedName>
    <definedName name="Allocation_factors" localSheetId="36">'4001'!$G$89</definedName>
    <definedName name="Allocation_factors" localSheetId="37">'4002'!$G$89</definedName>
    <definedName name="Allocation_factors" localSheetId="38">'4012'!$G$89</definedName>
    <definedName name="Allocation_factors" localSheetId="39">'4013'!$G$89</definedName>
    <definedName name="Allocation_factors" localSheetId="40">'4020'!$G$89</definedName>
    <definedName name="Allocation_factors" localSheetId="41">'4030'!$G$89</definedName>
    <definedName name="Allocation_factors" localSheetId="42">'4031'!$G$89</definedName>
    <definedName name="Allocation_factors" localSheetId="43">'4041'!$G$89</definedName>
    <definedName name="Allocation_factors" localSheetId="44">'4050'!$G$89</definedName>
    <definedName name="Allocation_factors" localSheetId="45">'4051'!$G$89</definedName>
    <definedName name="Allocation_factors" localSheetId="46">'4061'!$G$89</definedName>
    <definedName name="Allocation_factors" localSheetId="47">'4080'!$G$89</definedName>
    <definedName name="Allocation_factors" localSheetId="48">'4081'!$G$89</definedName>
    <definedName name="Allocation_factors" localSheetId="49">'4090'!$G$89</definedName>
    <definedName name="Allocation_factors" localSheetId="50">'4091'!$G$89</definedName>
    <definedName name="Allocation_factors" localSheetId="51">'4100'!$G$89</definedName>
    <definedName name="Allocation_factors" localSheetId="52">'4102'!$G$89</definedName>
    <definedName name="Allocation_factors" localSheetId="53">'4103'!$G$89</definedName>
    <definedName name="Allocation_factors" localSheetId="54">'4111'!$G$89</definedName>
    <definedName name="Allocation_factors" localSheetId="55">'4131'!$G$89</definedName>
    <definedName name="Allocation_factors">'0040'!$G$89</definedName>
    <definedName name="ARRA_State_Fiscal_Stabilization">'[1]Detail 2025-26 FEFP Second'!#REF!</definedName>
    <definedName name="Baker">#REF!</definedName>
    <definedName name="Base_Student_Allocation" localSheetId="7">'0100'!$A$6</definedName>
    <definedName name="Base_Student_Allocation" localSheetId="6">'0571'!$A$6</definedName>
    <definedName name="Base_Student_Allocation" localSheetId="8">'1461'!$A$6</definedName>
    <definedName name="Base_Student_Allocation" localSheetId="9">'1571'!$A$6</definedName>
    <definedName name="Base_Student_Allocation" localSheetId="10">'2521'!$A$6</definedName>
    <definedName name="Base_Student_Allocation" localSheetId="11">'2531'!$A$6</definedName>
    <definedName name="Base_Student_Allocation" localSheetId="12">'2791'!$A$6</definedName>
    <definedName name="Base_Student_Allocation" localSheetId="13">'2801'!$A$6</definedName>
    <definedName name="Base_Student_Allocation" localSheetId="14">'2911'!$A$6</definedName>
    <definedName name="Base_Student_Allocation" localSheetId="15">'2941'!$A$6</definedName>
    <definedName name="Base_Student_Allocation" localSheetId="16">'3083'!$A$6</definedName>
    <definedName name="Base_Student_Allocation" localSheetId="17">'3345'!$A$6</definedName>
    <definedName name="Base_Student_Allocation" localSheetId="18">'3362'!$A$6</definedName>
    <definedName name="Base_Student_Allocation" localSheetId="19">'3381'!$A$6</definedName>
    <definedName name="Base_Student_Allocation" localSheetId="20">'3382'!$A$6</definedName>
    <definedName name="Base_Student_Allocation" localSheetId="21">'3391'!$A$6</definedName>
    <definedName name="Base_Student_Allocation" localSheetId="22">'3394'!$A$6</definedName>
    <definedName name="Base_Student_Allocation" localSheetId="23">'3395'!$A$6</definedName>
    <definedName name="Base_Student_Allocation" localSheetId="24">'3396'!$A$6</definedName>
    <definedName name="Base_Student_Allocation" localSheetId="25">'3398'!$A$6</definedName>
    <definedName name="Base_Student_Allocation" localSheetId="26">'3400'!$A$6</definedName>
    <definedName name="Base_Student_Allocation" localSheetId="27">'3401'!$A$6</definedName>
    <definedName name="Base_Student_Allocation" localSheetId="28">'3413'!$A$6</definedName>
    <definedName name="Base_Student_Allocation" localSheetId="29">'3421'!$A$6</definedName>
    <definedName name="Base_Student_Allocation" localSheetId="30">'3431'!$A$6</definedName>
    <definedName name="Base_Student_Allocation" localSheetId="31">'3441'!$A$6</definedName>
    <definedName name="Base_Student_Allocation" localSheetId="32">'3924'!$A$6</definedName>
    <definedName name="Base_Student_Allocation" localSheetId="33">'3941'!$A$6</definedName>
    <definedName name="Base_Student_Allocation" localSheetId="34">'3961'!$A$6</definedName>
    <definedName name="Base_Student_Allocation" localSheetId="35">'3971'!$A$6</definedName>
    <definedName name="Base_Student_Allocation" localSheetId="36">'4001'!$A$6</definedName>
    <definedName name="Base_Student_Allocation" localSheetId="37">'4002'!$A$6</definedName>
    <definedName name="Base_Student_Allocation" localSheetId="38">'4012'!$A$6</definedName>
    <definedName name="Base_Student_Allocation" localSheetId="39">'4013'!$A$6</definedName>
    <definedName name="Base_Student_Allocation" localSheetId="40">'4020'!$A$6</definedName>
    <definedName name="Base_Student_Allocation" localSheetId="41">'4030'!$A$6</definedName>
    <definedName name="Base_Student_Allocation" localSheetId="42">'4031'!$A$6</definedName>
    <definedName name="Base_Student_Allocation" localSheetId="43">'4041'!$A$6</definedName>
    <definedName name="Base_Student_Allocation" localSheetId="44">'4050'!$A$6</definedName>
    <definedName name="Base_Student_Allocation" localSheetId="45">'4051'!$A$6</definedName>
    <definedName name="Base_Student_Allocation" localSheetId="46">'4061'!$A$6</definedName>
    <definedName name="Base_Student_Allocation" localSheetId="47">'4080'!$A$6</definedName>
    <definedName name="Base_Student_Allocation" localSheetId="48">'4081'!$A$6</definedName>
    <definedName name="Base_Student_Allocation" localSheetId="49">'4090'!$A$6</definedName>
    <definedName name="Base_Student_Allocation" localSheetId="50">'4091'!$A$6</definedName>
    <definedName name="Base_Student_Allocation" localSheetId="51">'4100'!$A$6</definedName>
    <definedName name="Base_Student_Allocation" localSheetId="52">'4102'!$A$6</definedName>
    <definedName name="Base_Student_Allocation" localSheetId="53">'4103'!$A$6</definedName>
    <definedName name="Base_Student_Allocation" localSheetId="54">'4111'!$A$6</definedName>
    <definedName name="Base_Student_Allocation" localSheetId="55">'4131'!$A$6</definedName>
    <definedName name="Base_Student_Allocation">'0040'!$A$6</definedName>
    <definedName name="Based_on_the_Second_Calculation_of_the_FEFP_2010_11" localSheetId="7">'0100'!$A$3</definedName>
    <definedName name="Based_on_the_Second_Calculation_of_the_FEFP_2010_11" localSheetId="6">'0571'!$A$3</definedName>
    <definedName name="Based_on_the_Second_Calculation_of_the_FEFP_2010_11" localSheetId="8">'1461'!$A$3</definedName>
    <definedName name="Based_on_the_Second_Calculation_of_the_FEFP_2010_11" localSheetId="9">'1571'!$A$3</definedName>
    <definedName name="Based_on_the_Second_Calculation_of_the_FEFP_2010_11" localSheetId="10">'2521'!$A$3</definedName>
    <definedName name="Based_on_the_Second_Calculation_of_the_FEFP_2010_11" localSheetId="11">'2531'!$A$3</definedName>
    <definedName name="Based_on_the_Second_Calculation_of_the_FEFP_2010_11" localSheetId="12">'2791'!$A$3</definedName>
    <definedName name="Based_on_the_Second_Calculation_of_the_FEFP_2010_11" localSheetId="13">'2801'!$A$3</definedName>
    <definedName name="Based_on_the_Second_Calculation_of_the_FEFP_2010_11" localSheetId="14">'2911'!$A$3</definedName>
    <definedName name="Based_on_the_Second_Calculation_of_the_FEFP_2010_11" localSheetId="15">'2941'!$A$3</definedName>
    <definedName name="Based_on_the_Second_Calculation_of_the_FEFP_2010_11" localSheetId="16">'3083'!$A$3</definedName>
    <definedName name="Based_on_the_Second_Calculation_of_the_FEFP_2010_11" localSheetId="17">'3345'!$A$3</definedName>
    <definedName name="Based_on_the_Second_Calculation_of_the_FEFP_2010_11" localSheetId="18">'3362'!$A$3</definedName>
    <definedName name="Based_on_the_Second_Calculation_of_the_FEFP_2010_11" localSheetId="19">'3381'!$A$3</definedName>
    <definedName name="Based_on_the_Second_Calculation_of_the_FEFP_2010_11" localSheetId="20">'3382'!$A$3</definedName>
    <definedName name="Based_on_the_Second_Calculation_of_the_FEFP_2010_11" localSheetId="21">'3391'!$A$3</definedName>
    <definedName name="Based_on_the_Second_Calculation_of_the_FEFP_2010_11" localSheetId="22">'3394'!$A$3</definedName>
    <definedName name="Based_on_the_Second_Calculation_of_the_FEFP_2010_11" localSheetId="23">'3395'!$A$3</definedName>
    <definedName name="Based_on_the_Second_Calculation_of_the_FEFP_2010_11" localSheetId="24">'3396'!$A$3</definedName>
    <definedName name="Based_on_the_Second_Calculation_of_the_FEFP_2010_11" localSheetId="25">'3398'!$A$3</definedName>
    <definedName name="Based_on_the_Second_Calculation_of_the_FEFP_2010_11" localSheetId="26">'3400'!$A$3</definedName>
    <definedName name="Based_on_the_Second_Calculation_of_the_FEFP_2010_11" localSheetId="27">'3401'!$A$3</definedName>
    <definedName name="Based_on_the_Second_Calculation_of_the_FEFP_2010_11" localSheetId="28">'3413'!$A$3</definedName>
    <definedName name="Based_on_the_Second_Calculation_of_the_FEFP_2010_11" localSheetId="29">'3421'!$A$3</definedName>
    <definedName name="Based_on_the_Second_Calculation_of_the_FEFP_2010_11" localSheetId="30">'3431'!$A$3</definedName>
    <definedName name="Based_on_the_Second_Calculation_of_the_FEFP_2010_11" localSheetId="31">'3441'!$A$3</definedName>
    <definedName name="Based_on_the_Second_Calculation_of_the_FEFP_2010_11" localSheetId="32">'3924'!$A$3</definedName>
    <definedName name="Based_on_the_Second_Calculation_of_the_FEFP_2010_11" localSheetId="33">'3941'!$A$3</definedName>
    <definedName name="Based_on_the_Second_Calculation_of_the_FEFP_2010_11" localSheetId="34">'3961'!$A$3</definedName>
    <definedName name="Based_on_the_Second_Calculation_of_the_FEFP_2010_11" localSheetId="35">'3971'!$A$3</definedName>
    <definedName name="Based_on_the_Second_Calculation_of_the_FEFP_2010_11" localSheetId="36">'4001'!$A$3</definedName>
    <definedName name="Based_on_the_Second_Calculation_of_the_FEFP_2010_11" localSheetId="37">'4002'!$A$3</definedName>
    <definedName name="Based_on_the_Second_Calculation_of_the_FEFP_2010_11" localSheetId="38">'4012'!$A$3</definedName>
    <definedName name="Based_on_the_Second_Calculation_of_the_FEFP_2010_11" localSheetId="39">'4013'!$A$3</definedName>
    <definedName name="Based_on_the_Second_Calculation_of_the_FEFP_2010_11" localSheetId="40">'4020'!$A$3</definedName>
    <definedName name="Based_on_the_Second_Calculation_of_the_FEFP_2010_11" localSheetId="41">'4030'!$A$3</definedName>
    <definedName name="Based_on_the_Second_Calculation_of_the_FEFP_2010_11" localSheetId="42">'4031'!$A$3</definedName>
    <definedName name="Based_on_the_Second_Calculation_of_the_FEFP_2010_11" localSheetId="43">'4041'!$A$3</definedName>
    <definedName name="Based_on_the_Second_Calculation_of_the_FEFP_2010_11" localSheetId="44">'4050'!$A$3</definedName>
    <definedName name="Based_on_the_Second_Calculation_of_the_FEFP_2010_11" localSheetId="45">'4051'!$A$3</definedName>
    <definedName name="Based_on_the_Second_Calculation_of_the_FEFP_2010_11" localSheetId="46">'4061'!$A$3</definedName>
    <definedName name="Based_on_the_Second_Calculation_of_the_FEFP_2010_11" localSheetId="47">'4080'!$A$3</definedName>
    <definedName name="Based_on_the_Second_Calculation_of_the_FEFP_2010_11" localSheetId="48">'4081'!$A$3</definedName>
    <definedName name="Based_on_the_Second_Calculation_of_the_FEFP_2010_11" localSheetId="49">'4090'!$A$3</definedName>
    <definedName name="Based_on_the_Second_Calculation_of_the_FEFP_2010_11" localSheetId="50">'4091'!$A$3</definedName>
    <definedName name="Based_on_the_Second_Calculation_of_the_FEFP_2010_11" localSheetId="51">'4100'!$A$3</definedName>
    <definedName name="Based_on_the_Second_Calculation_of_the_FEFP_2010_11" localSheetId="52">'4102'!$A$3</definedName>
    <definedName name="Based_on_the_Second_Calculation_of_the_FEFP_2010_11" localSheetId="53">'4103'!$A$3</definedName>
    <definedName name="Based_on_the_Second_Calculation_of_the_FEFP_2010_11" localSheetId="54">'4111'!$A$3</definedName>
    <definedName name="Based_on_the_Second_Calculation_of_the_FEFP_2010_11" localSheetId="55">'4131'!$A$3</definedName>
    <definedName name="Based_on_the_Second_Calculation_of_the_FEFP_2010_11">'0040'!$A$3</definedName>
    <definedName name="Bay">#REF!</definedName>
    <definedName name="Bradford">#REF!</definedName>
    <definedName name="Brevard">#REF!</definedName>
    <definedName name="Broward">#REF!</definedName>
    <definedName name="Calhoun">#REF!</definedName>
    <definedName name="CAP" localSheetId="5" hidden="1">{#N/A,#N/A,FALSE,"Summation";#N/A,#N/A,FALSE,"BSA";#N/A,#N/A,FALSE,"Detail1";#N/A,#N/A,FALSE,"Detail2";#N/A,#N/A,FALSE,"Detail3";#N/A,#N/A,FALSE,"WFTE_Summary";#N/A,#N/A,FALSE,"Funded_WFTE";#N/A,#N/A,FALSE,"PYADJ96"}</definedName>
    <definedName name="CAP" localSheetId="7" hidden="1">{#N/A,#N/A,FALSE,"Summation";#N/A,#N/A,FALSE,"BSA";#N/A,#N/A,FALSE,"Detail1";#N/A,#N/A,FALSE,"Detail2";#N/A,#N/A,FALSE,"Detail3";#N/A,#N/A,FALSE,"WFTE_Summary";#N/A,#N/A,FALSE,"Funded_WFTE";#N/A,#N/A,FALSE,"PYADJ96"}</definedName>
    <definedName name="CAP" localSheetId="6"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55"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Charlotte">#REF!</definedName>
    <definedName name="Citrus">#REF!</definedName>
    <definedName name="Clay">#REF!</definedName>
    <definedName name="Collier">#REF!</definedName>
    <definedName name="Columbia">#REF!</definedName>
    <definedName name="d_grp1">#REF!</definedName>
    <definedName name="DCD" localSheetId="7">'0100'!$D$89</definedName>
    <definedName name="DCD" localSheetId="6">'0571'!$D$89</definedName>
    <definedName name="DCD" localSheetId="8">'1461'!$D$89</definedName>
    <definedName name="DCD" localSheetId="9">'1571'!$D$89</definedName>
    <definedName name="DCD" localSheetId="10">'2521'!$D$89</definedName>
    <definedName name="DCD" localSheetId="11">'2531'!$D$89</definedName>
    <definedName name="DCD" localSheetId="12">'2791'!$D$89</definedName>
    <definedName name="DCD" localSheetId="13">'2801'!$D$89</definedName>
    <definedName name="DCD" localSheetId="14">'2911'!$D$89</definedName>
    <definedName name="DCD" localSheetId="15">'2941'!$D$89</definedName>
    <definedName name="DCD" localSheetId="16">'3083'!$D$89</definedName>
    <definedName name="DCD" localSheetId="17">'3345'!$D$89</definedName>
    <definedName name="DCD" localSheetId="18">'3362'!$D$89</definedName>
    <definedName name="DCD" localSheetId="19">'3381'!$D$89</definedName>
    <definedName name="DCD" localSheetId="20">'3382'!$D$89</definedName>
    <definedName name="DCD" localSheetId="21">'3391'!$D$89</definedName>
    <definedName name="DCD" localSheetId="22">'3394'!$D$89</definedName>
    <definedName name="DCD" localSheetId="23">'3395'!$D$89</definedName>
    <definedName name="DCD" localSheetId="24">'3396'!$D$89</definedName>
    <definedName name="DCD" localSheetId="25">'3398'!$D$89</definedName>
    <definedName name="DCD" localSheetId="26">'3400'!$D$89</definedName>
    <definedName name="DCD" localSheetId="27">'3401'!$D$89</definedName>
    <definedName name="DCD" localSheetId="28">'3413'!$D$89</definedName>
    <definedName name="DCD" localSheetId="29">'3421'!$D$89</definedName>
    <definedName name="DCD" localSheetId="30">'3431'!$D$89</definedName>
    <definedName name="DCD" localSheetId="31">'3441'!$D$89</definedName>
    <definedName name="DCD" localSheetId="32">'3924'!$D$89</definedName>
    <definedName name="DCD" localSheetId="33">'3941'!$D$89</definedName>
    <definedName name="DCD" localSheetId="34">'3961'!$D$89</definedName>
    <definedName name="DCD" localSheetId="35">'3971'!$D$89</definedName>
    <definedName name="DCD" localSheetId="36">'4001'!$D$89</definedName>
    <definedName name="DCD" localSheetId="37">'4002'!$D$89</definedName>
    <definedName name="DCD" localSheetId="38">'4012'!$D$89</definedName>
    <definedName name="DCD" localSheetId="39">'4013'!$D$89</definedName>
    <definedName name="DCD" localSheetId="40">'4020'!$D$89</definedName>
    <definedName name="DCD" localSheetId="41">'4030'!$D$89</definedName>
    <definedName name="DCD" localSheetId="42">'4031'!$D$89</definedName>
    <definedName name="DCD" localSheetId="43">'4041'!$D$89</definedName>
    <definedName name="DCD" localSheetId="44">'4050'!$D$89</definedName>
    <definedName name="DCD" localSheetId="45">'4051'!$D$89</definedName>
    <definedName name="DCD" localSheetId="46">'4061'!$D$89</definedName>
    <definedName name="DCD" localSheetId="47">'4080'!$D$89</definedName>
    <definedName name="DCD" localSheetId="48">'4081'!$D$89</definedName>
    <definedName name="DCD" localSheetId="49">'4090'!$D$89</definedName>
    <definedName name="DCD" localSheetId="50">'4091'!$D$89</definedName>
    <definedName name="DCD" localSheetId="51">'4100'!$D$89</definedName>
    <definedName name="DCD" localSheetId="52">'4102'!$D$89</definedName>
    <definedName name="DCD" localSheetId="53">'4103'!$D$89</definedName>
    <definedName name="DCD" localSheetId="54">'4111'!$D$89</definedName>
    <definedName name="DCD" localSheetId="55">'4131'!$D$89</definedName>
    <definedName name="DCD">'0040'!$D$89</definedName>
    <definedName name="Declining_Enrollment_Supplement">'[1]Detail 2025-26 FEFP Second'!#REF!</definedName>
    <definedName name="DeSoto">#REF!</definedName>
    <definedName name="Discretionary__Lottery__District_Discretionary_Funds">'[1]Detail 2025-26 FEFP Second'!#REF!</definedName>
    <definedName name="Discretionary_Tax_Compression_0.25_mills">'[1]Detail 2025-26 FEFP Second'!#REF!</definedName>
    <definedName name="District_Cost_Differential" localSheetId="7">'0100'!$G$6</definedName>
    <definedName name="District_Cost_Differential" localSheetId="6">'0571'!$G$6</definedName>
    <definedName name="District_Cost_Differential" localSheetId="8">'1461'!$G$6</definedName>
    <definedName name="District_Cost_Differential" localSheetId="9">'1571'!$G$6</definedName>
    <definedName name="District_Cost_Differential" localSheetId="10">'2521'!$G$6</definedName>
    <definedName name="District_Cost_Differential" localSheetId="11">'2531'!$G$6</definedName>
    <definedName name="District_Cost_Differential" localSheetId="12">'2791'!$G$6</definedName>
    <definedName name="District_Cost_Differential" localSheetId="13">'2801'!$G$6</definedName>
    <definedName name="District_Cost_Differential" localSheetId="14">'2911'!$G$6</definedName>
    <definedName name="District_Cost_Differential" localSheetId="15">'2941'!$G$6</definedName>
    <definedName name="District_Cost_Differential" localSheetId="16">'3083'!$G$6</definedName>
    <definedName name="District_Cost_Differential" localSheetId="17">'3345'!$G$6</definedName>
    <definedName name="District_Cost_Differential" localSheetId="18">'3362'!$G$6</definedName>
    <definedName name="District_Cost_Differential" localSheetId="19">'3381'!$G$6</definedName>
    <definedName name="District_Cost_Differential" localSheetId="20">'3382'!$G$6</definedName>
    <definedName name="District_Cost_Differential" localSheetId="21">'3391'!$G$6</definedName>
    <definedName name="District_Cost_Differential" localSheetId="22">'3394'!$G$6</definedName>
    <definedName name="District_Cost_Differential" localSheetId="23">'3395'!$G$6</definedName>
    <definedName name="District_Cost_Differential" localSheetId="24">'3396'!$G$6</definedName>
    <definedName name="District_Cost_Differential" localSheetId="25">'3398'!$G$6</definedName>
    <definedName name="District_Cost_Differential" localSheetId="26">'3400'!$G$6</definedName>
    <definedName name="District_Cost_Differential" localSheetId="27">'3401'!$G$6</definedName>
    <definedName name="District_Cost_Differential" localSheetId="28">'3413'!$G$6</definedName>
    <definedName name="District_Cost_Differential" localSheetId="29">'3421'!$G$6</definedName>
    <definedName name="District_Cost_Differential" localSheetId="30">'3431'!$G$6</definedName>
    <definedName name="District_Cost_Differential" localSheetId="31">'3441'!$G$6</definedName>
    <definedName name="District_Cost_Differential" localSheetId="32">'3924'!$G$6</definedName>
    <definedName name="District_Cost_Differential" localSheetId="33">'3941'!$G$6</definedName>
    <definedName name="District_Cost_Differential" localSheetId="34">'3961'!$G$6</definedName>
    <definedName name="District_Cost_Differential" localSheetId="35">'3971'!$G$6</definedName>
    <definedName name="District_Cost_Differential" localSheetId="36">'4001'!$G$6</definedName>
    <definedName name="District_Cost_Differential" localSheetId="37">'4002'!$G$6</definedName>
    <definedName name="District_Cost_Differential" localSheetId="38">'4012'!$G$6</definedName>
    <definedName name="District_Cost_Differential" localSheetId="39">'4013'!$G$6</definedName>
    <definedName name="District_Cost_Differential" localSheetId="40">'4020'!$G$6</definedName>
    <definedName name="District_Cost_Differential" localSheetId="41">'4030'!$G$6</definedName>
    <definedName name="District_Cost_Differential" localSheetId="42">'4031'!$G$6</definedName>
    <definedName name="District_Cost_Differential" localSheetId="43">'4041'!$G$6</definedName>
    <definedName name="District_Cost_Differential" localSheetId="44">'4050'!$G$6</definedName>
    <definedName name="District_Cost_Differential" localSheetId="45">'4051'!$G$6</definedName>
    <definedName name="District_Cost_Differential" localSheetId="46">'4061'!$G$6</definedName>
    <definedName name="District_Cost_Differential" localSheetId="47">'4080'!$G$6</definedName>
    <definedName name="District_Cost_Differential" localSheetId="48">'4081'!$G$6</definedName>
    <definedName name="District_Cost_Differential" localSheetId="49">'4090'!$G$6</definedName>
    <definedName name="District_Cost_Differential" localSheetId="50">'4091'!$G$6</definedName>
    <definedName name="District_Cost_Differential" localSheetId="51">'4100'!$G$6</definedName>
    <definedName name="District_Cost_Differential" localSheetId="52">'4102'!$G$6</definedName>
    <definedName name="District_Cost_Differential" localSheetId="53">'4103'!$G$6</definedName>
    <definedName name="District_Cost_Differential" localSheetId="54">'4111'!$G$6</definedName>
    <definedName name="District_Cost_Differential" localSheetId="55">'4131'!$G$6</definedName>
    <definedName name="District_Cost_Differential">'0040'!$G$6</definedName>
    <definedName name="District_SAI_Allocation" localSheetId="7">'0100'!#REF!</definedName>
    <definedName name="District_SAI_Allocation" localSheetId="6">'0571'!#REF!</definedName>
    <definedName name="District_SAI_Allocation" localSheetId="8">'1461'!#REF!</definedName>
    <definedName name="District_SAI_Allocation" localSheetId="9">'1571'!#REF!</definedName>
    <definedName name="District_SAI_Allocation" localSheetId="10">'2521'!#REF!</definedName>
    <definedName name="District_SAI_Allocation" localSheetId="11">'2531'!#REF!</definedName>
    <definedName name="District_SAI_Allocation" localSheetId="12">'2791'!#REF!</definedName>
    <definedName name="District_SAI_Allocation" localSheetId="13">'2801'!#REF!</definedName>
    <definedName name="District_SAI_Allocation" localSheetId="14">'2911'!#REF!</definedName>
    <definedName name="District_SAI_Allocation" localSheetId="15">'2941'!#REF!</definedName>
    <definedName name="District_SAI_Allocation" localSheetId="16">'3083'!#REF!</definedName>
    <definedName name="District_SAI_Allocation" localSheetId="17">'3345'!#REF!</definedName>
    <definedName name="District_SAI_Allocation" localSheetId="18">'3362'!#REF!</definedName>
    <definedName name="District_SAI_Allocation" localSheetId="19">'3381'!#REF!</definedName>
    <definedName name="District_SAI_Allocation" localSheetId="20">'3382'!#REF!</definedName>
    <definedName name="District_SAI_Allocation" localSheetId="21">'3391'!#REF!</definedName>
    <definedName name="District_SAI_Allocation" localSheetId="22">'3394'!#REF!</definedName>
    <definedName name="District_SAI_Allocation" localSheetId="23">'3395'!#REF!</definedName>
    <definedName name="District_SAI_Allocation" localSheetId="24">'3396'!#REF!</definedName>
    <definedName name="District_SAI_Allocation" localSheetId="25">'3398'!#REF!</definedName>
    <definedName name="District_SAI_Allocation" localSheetId="26">'3400'!#REF!</definedName>
    <definedName name="District_SAI_Allocation" localSheetId="27">'3401'!#REF!</definedName>
    <definedName name="District_SAI_Allocation" localSheetId="28">'3413'!#REF!</definedName>
    <definedName name="District_SAI_Allocation" localSheetId="29">'3421'!#REF!</definedName>
    <definedName name="District_SAI_Allocation" localSheetId="30">'3431'!#REF!</definedName>
    <definedName name="District_SAI_Allocation" localSheetId="31">'3441'!#REF!</definedName>
    <definedName name="District_SAI_Allocation" localSheetId="32">'3924'!#REF!</definedName>
    <definedName name="District_SAI_Allocation" localSheetId="33">'3941'!#REF!</definedName>
    <definedName name="District_SAI_Allocation" localSheetId="34">'3961'!#REF!</definedName>
    <definedName name="District_SAI_Allocation" localSheetId="35">'3971'!#REF!</definedName>
    <definedName name="District_SAI_Allocation" localSheetId="36">'4001'!#REF!</definedName>
    <definedName name="District_SAI_Allocation" localSheetId="37">'4002'!#REF!</definedName>
    <definedName name="District_SAI_Allocation" localSheetId="38">'4012'!#REF!</definedName>
    <definedName name="District_SAI_Allocation" localSheetId="39">'4013'!#REF!</definedName>
    <definedName name="District_SAI_Allocation" localSheetId="40">'4020'!#REF!</definedName>
    <definedName name="District_SAI_Allocation" localSheetId="41">'4030'!#REF!</definedName>
    <definedName name="District_SAI_Allocation" localSheetId="42">'4031'!#REF!</definedName>
    <definedName name="District_SAI_Allocation" localSheetId="43">'4041'!#REF!</definedName>
    <definedName name="District_SAI_Allocation" localSheetId="44">'4050'!#REF!</definedName>
    <definedName name="District_SAI_Allocation" localSheetId="45">'4051'!#REF!</definedName>
    <definedName name="District_SAI_Allocation" localSheetId="46">'4061'!#REF!</definedName>
    <definedName name="District_SAI_Allocation" localSheetId="47">'4080'!#REF!</definedName>
    <definedName name="District_SAI_Allocation" localSheetId="48">'4081'!#REF!</definedName>
    <definedName name="District_SAI_Allocation" localSheetId="49">'4090'!#REF!</definedName>
    <definedName name="District_SAI_Allocation" localSheetId="50">'4091'!#REF!</definedName>
    <definedName name="District_SAI_Allocation" localSheetId="51">'4100'!#REF!</definedName>
    <definedName name="District_SAI_Allocation" localSheetId="52">'4102'!#REF!</definedName>
    <definedName name="District_SAI_Allocation" localSheetId="53">'4103'!#REF!</definedName>
    <definedName name="District_SAI_Allocation" localSheetId="54">'4111'!#REF!</definedName>
    <definedName name="District_SAI_Allocation" localSheetId="55">'4131'!#REF!</definedName>
    <definedName name="District_SAI_Allocation">'0040'!#REF!</definedName>
    <definedName name="Districts">#REF!</definedName>
    <definedName name="divided_by_district_FTE" localSheetId="7">'0100'!#REF!</definedName>
    <definedName name="divided_by_district_FTE" localSheetId="6">'0571'!#REF!</definedName>
    <definedName name="divided_by_district_FTE" localSheetId="8">'1461'!#REF!</definedName>
    <definedName name="divided_by_district_FTE" localSheetId="9">'1571'!#REF!</definedName>
    <definedName name="divided_by_district_FTE" localSheetId="10">'2521'!#REF!</definedName>
    <definedName name="divided_by_district_FTE" localSheetId="11">'2531'!#REF!</definedName>
    <definedName name="divided_by_district_FTE" localSheetId="12">'2791'!#REF!</definedName>
    <definedName name="divided_by_district_FTE" localSheetId="13">'2801'!#REF!</definedName>
    <definedName name="divided_by_district_FTE" localSheetId="14">'2911'!#REF!</definedName>
    <definedName name="divided_by_district_FTE" localSheetId="15">'2941'!#REF!</definedName>
    <definedName name="divided_by_district_FTE" localSheetId="16">'3083'!#REF!</definedName>
    <definedName name="divided_by_district_FTE" localSheetId="17">'3345'!#REF!</definedName>
    <definedName name="divided_by_district_FTE" localSheetId="18">'3362'!#REF!</definedName>
    <definedName name="divided_by_district_FTE" localSheetId="19">'3381'!#REF!</definedName>
    <definedName name="divided_by_district_FTE" localSheetId="20">'3382'!#REF!</definedName>
    <definedName name="divided_by_district_FTE" localSheetId="21">'3391'!#REF!</definedName>
    <definedName name="divided_by_district_FTE" localSheetId="22">'3394'!#REF!</definedName>
    <definedName name="divided_by_district_FTE" localSheetId="23">'3395'!#REF!</definedName>
    <definedName name="divided_by_district_FTE" localSheetId="24">'3396'!#REF!</definedName>
    <definedName name="divided_by_district_FTE" localSheetId="25">'3398'!#REF!</definedName>
    <definedName name="divided_by_district_FTE" localSheetId="26">'3400'!#REF!</definedName>
    <definedName name="divided_by_district_FTE" localSheetId="27">'3401'!#REF!</definedName>
    <definedName name="divided_by_district_FTE" localSheetId="28">'3413'!#REF!</definedName>
    <definedName name="divided_by_district_FTE" localSheetId="29">'3421'!#REF!</definedName>
    <definedName name="divided_by_district_FTE" localSheetId="30">'3431'!#REF!</definedName>
    <definedName name="divided_by_district_FTE" localSheetId="31">'3441'!#REF!</definedName>
    <definedName name="divided_by_district_FTE" localSheetId="32">'3924'!#REF!</definedName>
    <definedName name="divided_by_district_FTE" localSheetId="33">'3941'!#REF!</definedName>
    <definedName name="divided_by_district_FTE" localSheetId="34">'3961'!#REF!</definedName>
    <definedName name="divided_by_district_FTE" localSheetId="35">'3971'!#REF!</definedName>
    <definedName name="divided_by_district_FTE" localSheetId="36">'4001'!#REF!</definedName>
    <definedName name="divided_by_district_FTE" localSheetId="37">'4002'!#REF!</definedName>
    <definedName name="divided_by_district_FTE" localSheetId="38">'4012'!#REF!</definedName>
    <definedName name="divided_by_district_FTE" localSheetId="39">'4013'!#REF!</definedName>
    <definedName name="divided_by_district_FTE" localSheetId="40">'4020'!#REF!</definedName>
    <definedName name="divided_by_district_FTE" localSheetId="41">'4030'!#REF!</definedName>
    <definedName name="divided_by_district_FTE" localSheetId="42">'4031'!#REF!</definedName>
    <definedName name="divided_by_district_FTE" localSheetId="43">'4041'!#REF!</definedName>
    <definedName name="divided_by_district_FTE" localSheetId="44">'4050'!#REF!</definedName>
    <definedName name="divided_by_district_FTE" localSheetId="45">'4051'!#REF!</definedName>
    <definedName name="divided_by_district_FTE" localSheetId="46">'4061'!#REF!</definedName>
    <definedName name="divided_by_district_FTE" localSheetId="47">'4080'!#REF!</definedName>
    <definedName name="divided_by_district_FTE" localSheetId="48">'4081'!#REF!</definedName>
    <definedName name="divided_by_district_FTE" localSheetId="49">'4090'!#REF!</definedName>
    <definedName name="divided_by_district_FTE" localSheetId="50">'4091'!#REF!</definedName>
    <definedName name="divided_by_district_FTE" localSheetId="51">'4100'!#REF!</definedName>
    <definedName name="divided_by_district_FTE" localSheetId="52">'4102'!#REF!</definedName>
    <definedName name="divided_by_district_FTE" localSheetId="53">'4103'!#REF!</definedName>
    <definedName name="divided_by_district_FTE" localSheetId="54">'4111'!#REF!</definedName>
    <definedName name="divided_by_district_FTE" localSheetId="55">'4131'!#REF!</definedName>
    <definedName name="divided_by_district_FTE">'0040'!#REF!</definedName>
    <definedName name="Dixie">#REF!</definedName>
    <definedName name="Dual_Enrollment_Allocation">'[1]Detail 2025-26 FEFP Second'!#REF!</definedName>
    <definedName name="Duval">#REF!</definedName>
    <definedName name="Equal_Percent_Adjustment">'[1]Detail 2025-26 FEFP Second'!#REF!</definedName>
    <definedName name="Escambia">#REF!</definedName>
    <definedName name="ESE_Guaranteed_Allocation_Dollars">'[1]Detail 2025-26 FEFP Second'!#REF!</definedName>
    <definedName name="ESE_Guaranteed_Factor_Minimum_of__1_951.26">'[1]Detail 2025-26 FEFP Second'!#REF!</definedName>
    <definedName name="ESE_LEVEL_1">#REF!</definedName>
    <definedName name="ESE_LEVEL_1_Program_111__Grades_K_3">#REF!</definedName>
    <definedName name="ESE_LEVEL_1_Program_112__Grades_4_8">#REF!</definedName>
    <definedName name="ESE_LEVEL_1_Program_113__Grades_9_12">#REF!</definedName>
    <definedName name="ESE_LEVEL_2_Program_111__Grades_K_3">#REF!</definedName>
    <definedName name="ESE_LEVEL_2_Program_112__Grades_4_8">#REF!</definedName>
    <definedName name="ESE_LEVEL_2_Program_113__Grades_9_12">#REF!</definedName>
    <definedName name="ESE_LEVEL_3_Program_111__Grades_K_3">#REF!</definedName>
    <definedName name="ESE_LEVEL_3_Program_112__Grades_4_8">#REF!</definedName>
    <definedName name="ESE_LEVEL_3_Program_113__Grades_9_12">#REF!</definedName>
    <definedName name="ESE_Program_111__Grades_K_3">#REF!</definedName>
    <definedName name="FAMU_Lab_School">#REF!</definedName>
    <definedName name="FAU_Lab_School">#REF!</definedName>
    <definedName name="FAU_St._Lucie">#REF!</definedName>
    <definedName name="Fl_Virtual_School">#REF!</definedName>
    <definedName name="Flagler">#REF!</definedName>
    <definedName name="Franklin">#REF!</definedName>
    <definedName name="FSU_Lab_Broward">#REF!</definedName>
    <definedName name="FSU_Lab_Leon">#REF!</definedName>
    <definedName name="FTE" localSheetId="7">'0100'!#REF!</definedName>
    <definedName name="FTE" localSheetId="6">'0571'!#REF!</definedName>
    <definedName name="FTE" localSheetId="8">'1461'!#REF!</definedName>
    <definedName name="FTE" localSheetId="9">'1571'!#REF!</definedName>
    <definedName name="FTE" localSheetId="10">'2521'!#REF!</definedName>
    <definedName name="FTE" localSheetId="11">'2531'!#REF!</definedName>
    <definedName name="FTE" localSheetId="12">'2791'!#REF!</definedName>
    <definedName name="FTE" localSheetId="13">'2801'!#REF!</definedName>
    <definedName name="FTE" localSheetId="14">'2911'!#REF!</definedName>
    <definedName name="FTE" localSheetId="15">'2941'!#REF!</definedName>
    <definedName name="FTE" localSheetId="16">'3083'!#REF!</definedName>
    <definedName name="FTE" localSheetId="17">'3345'!#REF!</definedName>
    <definedName name="FTE" localSheetId="18">'3362'!#REF!</definedName>
    <definedName name="FTE" localSheetId="19">'3381'!#REF!</definedName>
    <definedName name="FTE" localSheetId="20">'3382'!#REF!</definedName>
    <definedName name="FTE" localSheetId="21">'3391'!#REF!</definedName>
    <definedName name="FTE" localSheetId="22">'3394'!#REF!</definedName>
    <definedName name="FTE" localSheetId="23">'3395'!#REF!</definedName>
    <definedName name="FTE" localSheetId="24">'3396'!#REF!</definedName>
    <definedName name="FTE" localSheetId="25">'3398'!#REF!</definedName>
    <definedName name="FTE" localSheetId="26">'3400'!#REF!</definedName>
    <definedName name="FTE" localSheetId="27">'3401'!#REF!</definedName>
    <definedName name="FTE" localSheetId="28">'3413'!#REF!</definedName>
    <definedName name="FTE" localSheetId="29">'3421'!#REF!</definedName>
    <definedName name="FTE" localSheetId="30">'3431'!#REF!</definedName>
    <definedName name="FTE" localSheetId="31">'3441'!#REF!</definedName>
    <definedName name="FTE" localSheetId="32">'3924'!#REF!</definedName>
    <definedName name="FTE" localSheetId="33">'3941'!#REF!</definedName>
    <definedName name="FTE" localSheetId="34">'3961'!#REF!</definedName>
    <definedName name="FTE" localSheetId="35">'3971'!#REF!</definedName>
    <definedName name="FTE" localSheetId="36">'4001'!#REF!</definedName>
    <definedName name="FTE" localSheetId="37">'4002'!#REF!</definedName>
    <definedName name="FTE" localSheetId="38">'4012'!#REF!</definedName>
    <definedName name="FTE" localSheetId="39">'4013'!#REF!</definedName>
    <definedName name="FTE" localSheetId="40">'4020'!#REF!</definedName>
    <definedName name="FTE" localSheetId="41">'4030'!#REF!</definedName>
    <definedName name="FTE" localSheetId="42">'4031'!#REF!</definedName>
    <definedName name="FTE" localSheetId="43">'4041'!#REF!</definedName>
    <definedName name="FTE" localSheetId="44">'4050'!#REF!</definedName>
    <definedName name="FTE" localSheetId="45">'4051'!#REF!</definedName>
    <definedName name="FTE" localSheetId="46">'4061'!#REF!</definedName>
    <definedName name="FTE" localSheetId="47">'4080'!#REF!</definedName>
    <definedName name="FTE" localSheetId="48">'4081'!#REF!</definedName>
    <definedName name="FTE" localSheetId="49">'4090'!#REF!</definedName>
    <definedName name="FTE" localSheetId="50">'4091'!#REF!</definedName>
    <definedName name="FTE" localSheetId="51">'4100'!#REF!</definedName>
    <definedName name="FTE" localSheetId="52">'4102'!#REF!</definedName>
    <definedName name="FTE" localSheetId="53">'4103'!#REF!</definedName>
    <definedName name="FTE" localSheetId="54">'4111'!#REF!</definedName>
    <definedName name="FTE" localSheetId="55">'4131'!#REF!</definedName>
    <definedName name="FTE">'0040'!#REF!</definedName>
    <definedName name="Gadsden">#REF!</definedName>
    <definedName name="Gilchrist">#REF!</definedName>
    <definedName name="Glades">#REF!</definedName>
    <definedName name="Grade_Level" localSheetId="7">'0100'!#REF!</definedName>
    <definedName name="Grade_Level" localSheetId="6">'0571'!#REF!</definedName>
    <definedName name="Grade_Level" localSheetId="8">'1461'!#REF!</definedName>
    <definedName name="Grade_Level" localSheetId="9">'1571'!#REF!</definedName>
    <definedName name="Grade_Level" localSheetId="10">'2521'!#REF!</definedName>
    <definedName name="Grade_Level" localSheetId="11">'2531'!#REF!</definedName>
    <definedName name="Grade_Level" localSheetId="12">'2791'!#REF!</definedName>
    <definedName name="Grade_Level" localSheetId="13">'2801'!#REF!</definedName>
    <definedName name="Grade_Level" localSheetId="14">'2911'!#REF!</definedName>
    <definedName name="Grade_Level" localSheetId="15">'2941'!#REF!</definedName>
    <definedName name="Grade_Level" localSheetId="16">'3083'!#REF!</definedName>
    <definedName name="Grade_Level" localSheetId="17">'3345'!#REF!</definedName>
    <definedName name="Grade_Level" localSheetId="18">'3362'!#REF!</definedName>
    <definedName name="Grade_Level" localSheetId="19">'3381'!#REF!</definedName>
    <definedName name="Grade_Level" localSheetId="20">'3382'!#REF!</definedName>
    <definedName name="Grade_Level" localSheetId="21">'3391'!#REF!</definedName>
    <definedName name="Grade_Level" localSheetId="22">'3394'!#REF!</definedName>
    <definedName name="Grade_Level" localSheetId="23">'3395'!#REF!</definedName>
    <definedName name="Grade_Level" localSheetId="24">'3396'!#REF!</definedName>
    <definedName name="Grade_Level" localSheetId="25">'3398'!#REF!</definedName>
    <definedName name="Grade_Level" localSheetId="26">'3400'!#REF!</definedName>
    <definedName name="Grade_Level" localSheetId="27">'3401'!#REF!</definedName>
    <definedName name="Grade_Level" localSheetId="28">'3413'!#REF!</definedName>
    <definedName name="Grade_Level" localSheetId="29">'3421'!#REF!</definedName>
    <definedName name="Grade_Level" localSheetId="30">'3431'!#REF!</definedName>
    <definedName name="Grade_Level" localSheetId="31">'3441'!#REF!</definedName>
    <definedName name="Grade_Level" localSheetId="32">'3924'!#REF!</definedName>
    <definedName name="Grade_Level" localSheetId="33">'3941'!#REF!</definedName>
    <definedName name="Grade_Level" localSheetId="34">'3961'!#REF!</definedName>
    <definedName name="Grade_Level" localSheetId="35">'3971'!#REF!</definedName>
    <definedName name="Grade_Level" localSheetId="36">'4001'!#REF!</definedName>
    <definedName name="Grade_Level" localSheetId="37">'4002'!#REF!</definedName>
    <definedName name="Grade_Level" localSheetId="38">'4012'!#REF!</definedName>
    <definedName name="Grade_Level" localSheetId="39">'4013'!#REF!</definedName>
    <definedName name="Grade_Level" localSheetId="40">'4020'!#REF!</definedName>
    <definedName name="Grade_Level" localSheetId="41">'4030'!#REF!</definedName>
    <definedName name="Grade_Level" localSheetId="42">'4031'!#REF!</definedName>
    <definedName name="Grade_Level" localSheetId="43">'4041'!#REF!</definedName>
    <definedName name="Grade_Level" localSheetId="44">'4050'!#REF!</definedName>
    <definedName name="Grade_Level" localSheetId="45">'4051'!#REF!</definedName>
    <definedName name="Grade_Level" localSheetId="46">'4061'!#REF!</definedName>
    <definedName name="Grade_Level" localSheetId="47">'4080'!#REF!</definedName>
    <definedName name="Grade_Level" localSheetId="48">'4081'!#REF!</definedName>
    <definedName name="Grade_Level" localSheetId="49">'4090'!#REF!</definedName>
    <definedName name="Grade_Level" localSheetId="50">'4091'!#REF!</definedName>
    <definedName name="Grade_Level" localSheetId="51">'4100'!#REF!</definedName>
    <definedName name="Grade_Level" localSheetId="52">'4102'!#REF!</definedName>
    <definedName name="Grade_Level" localSheetId="53">'4103'!#REF!</definedName>
    <definedName name="Grade_Level" localSheetId="54">'4111'!#REF!</definedName>
    <definedName name="Grade_Level" localSheetId="55">'4131'!#REF!</definedName>
    <definedName name="Grade_Level">'0040'!#REF!</definedName>
    <definedName name="Guarantee_Per_Student" localSheetId="7">'0100'!#REF!</definedName>
    <definedName name="Guarantee_Per_Student" localSheetId="6">'0571'!#REF!</definedName>
    <definedName name="Guarantee_Per_Student" localSheetId="8">'1461'!#REF!</definedName>
    <definedName name="Guarantee_Per_Student" localSheetId="9">'1571'!#REF!</definedName>
    <definedName name="Guarantee_Per_Student" localSheetId="10">'2521'!#REF!</definedName>
    <definedName name="Guarantee_Per_Student" localSheetId="11">'2531'!#REF!</definedName>
    <definedName name="Guarantee_Per_Student" localSheetId="12">'2791'!#REF!</definedName>
    <definedName name="Guarantee_Per_Student" localSheetId="13">'2801'!#REF!</definedName>
    <definedName name="Guarantee_Per_Student" localSheetId="14">'2911'!#REF!</definedName>
    <definedName name="Guarantee_Per_Student" localSheetId="15">'2941'!#REF!</definedName>
    <definedName name="Guarantee_Per_Student" localSheetId="16">'3083'!#REF!</definedName>
    <definedName name="Guarantee_Per_Student" localSheetId="17">'3345'!#REF!</definedName>
    <definedName name="Guarantee_Per_Student" localSheetId="18">'3362'!#REF!</definedName>
    <definedName name="Guarantee_Per_Student" localSheetId="19">'3381'!#REF!</definedName>
    <definedName name="Guarantee_Per_Student" localSheetId="20">'3382'!#REF!</definedName>
    <definedName name="Guarantee_Per_Student" localSheetId="21">'3391'!#REF!</definedName>
    <definedName name="Guarantee_Per_Student" localSheetId="22">'3394'!#REF!</definedName>
    <definedName name="Guarantee_Per_Student" localSheetId="23">'3395'!#REF!</definedName>
    <definedName name="Guarantee_Per_Student" localSheetId="24">'3396'!#REF!</definedName>
    <definedName name="Guarantee_Per_Student" localSheetId="25">'3398'!#REF!</definedName>
    <definedName name="Guarantee_Per_Student" localSheetId="26">'3400'!#REF!</definedName>
    <definedName name="Guarantee_Per_Student" localSheetId="27">'3401'!#REF!</definedName>
    <definedName name="Guarantee_Per_Student" localSheetId="28">'3413'!#REF!</definedName>
    <definedName name="Guarantee_Per_Student" localSheetId="29">'3421'!#REF!</definedName>
    <definedName name="Guarantee_Per_Student" localSheetId="30">'3431'!#REF!</definedName>
    <definedName name="Guarantee_Per_Student" localSheetId="31">'3441'!#REF!</definedName>
    <definedName name="Guarantee_Per_Student" localSheetId="32">'3924'!#REF!</definedName>
    <definedName name="Guarantee_Per_Student" localSheetId="33">'3941'!#REF!</definedName>
    <definedName name="Guarantee_Per_Student" localSheetId="34">'3961'!#REF!</definedName>
    <definedName name="Guarantee_Per_Student" localSheetId="35">'3971'!#REF!</definedName>
    <definedName name="Guarantee_Per_Student" localSheetId="36">'4001'!#REF!</definedName>
    <definedName name="Guarantee_Per_Student" localSheetId="37">'4002'!#REF!</definedName>
    <definedName name="Guarantee_Per_Student" localSheetId="38">'4012'!#REF!</definedName>
    <definedName name="Guarantee_Per_Student" localSheetId="39">'4013'!#REF!</definedName>
    <definedName name="Guarantee_Per_Student" localSheetId="40">'4020'!#REF!</definedName>
    <definedName name="Guarantee_Per_Student" localSheetId="41">'4030'!#REF!</definedName>
    <definedName name="Guarantee_Per_Student" localSheetId="42">'4031'!#REF!</definedName>
    <definedName name="Guarantee_Per_Student" localSheetId="43">'4041'!#REF!</definedName>
    <definedName name="Guarantee_Per_Student" localSheetId="44">'4050'!#REF!</definedName>
    <definedName name="Guarantee_Per_Student" localSheetId="45">'4051'!#REF!</definedName>
    <definedName name="Guarantee_Per_Student" localSheetId="46">'4061'!#REF!</definedName>
    <definedName name="Guarantee_Per_Student" localSheetId="47">'4080'!#REF!</definedName>
    <definedName name="Guarantee_Per_Student" localSheetId="48">'4081'!#REF!</definedName>
    <definedName name="Guarantee_Per_Student" localSheetId="49">'4090'!#REF!</definedName>
    <definedName name="Guarantee_Per_Student" localSheetId="50">'4091'!#REF!</definedName>
    <definedName name="Guarantee_Per_Student" localSheetId="51">'4100'!#REF!</definedName>
    <definedName name="Guarantee_Per_Student" localSheetId="52">'4102'!#REF!</definedName>
    <definedName name="Guarantee_Per_Student" localSheetId="53">'4103'!#REF!</definedName>
    <definedName name="Guarantee_Per_Student" localSheetId="54">'4111'!#REF!</definedName>
    <definedName name="Guarantee_Per_Student" localSheetId="55">'4131'!#REF!</definedName>
    <definedName name="Guarantee_Per_Student">'0040'!#REF!</definedName>
    <definedName name="Gulf">#REF!</definedName>
    <definedName name="Hamilton">#REF!</definedName>
    <definedName name="Hardee">#REF!</definedName>
    <definedName name="Hendry">#REF!</definedName>
    <definedName name="Hernando">#REF!</definedName>
    <definedName name="Highlands">#REF!</definedName>
    <definedName name="Hillsborough">#REF!</definedName>
    <definedName name="Holmes">#REF!</definedName>
    <definedName name="HTML_CodePage" hidden="1">1252</definedName>
    <definedName name="HTML_Control" localSheetId="1" hidden="1">{"'AssumptionsHTML'!$B$9:$E$357","'SummationHTML'!$A$4:$J$93","'Difference'!$A$11:$K$101","'DifferenceFTE'!$A$11:$K$101","'Detail1'!$A$11:$I$97","'Detail2'!$A$11:$J$97","'Detail3'!$A$11:$J$97","'Categorical1'!$A$11:$L$97"}</definedName>
    <definedName name="HTML_Control" localSheetId="2"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localSheetId="3" hidden="1">{"'AssumptionsHTML'!$B$9:$E$357","'SummationHTML'!$A$4:$J$93","'Difference'!$A$11:$K$101","'DifferenceFTE'!$A$11:$K$101","'Detail1'!$A$11:$I$97","'Detail2'!$A$11:$J$97","'Detail3'!$A$11:$J$97","'Categorical1'!$A$11:$L$97"}</definedName>
    <definedName name="HTML_Control" localSheetId="0"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Indian_River">#REF!</definedName>
    <definedName name="Instructional_Materials_Allocation__Less_science_lab_and_dual_enrollment">'[1]Detail 2025-26 FEFP Second'!#REF!</definedName>
    <definedName name="Jackson">#REF!</definedName>
    <definedName name="Jefferson">#REF!</definedName>
    <definedName name="Lafayette">#REF!</definedName>
    <definedName name="Lake">#REF!</definedName>
    <definedName name="Lee">#REF!</definedName>
    <definedName name="Leon">#REF!</definedName>
    <definedName name="Levy">#REF!</definedName>
    <definedName name="Liberty">#REF!</definedName>
    <definedName name="Madison">#REF!</definedName>
    <definedName name="Manatee">#REF!</definedName>
    <definedName name="Marion">#REF!</definedName>
    <definedName name="Martin">#REF!</definedName>
    <definedName name="Matrix_Level" localSheetId="7">'0100'!#REF!</definedName>
    <definedName name="Matrix_Level" localSheetId="6">'0571'!#REF!</definedName>
    <definedName name="Matrix_Level" localSheetId="8">'1461'!#REF!</definedName>
    <definedName name="Matrix_Level" localSheetId="9">'1571'!#REF!</definedName>
    <definedName name="Matrix_Level" localSheetId="10">'2521'!#REF!</definedName>
    <definedName name="Matrix_Level" localSheetId="11">'2531'!#REF!</definedName>
    <definedName name="Matrix_Level" localSheetId="12">'2791'!#REF!</definedName>
    <definedName name="Matrix_Level" localSheetId="13">'2801'!#REF!</definedName>
    <definedName name="Matrix_Level" localSheetId="14">'2911'!#REF!</definedName>
    <definedName name="Matrix_Level" localSheetId="15">'2941'!#REF!</definedName>
    <definedName name="Matrix_Level" localSheetId="16">'3083'!#REF!</definedName>
    <definedName name="Matrix_Level" localSheetId="17">'3345'!#REF!</definedName>
    <definedName name="Matrix_Level" localSheetId="18">'3362'!#REF!</definedName>
    <definedName name="Matrix_Level" localSheetId="19">'3381'!#REF!</definedName>
    <definedName name="Matrix_Level" localSheetId="20">'3382'!#REF!</definedName>
    <definedName name="Matrix_Level" localSheetId="21">'3391'!#REF!</definedName>
    <definedName name="Matrix_Level" localSheetId="22">'3394'!#REF!</definedName>
    <definedName name="Matrix_Level" localSheetId="23">'3395'!#REF!</definedName>
    <definedName name="Matrix_Level" localSheetId="24">'3396'!#REF!</definedName>
    <definedName name="Matrix_Level" localSheetId="25">'3398'!#REF!</definedName>
    <definedName name="Matrix_Level" localSheetId="26">'3400'!#REF!</definedName>
    <definedName name="Matrix_Level" localSheetId="27">'3401'!#REF!</definedName>
    <definedName name="Matrix_Level" localSheetId="28">'3413'!#REF!</definedName>
    <definedName name="Matrix_Level" localSheetId="29">'3421'!#REF!</definedName>
    <definedName name="Matrix_Level" localSheetId="30">'3431'!#REF!</definedName>
    <definedName name="Matrix_Level" localSheetId="31">'3441'!#REF!</definedName>
    <definedName name="Matrix_Level" localSheetId="32">'3924'!#REF!</definedName>
    <definedName name="Matrix_Level" localSheetId="33">'3941'!#REF!</definedName>
    <definedName name="Matrix_Level" localSheetId="34">'3961'!#REF!</definedName>
    <definedName name="Matrix_Level" localSheetId="35">'3971'!#REF!</definedName>
    <definedName name="Matrix_Level" localSheetId="36">'4001'!#REF!</definedName>
    <definedName name="Matrix_Level" localSheetId="37">'4002'!#REF!</definedName>
    <definedName name="Matrix_Level" localSheetId="38">'4012'!#REF!</definedName>
    <definedName name="Matrix_Level" localSheetId="39">'4013'!#REF!</definedName>
    <definedName name="Matrix_Level" localSheetId="40">'4020'!#REF!</definedName>
    <definedName name="Matrix_Level" localSheetId="41">'4030'!#REF!</definedName>
    <definedName name="Matrix_Level" localSheetId="42">'4031'!#REF!</definedName>
    <definedName name="Matrix_Level" localSheetId="43">'4041'!#REF!</definedName>
    <definedName name="Matrix_Level" localSheetId="44">'4050'!#REF!</definedName>
    <definedName name="Matrix_Level" localSheetId="45">'4051'!#REF!</definedName>
    <definedName name="Matrix_Level" localSheetId="46">'4061'!#REF!</definedName>
    <definedName name="Matrix_Level" localSheetId="47">'4080'!#REF!</definedName>
    <definedName name="Matrix_Level" localSheetId="48">'4081'!#REF!</definedName>
    <definedName name="Matrix_Level" localSheetId="49">'4090'!#REF!</definedName>
    <definedName name="Matrix_Level" localSheetId="50">'4091'!#REF!</definedName>
    <definedName name="Matrix_Level" localSheetId="51">'4100'!#REF!</definedName>
    <definedName name="Matrix_Level" localSheetId="52">'4102'!#REF!</definedName>
    <definedName name="Matrix_Level" localSheetId="53">'4103'!#REF!</definedName>
    <definedName name="Matrix_Level" localSheetId="54">'4111'!#REF!</definedName>
    <definedName name="Matrix_Level" localSheetId="55">'4131'!#REF!</definedName>
    <definedName name="Matrix_Level">'0040'!#REF!</definedName>
    <definedName name="Miami_Dade">#REF!</definedName>
    <definedName name="Minimum_Guarantee_Adjustment">'[1]Detail 2025-26 FEFP Second'!#REF!</definedName>
    <definedName name="Monroe">#REF!</definedName>
    <definedName name="Nassau">#REF!</definedName>
    <definedName name="Number_of_FTE" localSheetId="7">'0100'!$E$10</definedName>
    <definedName name="Number_of_FTE" localSheetId="6">'0571'!$E$10</definedName>
    <definedName name="Number_of_FTE" localSheetId="8">'1461'!$E$10</definedName>
    <definedName name="Number_of_FTE" localSheetId="9">'1571'!$E$10</definedName>
    <definedName name="Number_of_FTE" localSheetId="10">'2521'!$E$10</definedName>
    <definedName name="Number_of_FTE" localSheetId="11">'2531'!$E$10</definedName>
    <definedName name="Number_of_FTE" localSheetId="12">'2791'!$E$10</definedName>
    <definedName name="Number_of_FTE" localSheetId="13">'2801'!$E$10</definedName>
    <definedName name="Number_of_FTE" localSheetId="14">'2911'!$E$10</definedName>
    <definedName name="Number_of_FTE" localSheetId="15">'2941'!$E$10</definedName>
    <definedName name="Number_of_FTE" localSheetId="16">'3083'!$E$10</definedName>
    <definedName name="Number_of_FTE" localSheetId="17">'3345'!$E$10</definedName>
    <definedName name="Number_of_FTE" localSheetId="18">'3362'!$E$10</definedName>
    <definedName name="Number_of_FTE" localSheetId="19">'3381'!$E$10</definedName>
    <definedName name="Number_of_FTE" localSheetId="20">'3382'!$E$10</definedName>
    <definedName name="Number_of_FTE" localSheetId="21">'3391'!$E$10</definedName>
    <definedName name="Number_of_FTE" localSheetId="22">'3394'!$E$10</definedName>
    <definedName name="Number_of_FTE" localSheetId="23">'3395'!$E$10</definedName>
    <definedName name="Number_of_FTE" localSheetId="24">'3396'!$E$10</definedName>
    <definedName name="Number_of_FTE" localSheetId="25">'3398'!$E$10</definedName>
    <definedName name="Number_of_FTE" localSheetId="26">'3400'!$E$10</definedName>
    <definedName name="Number_of_FTE" localSheetId="27">'3401'!$E$10</definedName>
    <definedName name="Number_of_FTE" localSheetId="28">'3413'!$E$10</definedName>
    <definedName name="Number_of_FTE" localSheetId="29">'3421'!$E$10</definedName>
    <definedName name="Number_of_FTE" localSheetId="30">'3431'!$E$10</definedName>
    <definedName name="Number_of_FTE" localSheetId="31">'3441'!$E$10</definedName>
    <definedName name="Number_of_FTE" localSheetId="32">'3924'!$E$10</definedName>
    <definedName name="Number_of_FTE" localSheetId="33">'3941'!$E$10</definedName>
    <definedName name="Number_of_FTE" localSheetId="34">'3961'!$E$10</definedName>
    <definedName name="Number_of_FTE" localSheetId="35">'3971'!$E$10</definedName>
    <definedName name="Number_of_FTE" localSheetId="36">'4001'!$E$10</definedName>
    <definedName name="Number_of_FTE" localSheetId="37">'4002'!$E$10</definedName>
    <definedName name="Number_of_FTE" localSheetId="38">'4012'!$E$10</definedName>
    <definedName name="Number_of_FTE" localSheetId="39">'4013'!$E$10</definedName>
    <definedName name="Number_of_FTE" localSheetId="40">'4020'!$E$10</definedName>
    <definedName name="Number_of_FTE" localSheetId="41">'4030'!$E$10</definedName>
    <definedName name="Number_of_FTE" localSheetId="42">'4031'!$E$10</definedName>
    <definedName name="Number_of_FTE" localSheetId="43">'4041'!$E$10</definedName>
    <definedName name="Number_of_FTE" localSheetId="44">'4050'!$E$10</definedName>
    <definedName name="Number_of_FTE" localSheetId="45">'4051'!$E$10</definedName>
    <definedName name="Number_of_FTE" localSheetId="46">'4061'!$E$10</definedName>
    <definedName name="Number_of_FTE" localSheetId="47">'4080'!$E$10</definedName>
    <definedName name="Number_of_FTE" localSheetId="48">'4081'!$E$10</definedName>
    <definedName name="Number_of_FTE" localSheetId="49">'4090'!$E$10</definedName>
    <definedName name="Number_of_FTE" localSheetId="50">'4091'!$E$10</definedName>
    <definedName name="Number_of_FTE" localSheetId="51">'4100'!$E$10</definedName>
    <definedName name="Number_of_FTE" localSheetId="52">'4102'!$E$10</definedName>
    <definedName name="Number_of_FTE" localSheetId="53">'4103'!$E$10</definedName>
    <definedName name="Number_of_FTE" localSheetId="54">'4111'!$E$10</definedName>
    <definedName name="Number_of_FTE" localSheetId="55">'4131'!$E$10</definedName>
    <definedName name="Number_of_FTE">'0040'!$E$10</definedName>
    <definedName name="Okaloosa">#REF!</definedName>
    <definedName name="Okeechobee">#REF!</definedName>
    <definedName name="Orange">#REF!</definedName>
    <definedName name="Osceola">#REF!</definedName>
    <definedName name="Palm_Beach">#REF!</definedName>
    <definedName name="Pasco">#REF!</definedName>
    <definedName name="Per_Student" localSheetId="7">'0100'!#REF!</definedName>
    <definedName name="Per_Student" localSheetId="6">'0571'!#REF!</definedName>
    <definedName name="Per_Student" localSheetId="8">'1461'!#REF!</definedName>
    <definedName name="Per_Student" localSheetId="9">'1571'!#REF!</definedName>
    <definedName name="Per_Student" localSheetId="10">'2521'!#REF!</definedName>
    <definedName name="Per_Student" localSheetId="11">'2531'!#REF!</definedName>
    <definedName name="Per_Student" localSheetId="12">'2791'!#REF!</definedName>
    <definedName name="Per_Student" localSheetId="13">'2801'!#REF!</definedName>
    <definedName name="Per_Student" localSheetId="14">'2911'!#REF!</definedName>
    <definedName name="Per_Student" localSheetId="15">'2941'!#REF!</definedName>
    <definedName name="Per_Student" localSheetId="16">'3083'!#REF!</definedName>
    <definedName name="Per_Student" localSheetId="17">'3345'!#REF!</definedName>
    <definedName name="Per_Student" localSheetId="18">'3362'!#REF!</definedName>
    <definedName name="Per_Student" localSheetId="19">'3381'!#REF!</definedName>
    <definedName name="Per_Student" localSheetId="20">'3382'!#REF!</definedName>
    <definedName name="Per_Student" localSheetId="21">'3391'!#REF!</definedName>
    <definedName name="Per_Student" localSheetId="22">'3394'!#REF!</definedName>
    <definedName name="Per_Student" localSheetId="23">'3395'!#REF!</definedName>
    <definedName name="Per_Student" localSheetId="24">'3396'!#REF!</definedName>
    <definedName name="Per_Student" localSheetId="25">'3398'!#REF!</definedName>
    <definedName name="Per_Student" localSheetId="26">'3400'!#REF!</definedName>
    <definedName name="Per_Student" localSheetId="27">'3401'!#REF!</definedName>
    <definedName name="Per_Student" localSheetId="28">'3413'!#REF!</definedName>
    <definedName name="Per_Student" localSheetId="29">'3421'!#REF!</definedName>
    <definedName name="Per_Student" localSheetId="30">'3431'!#REF!</definedName>
    <definedName name="Per_Student" localSheetId="31">'3441'!#REF!</definedName>
    <definedName name="Per_Student" localSheetId="32">'3924'!#REF!</definedName>
    <definedName name="Per_Student" localSheetId="33">'3941'!#REF!</definedName>
    <definedName name="Per_Student" localSheetId="34">'3961'!#REF!</definedName>
    <definedName name="Per_Student" localSheetId="35">'3971'!#REF!</definedName>
    <definedName name="Per_Student" localSheetId="36">'4001'!#REF!</definedName>
    <definedName name="Per_Student" localSheetId="37">'4002'!#REF!</definedName>
    <definedName name="Per_Student" localSheetId="38">'4012'!#REF!</definedName>
    <definedName name="Per_Student" localSheetId="39">'4013'!#REF!</definedName>
    <definedName name="Per_Student" localSheetId="40">'4020'!#REF!</definedName>
    <definedName name="Per_Student" localSheetId="41">'4030'!#REF!</definedName>
    <definedName name="Per_Student" localSheetId="42">'4031'!#REF!</definedName>
    <definedName name="Per_Student" localSheetId="43">'4041'!#REF!</definedName>
    <definedName name="Per_Student" localSheetId="44">'4050'!#REF!</definedName>
    <definedName name="Per_Student" localSheetId="45">'4051'!#REF!</definedName>
    <definedName name="Per_Student" localSheetId="46">'4061'!#REF!</definedName>
    <definedName name="Per_Student" localSheetId="47">'4080'!#REF!</definedName>
    <definedName name="Per_Student" localSheetId="48">'4081'!#REF!</definedName>
    <definedName name="Per_Student" localSheetId="49">'4090'!#REF!</definedName>
    <definedName name="Per_Student" localSheetId="50">'4091'!#REF!</definedName>
    <definedName name="Per_Student" localSheetId="51">'4100'!#REF!</definedName>
    <definedName name="Per_Student" localSheetId="52">'4102'!#REF!</definedName>
    <definedName name="Per_Student" localSheetId="53">'4103'!#REF!</definedName>
    <definedName name="Per_Student" localSheetId="54">'4111'!#REF!</definedName>
    <definedName name="Per_Student" localSheetId="55">'4131'!#REF!</definedName>
    <definedName name="Per_Student">'0040'!#REF!</definedName>
    <definedName name="Pinellas">#REF!</definedName>
    <definedName name="PK___3" localSheetId="7">'0100'!$A$90</definedName>
    <definedName name="PK___3" localSheetId="6">'0571'!$A$90</definedName>
    <definedName name="PK___3" localSheetId="8">'1461'!$A$90</definedName>
    <definedName name="PK___3" localSheetId="9">'1571'!$A$90</definedName>
    <definedName name="PK___3" localSheetId="10">'2521'!$A$90</definedName>
    <definedName name="PK___3" localSheetId="11">'2531'!$A$90</definedName>
    <definedName name="PK___3" localSheetId="12">'2791'!$A$90</definedName>
    <definedName name="PK___3" localSheetId="13">'2801'!$A$90</definedName>
    <definedName name="PK___3" localSheetId="14">'2911'!$A$90</definedName>
    <definedName name="PK___3" localSheetId="15">'2941'!$A$90</definedName>
    <definedName name="PK___3" localSheetId="16">'3083'!$A$90</definedName>
    <definedName name="PK___3" localSheetId="17">'3345'!$A$90</definedName>
    <definedName name="PK___3" localSheetId="18">'3362'!$A$90</definedName>
    <definedName name="PK___3" localSheetId="19">'3381'!$A$90</definedName>
    <definedName name="PK___3" localSheetId="20">'3382'!$A$90</definedName>
    <definedName name="PK___3" localSheetId="21">'3391'!$A$90</definedName>
    <definedName name="PK___3" localSheetId="22">'3394'!$A$90</definedName>
    <definedName name="PK___3" localSheetId="23">'3395'!$A$90</definedName>
    <definedName name="PK___3" localSheetId="24">'3396'!$A$90</definedName>
    <definedName name="PK___3" localSheetId="25">'3398'!$A$90</definedName>
    <definedName name="PK___3" localSheetId="26">'3400'!$A$90</definedName>
    <definedName name="PK___3" localSheetId="27">'3401'!$A$90</definedName>
    <definedName name="PK___3" localSheetId="28">'3413'!$A$90</definedName>
    <definedName name="PK___3" localSheetId="29">'3421'!$A$90</definedName>
    <definedName name="PK___3" localSheetId="30">'3431'!$A$90</definedName>
    <definedName name="PK___3" localSheetId="31">'3441'!$A$90</definedName>
    <definedName name="PK___3" localSheetId="32">'3924'!$A$90</definedName>
    <definedName name="PK___3" localSheetId="33">'3941'!$A$90</definedName>
    <definedName name="PK___3" localSheetId="34">'3961'!$A$90</definedName>
    <definedName name="PK___3" localSheetId="35">'3971'!$A$90</definedName>
    <definedName name="PK___3" localSheetId="36">'4001'!$A$90</definedName>
    <definedName name="PK___3" localSheetId="37">'4002'!$A$90</definedName>
    <definedName name="PK___3" localSheetId="38">'4012'!$A$90</definedName>
    <definedName name="PK___3" localSheetId="39">'4013'!$A$90</definedName>
    <definedName name="PK___3" localSheetId="40">'4020'!$A$90</definedName>
    <definedName name="PK___3" localSheetId="41">'4030'!$A$90</definedName>
    <definedName name="PK___3" localSheetId="42">'4031'!$A$90</definedName>
    <definedName name="PK___3" localSheetId="43">'4041'!$A$90</definedName>
    <definedName name="PK___3" localSheetId="44">'4050'!$A$90</definedName>
    <definedName name="PK___3" localSheetId="45">'4051'!$A$90</definedName>
    <definedName name="PK___3" localSheetId="46">'4061'!$A$90</definedName>
    <definedName name="PK___3" localSheetId="47">'4080'!$A$90</definedName>
    <definedName name="PK___3" localSheetId="48">'4081'!$A$90</definedName>
    <definedName name="PK___3" localSheetId="49">'4090'!$A$90</definedName>
    <definedName name="PK___3" localSheetId="50">'4091'!$A$90</definedName>
    <definedName name="PK___3" localSheetId="51">'4100'!$A$90</definedName>
    <definedName name="PK___3" localSheetId="52">'4102'!$A$90</definedName>
    <definedName name="PK___3" localSheetId="53">'4103'!$A$90</definedName>
    <definedName name="PK___3" localSheetId="54">'4111'!$A$90</definedName>
    <definedName name="PK___3" localSheetId="55">'4131'!$A$90</definedName>
    <definedName name="PK___3">'0040'!$A$90</definedName>
    <definedName name="Polk">#REF!</definedName>
    <definedName name="PRACTICE" localSheetId="5" hidden="1">{#N/A,#N/A,FALSE,"Summation";#N/A,#N/A,FALSE,"BSA";#N/A,#N/A,FALSE,"Detail1";#N/A,#N/A,FALSE,"Detail2";#N/A,#N/A,FALSE,"Detail3";#N/A,#N/A,FALSE,"WFTE_Summary";#N/A,#N/A,FALSE,"Funded_WFTE";#N/A,#N/A,FALSE,"PYADJ96"}</definedName>
    <definedName name="PRACTICE" localSheetId="7" hidden="1">{#N/A,#N/A,FALSE,"Summation";#N/A,#N/A,FALSE,"BSA";#N/A,#N/A,FALSE,"Detail1";#N/A,#N/A,FALSE,"Detail2";#N/A,#N/A,FALSE,"Detail3";#N/A,#N/A,FALSE,"WFTE_Summary";#N/A,#N/A,FALSE,"Funded_WFTE";#N/A,#N/A,FALSE,"PYADJ96"}</definedName>
    <definedName name="PRACTICE" localSheetId="6"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55"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5"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6"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55"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5">'0040'!$A$2:$J$146</definedName>
    <definedName name="_xlnm.Print_Area" localSheetId="7">'0100'!$A$2:$J$146</definedName>
    <definedName name="_xlnm.Print_Area" localSheetId="6">'0571'!$A$2:$J$146</definedName>
    <definedName name="_xlnm.Print_Area" localSheetId="8">'1461'!$A$2:$J$146</definedName>
    <definedName name="_xlnm.Print_Area" localSheetId="9">'1571'!$A$2:$J$146</definedName>
    <definedName name="_xlnm.Print_Area" localSheetId="10">'2521'!$A$2:$J$146</definedName>
    <definedName name="_xlnm.Print_Area" localSheetId="11">'2531'!$A$2:$J$146</definedName>
    <definedName name="_xlnm.Print_Area" localSheetId="12">'2791'!$A$2:$J$146</definedName>
    <definedName name="_xlnm.Print_Area" localSheetId="13">'2801'!$A$2:$J$146</definedName>
    <definedName name="_xlnm.Print_Area" localSheetId="14">'2911'!$A$2:$J$146</definedName>
    <definedName name="_xlnm.Print_Area" localSheetId="15">'2941'!$A$2:$J$146</definedName>
    <definedName name="_xlnm.Print_Area" localSheetId="16">'3083'!$A$2:$J$146</definedName>
    <definedName name="_xlnm.Print_Area" localSheetId="17">'3345'!$A$2:$J$146</definedName>
    <definedName name="_xlnm.Print_Area" localSheetId="18">'3362'!$A$2:$J$146</definedName>
    <definedName name="_xlnm.Print_Area" localSheetId="19">'3381'!$A$2:$J$146</definedName>
    <definedName name="_xlnm.Print_Area" localSheetId="20">'3382'!$A$2:$J$146</definedName>
    <definedName name="_xlnm.Print_Area" localSheetId="21">'3391'!$A$2:$J$146</definedName>
    <definedName name="_xlnm.Print_Area" localSheetId="22">'3394'!$A$2:$J$146</definedName>
    <definedName name="_xlnm.Print_Area" localSheetId="23">'3395'!$A$2:$J$146</definedName>
    <definedName name="_xlnm.Print_Area" localSheetId="24">'3396'!$A$2:$J$146</definedName>
    <definedName name="_xlnm.Print_Area" localSheetId="25">'3398'!$A$2:$J$146</definedName>
    <definedName name="_xlnm.Print_Area" localSheetId="26">'3400'!$A$2:$J$146</definedName>
    <definedName name="_xlnm.Print_Area" localSheetId="27">'3401'!$A$2:$J$146</definedName>
    <definedName name="_xlnm.Print_Area" localSheetId="28">'3413'!$A$2:$J$146</definedName>
    <definedName name="_xlnm.Print_Area" localSheetId="29">'3421'!$A$2:$J$146</definedName>
    <definedName name="_xlnm.Print_Area" localSheetId="30">'3431'!$A$2:$J$146</definedName>
    <definedName name="_xlnm.Print_Area" localSheetId="31">'3441'!$A$2:$J$146</definedName>
    <definedName name="_xlnm.Print_Area" localSheetId="32">'3924'!$A$2:$J$146</definedName>
    <definedName name="_xlnm.Print_Area" localSheetId="33">'3941'!$A$2:$J$146</definedName>
    <definedName name="_xlnm.Print_Area" localSheetId="34">'3961'!$A$2:$J$146</definedName>
    <definedName name="_xlnm.Print_Area" localSheetId="35">'3971'!$A$2:$J$146</definedName>
    <definedName name="_xlnm.Print_Area" localSheetId="36">'4001'!$A$2:$J$146</definedName>
    <definedName name="_xlnm.Print_Area" localSheetId="37">'4002'!$A$2:$J$146</definedName>
    <definedName name="_xlnm.Print_Area" localSheetId="38">'4012'!$A$2:$J$146</definedName>
    <definedName name="_xlnm.Print_Area" localSheetId="39">'4013'!$A$2:$J$146</definedName>
    <definedName name="_xlnm.Print_Area" localSheetId="40">'4020'!$A$2:$J$146</definedName>
    <definedName name="_xlnm.Print_Area" localSheetId="41">'4030'!$A$2:$J$146</definedName>
    <definedName name="_xlnm.Print_Area" localSheetId="42">'4031'!$A$2:$J$146</definedName>
    <definedName name="_xlnm.Print_Area" localSheetId="43">'4041'!$A$2:$J$146</definedName>
    <definedName name="_xlnm.Print_Area" localSheetId="44">'4050'!$A$2:$J$146</definedName>
    <definedName name="_xlnm.Print_Area" localSheetId="45">'4051'!$A$2:$J$146</definedName>
    <definedName name="_xlnm.Print_Area" localSheetId="46">'4061'!$A$2:$J$146</definedName>
    <definedName name="_xlnm.Print_Area" localSheetId="47">'4080'!$A$2:$J$146</definedName>
    <definedName name="_xlnm.Print_Area" localSheetId="48">'4081'!$A$2:$J$146</definedName>
    <definedName name="_xlnm.Print_Area" localSheetId="49">'4090'!$A$2:$J$146</definedName>
    <definedName name="_xlnm.Print_Area" localSheetId="50">'4091'!$A$2:$J$146</definedName>
    <definedName name="_xlnm.Print_Area" localSheetId="51">'4100'!$A$2:$J$146</definedName>
    <definedName name="_xlnm.Print_Area" localSheetId="52">'4102'!$A$2:$J$146</definedName>
    <definedName name="_xlnm.Print_Area" localSheetId="53">'4103'!$A$2:$J$146</definedName>
    <definedName name="_xlnm.Print_Area" localSheetId="54">'4111'!$A$2:$J$146</definedName>
    <definedName name="_xlnm.Print_Area" localSheetId="55">'4131'!$A$2:$J$146</definedName>
    <definedName name="_xlnm.Print_Area" localSheetId="4">Consolidated!$A$2:$I$160</definedName>
    <definedName name="_xlnm.Print_Area" localSheetId="0">'Net Payment'!$A$1:$G$532</definedName>
    <definedName name="_xlnm.Print_Titles" localSheetId="0">'Net Payment'!$1:$4</definedName>
    <definedName name="Program" localSheetId="7">'0100'!$A$10</definedName>
    <definedName name="Program" localSheetId="6">'0571'!$A$10</definedName>
    <definedName name="Program" localSheetId="8">'1461'!$A$10</definedName>
    <definedName name="Program" localSheetId="9">'1571'!$A$10</definedName>
    <definedName name="Program" localSheetId="10">'2521'!$A$10</definedName>
    <definedName name="Program" localSheetId="11">'2531'!$A$10</definedName>
    <definedName name="Program" localSheetId="12">'2791'!$A$10</definedName>
    <definedName name="Program" localSheetId="13">'2801'!$A$10</definedName>
    <definedName name="Program" localSheetId="14">'2911'!$A$10</definedName>
    <definedName name="Program" localSheetId="15">'2941'!$A$10</definedName>
    <definedName name="Program" localSheetId="16">'3083'!$A$10</definedName>
    <definedName name="Program" localSheetId="17">'3345'!$A$10</definedName>
    <definedName name="Program" localSheetId="18">'3362'!$A$10</definedName>
    <definedName name="Program" localSheetId="19">'3381'!$A$10</definedName>
    <definedName name="Program" localSheetId="20">'3382'!$A$10</definedName>
    <definedName name="Program" localSheetId="21">'3391'!$A$10</definedName>
    <definedName name="Program" localSheetId="22">'3394'!$A$10</definedName>
    <definedName name="Program" localSheetId="23">'3395'!$A$10</definedName>
    <definedName name="Program" localSheetId="24">'3396'!$A$10</definedName>
    <definedName name="Program" localSheetId="25">'3398'!$A$10</definedName>
    <definedName name="Program" localSheetId="26">'3400'!$A$10</definedName>
    <definedName name="Program" localSheetId="27">'3401'!$A$10</definedName>
    <definedName name="Program" localSheetId="28">'3413'!$A$10</definedName>
    <definedName name="Program" localSheetId="29">'3421'!$A$10</definedName>
    <definedName name="Program" localSheetId="30">'3431'!$A$10</definedName>
    <definedName name="Program" localSheetId="31">'3441'!$A$10</definedName>
    <definedName name="Program" localSheetId="32">'3924'!$A$10</definedName>
    <definedName name="Program" localSheetId="33">'3941'!$A$10</definedName>
    <definedName name="Program" localSheetId="34">'3961'!$A$10</definedName>
    <definedName name="Program" localSheetId="35">'3971'!$A$10</definedName>
    <definedName name="Program" localSheetId="36">'4001'!$A$10</definedName>
    <definedName name="Program" localSheetId="37">'4002'!$A$10</definedName>
    <definedName name="Program" localSheetId="38">'4012'!$A$10</definedName>
    <definedName name="Program" localSheetId="39">'4013'!$A$10</definedName>
    <definedName name="Program" localSheetId="40">'4020'!$A$10</definedName>
    <definedName name="Program" localSheetId="41">'4030'!$A$10</definedName>
    <definedName name="Program" localSheetId="42">'4031'!$A$10</definedName>
    <definedName name="Program" localSheetId="43">'4041'!$A$10</definedName>
    <definedName name="Program" localSheetId="44">'4050'!$A$10</definedName>
    <definedName name="Program" localSheetId="45">'4051'!$A$10</definedName>
    <definedName name="Program" localSheetId="46">'4061'!$A$10</definedName>
    <definedName name="Program" localSheetId="47">'4080'!$A$10</definedName>
    <definedName name="Program" localSheetId="48">'4081'!$A$10</definedName>
    <definedName name="Program" localSheetId="49">'4090'!$A$10</definedName>
    <definedName name="Program" localSheetId="50">'4091'!$A$10</definedName>
    <definedName name="Program" localSheetId="51">'4100'!$A$10</definedName>
    <definedName name="Program" localSheetId="52">'4102'!$A$10</definedName>
    <definedName name="Program" localSheetId="53">'4103'!$A$10</definedName>
    <definedName name="Program" localSheetId="54">'4111'!$A$10</definedName>
    <definedName name="Program" localSheetId="55">'4131'!$A$10</definedName>
    <definedName name="Program">'0040'!$A$10</definedName>
    <definedName name="Program______________________________Cost_Factor" localSheetId="7">'0100'!$G$10</definedName>
    <definedName name="Program______________________________Cost_Factor" localSheetId="6">'0571'!$G$10</definedName>
    <definedName name="Program______________________________Cost_Factor" localSheetId="8">'1461'!$G$10</definedName>
    <definedName name="Program______________________________Cost_Factor" localSheetId="9">'1571'!$G$10</definedName>
    <definedName name="Program______________________________Cost_Factor" localSheetId="10">'2521'!$G$10</definedName>
    <definedName name="Program______________________________Cost_Factor" localSheetId="11">'2531'!$G$10</definedName>
    <definedName name="Program______________________________Cost_Factor" localSheetId="12">'2791'!$G$10</definedName>
    <definedName name="Program______________________________Cost_Factor" localSheetId="13">'2801'!$G$10</definedName>
    <definedName name="Program______________________________Cost_Factor" localSheetId="14">'2911'!$G$10</definedName>
    <definedName name="Program______________________________Cost_Factor" localSheetId="15">'2941'!$G$10</definedName>
    <definedName name="Program______________________________Cost_Factor" localSheetId="16">'3083'!$G$10</definedName>
    <definedName name="Program______________________________Cost_Factor" localSheetId="17">'3345'!$G$10</definedName>
    <definedName name="Program______________________________Cost_Factor" localSheetId="18">'3362'!$G$10</definedName>
    <definedName name="Program______________________________Cost_Factor" localSheetId="19">'3381'!$G$10</definedName>
    <definedName name="Program______________________________Cost_Factor" localSheetId="20">'3382'!$G$10</definedName>
    <definedName name="Program______________________________Cost_Factor" localSheetId="21">'3391'!$G$10</definedName>
    <definedName name="Program______________________________Cost_Factor" localSheetId="22">'3394'!$G$10</definedName>
    <definedName name="Program______________________________Cost_Factor" localSheetId="23">'3395'!$G$10</definedName>
    <definedName name="Program______________________________Cost_Factor" localSheetId="24">'3396'!$G$10</definedName>
    <definedName name="Program______________________________Cost_Factor" localSheetId="25">'3398'!$G$10</definedName>
    <definedName name="Program______________________________Cost_Factor" localSheetId="26">'3400'!$G$10</definedName>
    <definedName name="Program______________________________Cost_Factor" localSheetId="27">'3401'!$G$10</definedName>
    <definedName name="Program______________________________Cost_Factor" localSheetId="28">'3413'!$G$10</definedName>
    <definedName name="Program______________________________Cost_Factor" localSheetId="29">'3421'!$G$10</definedName>
    <definedName name="Program______________________________Cost_Factor" localSheetId="30">'3431'!$G$10</definedName>
    <definedName name="Program______________________________Cost_Factor" localSheetId="31">'3441'!$G$10</definedName>
    <definedName name="Program______________________________Cost_Factor" localSheetId="32">'3924'!$G$10</definedName>
    <definedName name="Program______________________________Cost_Factor" localSheetId="33">'3941'!$G$10</definedName>
    <definedName name="Program______________________________Cost_Factor" localSheetId="34">'3961'!$G$10</definedName>
    <definedName name="Program______________________________Cost_Factor" localSheetId="35">'3971'!$G$10</definedName>
    <definedName name="Program______________________________Cost_Factor" localSheetId="36">'4001'!$G$10</definedName>
    <definedName name="Program______________________________Cost_Factor" localSheetId="37">'4002'!$G$10</definedName>
    <definedName name="Program______________________________Cost_Factor" localSheetId="38">'4012'!$G$10</definedName>
    <definedName name="Program______________________________Cost_Factor" localSheetId="39">'4013'!$G$10</definedName>
    <definedName name="Program______________________________Cost_Factor" localSheetId="40">'4020'!$G$10</definedName>
    <definedName name="Program______________________________Cost_Factor" localSheetId="41">'4030'!$G$10</definedName>
    <definedName name="Program______________________________Cost_Factor" localSheetId="42">'4031'!$G$10</definedName>
    <definedName name="Program______________________________Cost_Factor" localSheetId="43">'4041'!$G$10</definedName>
    <definedName name="Program______________________________Cost_Factor" localSheetId="44">'4050'!$G$10</definedName>
    <definedName name="Program______________________________Cost_Factor" localSheetId="45">'4051'!$G$10</definedName>
    <definedName name="Program______________________________Cost_Factor" localSheetId="46">'4061'!$G$10</definedName>
    <definedName name="Program______________________________Cost_Factor" localSheetId="47">'4080'!$G$10</definedName>
    <definedName name="Program______________________________Cost_Factor" localSheetId="48">'4081'!$G$10</definedName>
    <definedName name="Program______________________________Cost_Factor" localSheetId="49">'4090'!$G$10</definedName>
    <definedName name="Program______________________________Cost_Factor" localSheetId="50">'4091'!$G$10</definedName>
    <definedName name="Program______________________________Cost_Factor" localSheetId="51">'4100'!$G$10</definedName>
    <definedName name="Program______________________________Cost_Factor" localSheetId="52">'4102'!$G$10</definedName>
    <definedName name="Program______________________________Cost_Factor" localSheetId="53">'4103'!$G$10</definedName>
    <definedName name="Program______________________________Cost_Factor" localSheetId="54">'4111'!$G$10</definedName>
    <definedName name="Program______________________________Cost_Factor" localSheetId="55">'4131'!$G$10</definedName>
    <definedName name="Program______________________________Cost_Factor">'0040'!$G$10</definedName>
    <definedName name="Program_111__Grades_K_3">#REF!</definedName>
    <definedName name="Program_112__Grades_4_8">#REF!</definedName>
    <definedName name="Program_113__Grades_9_12">#REF!</definedName>
    <definedName name="Proratioin_to_Veto">'[1]Detail 2025-26 FEFP Second'!#REF!</definedName>
    <definedName name="Proration_to_the_Appropriation">'[1]Detail 2025-26 FEFP Second'!#REF!</definedName>
    <definedName name="Putnam">#REF!</definedName>
    <definedName name="Revenue_Estimate_Worksheet_for___________Charter_School" localSheetId="7">'0100'!$A$2</definedName>
    <definedName name="Revenue_Estimate_Worksheet_for___________Charter_School" localSheetId="6">'0571'!$A$2</definedName>
    <definedName name="Revenue_Estimate_Worksheet_for___________Charter_School" localSheetId="8">'1461'!$A$2</definedName>
    <definedName name="Revenue_Estimate_Worksheet_for___________Charter_School" localSheetId="9">'1571'!$A$2</definedName>
    <definedName name="Revenue_Estimate_Worksheet_for___________Charter_School" localSheetId="10">'2521'!$A$2</definedName>
    <definedName name="Revenue_Estimate_Worksheet_for___________Charter_School" localSheetId="11">'2531'!$A$2</definedName>
    <definedName name="Revenue_Estimate_Worksheet_for___________Charter_School" localSheetId="12">'2791'!$A$2</definedName>
    <definedName name="Revenue_Estimate_Worksheet_for___________Charter_School" localSheetId="13">'2801'!$A$2</definedName>
    <definedName name="Revenue_Estimate_Worksheet_for___________Charter_School" localSheetId="14">'2911'!$A$2</definedName>
    <definedName name="Revenue_Estimate_Worksheet_for___________Charter_School" localSheetId="15">'2941'!$A$2</definedName>
    <definedName name="Revenue_Estimate_Worksheet_for___________Charter_School" localSheetId="16">'3083'!$A$2</definedName>
    <definedName name="Revenue_Estimate_Worksheet_for___________Charter_School" localSheetId="17">'3345'!$A$2</definedName>
    <definedName name="Revenue_Estimate_Worksheet_for___________Charter_School" localSheetId="18">'3362'!$A$2</definedName>
    <definedName name="Revenue_Estimate_Worksheet_for___________Charter_School" localSheetId="19">'3381'!$A$2</definedName>
    <definedName name="Revenue_Estimate_Worksheet_for___________Charter_School" localSheetId="20">'3382'!$A$2</definedName>
    <definedName name="Revenue_Estimate_Worksheet_for___________Charter_School" localSheetId="21">'3391'!$A$2</definedName>
    <definedName name="Revenue_Estimate_Worksheet_for___________Charter_School" localSheetId="22">'3394'!$A$2</definedName>
    <definedName name="Revenue_Estimate_Worksheet_for___________Charter_School" localSheetId="23">'3395'!$A$2</definedName>
    <definedName name="Revenue_Estimate_Worksheet_for___________Charter_School" localSheetId="24">'3396'!$A$2</definedName>
    <definedName name="Revenue_Estimate_Worksheet_for___________Charter_School" localSheetId="25">'3398'!$A$2</definedName>
    <definedName name="Revenue_Estimate_Worksheet_for___________Charter_School" localSheetId="26">'3400'!$A$2</definedName>
    <definedName name="Revenue_Estimate_Worksheet_for___________Charter_School" localSheetId="27">'3401'!$A$2</definedName>
    <definedName name="Revenue_Estimate_Worksheet_for___________Charter_School" localSheetId="28">'3413'!$A$2</definedName>
    <definedName name="Revenue_Estimate_Worksheet_for___________Charter_School" localSheetId="29">'3421'!$A$2</definedName>
    <definedName name="Revenue_Estimate_Worksheet_for___________Charter_School" localSheetId="30">'3431'!$A$2</definedName>
    <definedName name="Revenue_Estimate_Worksheet_for___________Charter_School" localSheetId="31">'3441'!$A$2</definedName>
    <definedName name="Revenue_Estimate_Worksheet_for___________Charter_School" localSheetId="32">'3924'!$A$2</definedName>
    <definedName name="Revenue_Estimate_Worksheet_for___________Charter_School" localSheetId="33">'3941'!$A$2</definedName>
    <definedName name="Revenue_Estimate_Worksheet_for___________Charter_School" localSheetId="34">'3961'!$A$2</definedName>
    <definedName name="Revenue_Estimate_Worksheet_for___________Charter_School" localSheetId="35">'3971'!$A$2</definedName>
    <definedName name="Revenue_Estimate_Worksheet_for___________Charter_School" localSheetId="36">'4001'!$A$2</definedName>
    <definedName name="Revenue_Estimate_Worksheet_for___________Charter_School" localSheetId="37">'4002'!$A$2</definedName>
    <definedName name="Revenue_Estimate_Worksheet_for___________Charter_School" localSheetId="38">'4012'!$A$2</definedName>
    <definedName name="Revenue_Estimate_Worksheet_for___________Charter_School" localSheetId="39">'4013'!$A$2</definedName>
    <definedName name="Revenue_Estimate_Worksheet_for___________Charter_School" localSheetId="40">'4020'!$A$2</definedName>
    <definedName name="Revenue_Estimate_Worksheet_for___________Charter_School" localSheetId="41">'4030'!$A$2</definedName>
    <definedName name="Revenue_Estimate_Worksheet_for___________Charter_School" localSheetId="42">'4031'!$A$2</definedName>
    <definedName name="Revenue_Estimate_Worksheet_for___________Charter_School" localSheetId="43">'4041'!$A$2</definedName>
    <definedName name="Revenue_Estimate_Worksheet_for___________Charter_School" localSheetId="44">'4050'!$A$2</definedName>
    <definedName name="Revenue_Estimate_Worksheet_for___________Charter_School" localSheetId="45">'4051'!$A$2</definedName>
    <definedName name="Revenue_Estimate_Worksheet_for___________Charter_School" localSheetId="46">'4061'!$A$2</definedName>
    <definedName name="Revenue_Estimate_Worksheet_for___________Charter_School" localSheetId="47">'4080'!$A$2</definedName>
    <definedName name="Revenue_Estimate_Worksheet_for___________Charter_School" localSheetId="48">'4081'!$A$2</definedName>
    <definedName name="Revenue_Estimate_Worksheet_for___________Charter_School" localSheetId="49">'4090'!$A$2</definedName>
    <definedName name="Revenue_Estimate_Worksheet_for___________Charter_School" localSheetId="50">'4091'!$A$2</definedName>
    <definedName name="Revenue_Estimate_Worksheet_for___________Charter_School" localSheetId="51">'4100'!$A$2</definedName>
    <definedName name="Revenue_Estimate_Worksheet_for___________Charter_School" localSheetId="52">'4102'!$A$2</definedName>
    <definedName name="Revenue_Estimate_Worksheet_for___________Charter_School" localSheetId="53">'4103'!$A$2</definedName>
    <definedName name="Revenue_Estimate_Worksheet_for___________Charter_School" localSheetId="54">'4111'!$A$2</definedName>
    <definedName name="Revenue_Estimate_Worksheet_for___________Charter_School" localSheetId="55">'4131'!$A$2</definedName>
    <definedName name="Revenue_Estimate_Worksheet_for___________Charter_School">'0040'!$A$2</definedName>
    <definedName name="Santa_Rosa">#REF!</definedName>
    <definedName name="Sarasota">#REF!</definedName>
    <definedName name="School_District" localSheetId="7">'0100'!$A$4</definedName>
    <definedName name="School_District" localSheetId="6">'0571'!$A$4</definedName>
    <definedName name="School_District" localSheetId="8">'1461'!$A$4</definedName>
    <definedName name="School_District" localSheetId="9">'1571'!$A$4</definedName>
    <definedName name="School_District" localSheetId="10">'2521'!$A$4</definedName>
    <definedName name="School_District" localSheetId="11">'2531'!$A$4</definedName>
    <definedName name="School_District" localSheetId="12">'2791'!$A$4</definedName>
    <definedName name="School_District" localSheetId="13">'2801'!$A$4</definedName>
    <definedName name="School_District" localSheetId="14">'2911'!$A$4</definedName>
    <definedName name="School_District" localSheetId="15">'2941'!$A$4</definedName>
    <definedName name="School_District" localSheetId="16">'3083'!$A$4</definedName>
    <definedName name="School_District" localSheetId="17">'3345'!$A$4</definedName>
    <definedName name="School_District" localSheetId="18">'3362'!$A$4</definedName>
    <definedName name="School_District" localSheetId="19">'3381'!$A$4</definedName>
    <definedName name="School_District" localSheetId="20">'3382'!$A$4</definedName>
    <definedName name="School_District" localSheetId="21">'3391'!$A$4</definedName>
    <definedName name="School_District" localSheetId="22">'3394'!$A$4</definedName>
    <definedName name="School_District" localSheetId="23">'3395'!$A$4</definedName>
    <definedName name="School_District" localSheetId="24">'3396'!$A$4</definedName>
    <definedName name="School_District" localSheetId="25">'3398'!$A$4</definedName>
    <definedName name="School_District" localSheetId="26">'3400'!$A$4</definedName>
    <definedName name="School_District" localSheetId="27">'3401'!$A$4</definedName>
    <definedName name="School_District" localSheetId="28">'3413'!$A$4</definedName>
    <definedName name="School_District" localSheetId="29">'3421'!$A$4</definedName>
    <definedName name="School_District" localSheetId="30">'3431'!$A$4</definedName>
    <definedName name="School_District" localSheetId="31">'3441'!$A$4</definedName>
    <definedName name="School_District" localSheetId="32">'3924'!$A$4</definedName>
    <definedName name="School_District" localSheetId="33">'3941'!$A$4</definedName>
    <definedName name="School_District" localSheetId="34">'3961'!$A$4</definedName>
    <definedName name="School_District" localSheetId="35">'3971'!$A$4</definedName>
    <definedName name="School_District" localSheetId="36">'4001'!$A$4</definedName>
    <definedName name="School_District" localSheetId="37">'4002'!$A$4</definedName>
    <definedName name="School_District" localSheetId="38">'4012'!$A$4</definedName>
    <definedName name="School_District" localSheetId="39">'4013'!$A$4</definedName>
    <definedName name="School_District" localSheetId="40">'4020'!$A$4</definedName>
    <definedName name="School_District" localSheetId="41">'4030'!$A$4</definedName>
    <definedName name="School_District" localSheetId="42">'4031'!$A$4</definedName>
    <definedName name="School_District" localSheetId="43">'4041'!$A$4</definedName>
    <definedName name="School_District" localSheetId="44">'4050'!$A$4</definedName>
    <definedName name="School_District" localSheetId="45">'4051'!$A$4</definedName>
    <definedName name="School_District" localSheetId="46">'4061'!$A$4</definedName>
    <definedName name="School_District" localSheetId="47">'4080'!$A$4</definedName>
    <definedName name="School_District" localSheetId="48">'4081'!$A$4</definedName>
    <definedName name="School_District" localSheetId="49">'4090'!$A$4</definedName>
    <definedName name="School_District" localSheetId="50">'4091'!$A$4</definedName>
    <definedName name="School_District" localSheetId="51">'4100'!$A$4</definedName>
    <definedName name="School_District" localSheetId="52">'4102'!$A$4</definedName>
    <definedName name="School_District" localSheetId="53">'4103'!$A$4</definedName>
    <definedName name="School_District" localSheetId="54">'4111'!$A$4</definedName>
    <definedName name="School_District" localSheetId="55">'4131'!$A$4</definedName>
    <definedName name="School_District">'0040'!$A$4</definedName>
    <definedName name="Science_Lab_Materials_Allocation">'[1]Detail 2025-26 FEFP Second'!#REF!</definedName>
    <definedName name="Seminole">#REF!</definedName>
    <definedName name="Sparsity_Supplement">'[1]Detail 2025-26 FEFP Second'!#REF!</definedName>
    <definedName name="St._Johns">#REF!</definedName>
    <definedName name="St._Lucie">#REF!</definedName>
    <definedName name="Sumter">#REF!</definedName>
    <definedName name="Supplemental_Academic_Instruction">'[1]Detail 2025-26 FEFP Second'!#REF!</definedName>
    <definedName name="Suwannee">#REF!</definedName>
    <definedName name="Taylor">#REF!</definedName>
    <definedName name="Total" localSheetId="7">'0100'!$A$93</definedName>
    <definedName name="Total" localSheetId="6">'0571'!$A$93</definedName>
    <definedName name="Total" localSheetId="8">'1461'!$A$93</definedName>
    <definedName name="Total" localSheetId="9">'1571'!$A$93</definedName>
    <definedName name="Total" localSheetId="10">'2521'!$A$93</definedName>
    <definedName name="Total" localSheetId="11">'2531'!$A$93</definedName>
    <definedName name="Total" localSheetId="12">'2791'!$A$93</definedName>
    <definedName name="Total" localSheetId="13">'2801'!$A$93</definedName>
    <definedName name="Total" localSheetId="14">'2911'!$A$93</definedName>
    <definedName name="Total" localSheetId="15">'2941'!$A$93</definedName>
    <definedName name="Total" localSheetId="16">'3083'!$A$93</definedName>
    <definedName name="Total" localSheetId="17">'3345'!$A$93</definedName>
    <definedName name="Total" localSheetId="18">'3362'!$A$93</definedName>
    <definedName name="Total" localSheetId="19">'3381'!$A$93</definedName>
    <definedName name="Total" localSheetId="20">'3382'!$A$93</definedName>
    <definedName name="Total" localSheetId="21">'3391'!$A$93</definedName>
    <definedName name="Total" localSheetId="22">'3394'!$A$93</definedName>
    <definedName name="Total" localSheetId="23">'3395'!$A$93</definedName>
    <definedName name="Total" localSheetId="24">'3396'!$A$93</definedName>
    <definedName name="Total" localSheetId="25">'3398'!$A$93</definedName>
    <definedName name="Total" localSheetId="26">'3400'!$A$93</definedName>
    <definedName name="Total" localSheetId="27">'3401'!$A$93</definedName>
    <definedName name="Total" localSheetId="28">'3413'!$A$93</definedName>
    <definedName name="Total" localSheetId="29">'3421'!$A$93</definedName>
    <definedName name="Total" localSheetId="30">'3431'!$A$93</definedName>
    <definedName name="Total" localSheetId="31">'3441'!$A$93</definedName>
    <definedName name="Total" localSheetId="32">'3924'!$A$93</definedName>
    <definedName name="Total" localSheetId="33">'3941'!$A$93</definedName>
    <definedName name="Total" localSheetId="34">'3961'!$A$93</definedName>
    <definedName name="Total" localSheetId="35">'3971'!$A$93</definedName>
    <definedName name="Total" localSheetId="36">'4001'!$A$93</definedName>
    <definedName name="Total" localSheetId="37">'4002'!$A$93</definedName>
    <definedName name="Total" localSheetId="38">'4012'!$A$93</definedName>
    <definedName name="Total" localSheetId="39">'4013'!$A$93</definedName>
    <definedName name="Total" localSheetId="40">'4020'!$A$93</definedName>
    <definedName name="Total" localSheetId="41">'4030'!$A$93</definedName>
    <definedName name="Total" localSheetId="42">'4031'!$A$93</definedName>
    <definedName name="Total" localSheetId="43">'4041'!$A$93</definedName>
    <definedName name="Total" localSheetId="44">'4050'!$A$93</definedName>
    <definedName name="Total" localSheetId="45">'4051'!$A$93</definedName>
    <definedName name="Total" localSheetId="46">'4061'!$A$93</definedName>
    <definedName name="Total" localSheetId="47">'4080'!$A$93</definedName>
    <definedName name="Total" localSheetId="48">'4081'!$A$93</definedName>
    <definedName name="Total" localSheetId="49">'4090'!$A$93</definedName>
    <definedName name="Total" localSheetId="50">'4091'!$A$93</definedName>
    <definedName name="Total" localSheetId="51">'4100'!$A$93</definedName>
    <definedName name="Total" localSheetId="52">'4102'!$A$93</definedName>
    <definedName name="Total" localSheetId="53">'4103'!$A$93</definedName>
    <definedName name="Total" localSheetId="54">'4111'!$A$93</definedName>
    <definedName name="Total" localSheetId="55">'4131'!$A$93</definedName>
    <definedName name="Total">'0040'!$A$93</definedName>
    <definedName name="Total_Class_Size_Reduction_Funds" localSheetId="7">'0100'!$E$93</definedName>
    <definedName name="Total_Class_Size_Reduction_Funds" localSheetId="6">'0571'!$E$93</definedName>
    <definedName name="Total_Class_Size_Reduction_Funds" localSheetId="8">'1461'!$E$93</definedName>
    <definedName name="Total_Class_Size_Reduction_Funds" localSheetId="9">'1571'!$E$93</definedName>
    <definedName name="Total_Class_Size_Reduction_Funds" localSheetId="10">'2521'!$E$93</definedName>
    <definedName name="Total_Class_Size_Reduction_Funds" localSheetId="11">'2531'!$E$93</definedName>
    <definedName name="Total_Class_Size_Reduction_Funds" localSheetId="12">'2791'!$E$93</definedName>
    <definedName name="Total_Class_Size_Reduction_Funds" localSheetId="13">'2801'!$E$93</definedName>
    <definedName name="Total_Class_Size_Reduction_Funds" localSheetId="14">'2911'!$E$93</definedName>
    <definedName name="Total_Class_Size_Reduction_Funds" localSheetId="15">'2941'!$E$93</definedName>
    <definedName name="Total_Class_Size_Reduction_Funds" localSheetId="16">'3083'!$E$93</definedName>
    <definedName name="Total_Class_Size_Reduction_Funds" localSheetId="17">'3345'!$E$93</definedName>
    <definedName name="Total_Class_Size_Reduction_Funds" localSheetId="18">'3362'!$E$93</definedName>
    <definedName name="Total_Class_Size_Reduction_Funds" localSheetId="19">'3381'!$E$93</definedName>
    <definedName name="Total_Class_Size_Reduction_Funds" localSheetId="20">'3382'!$E$93</definedName>
    <definedName name="Total_Class_Size_Reduction_Funds" localSheetId="21">'3391'!$E$93</definedName>
    <definedName name="Total_Class_Size_Reduction_Funds" localSheetId="22">'3394'!$E$93</definedName>
    <definedName name="Total_Class_Size_Reduction_Funds" localSheetId="23">'3395'!$E$93</definedName>
    <definedName name="Total_Class_Size_Reduction_Funds" localSheetId="24">'3396'!$E$93</definedName>
    <definedName name="Total_Class_Size_Reduction_Funds" localSheetId="25">'3398'!$E$93</definedName>
    <definedName name="Total_Class_Size_Reduction_Funds" localSheetId="26">'3400'!$E$93</definedName>
    <definedName name="Total_Class_Size_Reduction_Funds" localSheetId="27">'3401'!$E$93</definedName>
    <definedName name="Total_Class_Size_Reduction_Funds" localSheetId="28">'3413'!$E$93</definedName>
    <definedName name="Total_Class_Size_Reduction_Funds" localSheetId="29">'3421'!$E$93</definedName>
    <definedName name="Total_Class_Size_Reduction_Funds" localSheetId="30">'3431'!$E$93</definedName>
    <definedName name="Total_Class_Size_Reduction_Funds" localSheetId="31">'3441'!$E$93</definedName>
    <definedName name="Total_Class_Size_Reduction_Funds" localSheetId="32">'3924'!$E$93</definedName>
    <definedName name="Total_Class_Size_Reduction_Funds" localSheetId="33">'3941'!$E$93</definedName>
    <definedName name="Total_Class_Size_Reduction_Funds" localSheetId="34">'3961'!$E$93</definedName>
    <definedName name="Total_Class_Size_Reduction_Funds" localSheetId="35">'3971'!$E$93</definedName>
    <definedName name="Total_Class_Size_Reduction_Funds" localSheetId="36">'4001'!$E$93</definedName>
    <definedName name="Total_Class_Size_Reduction_Funds" localSheetId="37">'4002'!$E$93</definedName>
    <definedName name="Total_Class_Size_Reduction_Funds" localSheetId="38">'4012'!$E$93</definedName>
    <definedName name="Total_Class_Size_Reduction_Funds" localSheetId="39">'4013'!$E$93</definedName>
    <definedName name="Total_Class_Size_Reduction_Funds" localSheetId="40">'4020'!$E$93</definedName>
    <definedName name="Total_Class_Size_Reduction_Funds" localSheetId="41">'4030'!$E$93</definedName>
    <definedName name="Total_Class_Size_Reduction_Funds" localSheetId="42">'4031'!$E$93</definedName>
    <definedName name="Total_Class_Size_Reduction_Funds" localSheetId="43">'4041'!$E$93</definedName>
    <definedName name="Total_Class_Size_Reduction_Funds" localSheetId="44">'4050'!$E$93</definedName>
    <definedName name="Total_Class_Size_Reduction_Funds" localSheetId="45">'4051'!$E$93</definedName>
    <definedName name="Total_Class_Size_Reduction_Funds" localSheetId="46">'4061'!$E$93</definedName>
    <definedName name="Total_Class_Size_Reduction_Funds" localSheetId="47">'4080'!$E$93</definedName>
    <definedName name="Total_Class_Size_Reduction_Funds" localSheetId="48">'4081'!$E$93</definedName>
    <definedName name="Total_Class_Size_Reduction_Funds" localSheetId="49">'4090'!$E$93</definedName>
    <definedName name="Total_Class_Size_Reduction_Funds" localSheetId="50">'4091'!$E$93</definedName>
    <definedName name="Total_Class_Size_Reduction_Funds" localSheetId="51">'4100'!$E$93</definedName>
    <definedName name="Total_Class_Size_Reduction_Funds" localSheetId="52">'4102'!$E$93</definedName>
    <definedName name="Total_Class_Size_Reduction_Funds" localSheetId="53">'4103'!$E$93</definedName>
    <definedName name="Total_Class_Size_Reduction_Funds" localSheetId="54">'4111'!$E$93</definedName>
    <definedName name="Total_Class_Size_Reduction_Funds" localSheetId="55">'4131'!$E$93</definedName>
    <definedName name="Total_Class_Size_Reduction_Funds">'0040'!$E$93</definedName>
    <definedName name="Total_from_ESE_Guarantee" localSheetId="7">'0100'!#REF!</definedName>
    <definedName name="Total_from_ESE_Guarantee" localSheetId="6">'0571'!#REF!</definedName>
    <definedName name="Total_from_ESE_Guarantee" localSheetId="8">'1461'!#REF!</definedName>
    <definedName name="Total_from_ESE_Guarantee" localSheetId="9">'1571'!#REF!</definedName>
    <definedName name="Total_from_ESE_Guarantee" localSheetId="10">'2521'!#REF!</definedName>
    <definedName name="Total_from_ESE_Guarantee" localSheetId="11">'2531'!#REF!</definedName>
    <definedName name="Total_from_ESE_Guarantee" localSheetId="12">'2791'!#REF!</definedName>
    <definedName name="Total_from_ESE_Guarantee" localSheetId="13">'2801'!#REF!</definedName>
    <definedName name="Total_from_ESE_Guarantee" localSheetId="14">'2911'!#REF!</definedName>
    <definedName name="Total_from_ESE_Guarantee" localSheetId="15">'2941'!#REF!</definedName>
    <definedName name="Total_from_ESE_Guarantee" localSheetId="16">'3083'!#REF!</definedName>
    <definedName name="Total_from_ESE_Guarantee" localSheetId="17">'3345'!#REF!</definedName>
    <definedName name="Total_from_ESE_Guarantee" localSheetId="18">'3362'!#REF!</definedName>
    <definedName name="Total_from_ESE_Guarantee" localSheetId="19">'3381'!#REF!</definedName>
    <definedName name="Total_from_ESE_Guarantee" localSheetId="20">'3382'!#REF!</definedName>
    <definedName name="Total_from_ESE_Guarantee" localSheetId="21">'3391'!#REF!</definedName>
    <definedName name="Total_from_ESE_Guarantee" localSheetId="22">'3394'!#REF!</definedName>
    <definedName name="Total_from_ESE_Guarantee" localSheetId="23">'3395'!#REF!</definedName>
    <definedName name="Total_from_ESE_Guarantee" localSheetId="24">'3396'!#REF!</definedName>
    <definedName name="Total_from_ESE_Guarantee" localSheetId="25">'3398'!#REF!</definedName>
    <definedName name="Total_from_ESE_Guarantee" localSheetId="26">'3400'!#REF!</definedName>
    <definedName name="Total_from_ESE_Guarantee" localSheetId="27">'3401'!#REF!</definedName>
    <definedName name="Total_from_ESE_Guarantee" localSheetId="28">'3413'!#REF!</definedName>
    <definedName name="Total_from_ESE_Guarantee" localSheetId="29">'3421'!#REF!</definedName>
    <definedName name="Total_from_ESE_Guarantee" localSheetId="30">'3431'!#REF!</definedName>
    <definedName name="Total_from_ESE_Guarantee" localSheetId="31">'3441'!#REF!</definedName>
    <definedName name="Total_from_ESE_Guarantee" localSheetId="32">'3924'!#REF!</definedName>
    <definedName name="Total_from_ESE_Guarantee" localSheetId="33">'3941'!#REF!</definedName>
    <definedName name="Total_from_ESE_Guarantee" localSheetId="34">'3961'!#REF!</definedName>
    <definedName name="Total_from_ESE_Guarantee" localSheetId="35">'3971'!#REF!</definedName>
    <definedName name="Total_from_ESE_Guarantee" localSheetId="36">'4001'!#REF!</definedName>
    <definedName name="Total_from_ESE_Guarantee" localSheetId="37">'4002'!#REF!</definedName>
    <definedName name="Total_from_ESE_Guarantee" localSheetId="38">'4012'!#REF!</definedName>
    <definedName name="Total_from_ESE_Guarantee" localSheetId="39">'4013'!#REF!</definedName>
    <definedName name="Total_from_ESE_Guarantee" localSheetId="40">'4020'!#REF!</definedName>
    <definedName name="Total_from_ESE_Guarantee" localSheetId="41">'4030'!#REF!</definedName>
    <definedName name="Total_from_ESE_Guarantee" localSheetId="42">'4031'!#REF!</definedName>
    <definedName name="Total_from_ESE_Guarantee" localSheetId="43">'4041'!#REF!</definedName>
    <definedName name="Total_from_ESE_Guarantee" localSheetId="44">'4050'!#REF!</definedName>
    <definedName name="Total_from_ESE_Guarantee" localSheetId="45">'4051'!#REF!</definedName>
    <definedName name="Total_from_ESE_Guarantee" localSheetId="46">'4061'!#REF!</definedName>
    <definedName name="Total_from_ESE_Guarantee" localSheetId="47">'4080'!#REF!</definedName>
    <definedName name="Total_from_ESE_Guarantee" localSheetId="48">'4081'!#REF!</definedName>
    <definedName name="Total_from_ESE_Guarantee" localSheetId="49">'4090'!#REF!</definedName>
    <definedName name="Total_from_ESE_Guarantee" localSheetId="50">'4091'!#REF!</definedName>
    <definedName name="Total_from_ESE_Guarantee" localSheetId="51">'4100'!#REF!</definedName>
    <definedName name="Total_from_ESE_Guarantee" localSheetId="52">'4102'!#REF!</definedName>
    <definedName name="Total_from_ESE_Guarantee" localSheetId="53">'4103'!#REF!</definedName>
    <definedName name="Total_from_ESE_Guarantee" localSheetId="54">'4111'!#REF!</definedName>
    <definedName name="Total_from_ESE_Guarantee" localSheetId="55">'4131'!#REF!</definedName>
    <definedName name="Total_from_ESE_Guarantee">'0040'!#REF!</definedName>
    <definedName name="Total_FTE_with_ESE_Services" localSheetId="7">'0100'!#REF!</definedName>
    <definedName name="Total_FTE_with_ESE_Services" localSheetId="6">'0571'!#REF!</definedName>
    <definedName name="Total_FTE_with_ESE_Services" localSheetId="8">'1461'!#REF!</definedName>
    <definedName name="Total_FTE_with_ESE_Services" localSheetId="9">'1571'!#REF!</definedName>
    <definedName name="Total_FTE_with_ESE_Services" localSheetId="10">'2521'!#REF!</definedName>
    <definedName name="Total_FTE_with_ESE_Services" localSheetId="11">'2531'!#REF!</definedName>
    <definedName name="Total_FTE_with_ESE_Services" localSheetId="12">'2791'!#REF!</definedName>
    <definedName name="Total_FTE_with_ESE_Services" localSheetId="13">'2801'!#REF!</definedName>
    <definedName name="Total_FTE_with_ESE_Services" localSheetId="14">'2911'!#REF!</definedName>
    <definedName name="Total_FTE_with_ESE_Services" localSheetId="15">'2941'!#REF!</definedName>
    <definedName name="Total_FTE_with_ESE_Services" localSheetId="16">'3083'!#REF!</definedName>
    <definedName name="Total_FTE_with_ESE_Services" localSheetId="17">'3345'!#REF!</definedName>
    <definedName name="Total_FTE_with_ESE_Services" localSheetId="18">'3362'!#REF!</definedName>
    <definedName name="Total_FTE_with_ESE_Services" localSheetId="19">'3381'!#REF!</definedName>
    <definedName name="Total_FTE_with_ESE_Services" localSheetId="20">'3382'!#REF!</definedName>
    <definedName name="Total_FTE_with_ESE_Services" localSheetId="21">'3391'!#REF!</definedName>
    <definedName name="Total_FTE_with_ESE_Services" localSheetId="22">'3394'!#REF!</definedName>
    <definedName name="Total_FTE_with_ESE_Services" localSheetId="23">'3395'!#REF!</definedName>
    <definedName name="Total_FTE_with_ESE_Services" localSheetId="24">'3396'!#REF!</definedName>
    <definedName name="Total_FTE_with_ESE_Services" localSheetId="25">'3398'!#REF!</definedName>
    <definedName name="Total_FTE_with_ESE_Services" localSheetId="26">'3400'!#REF!</definedName>
    <definedName name="Total_FTE_with_ESE_Services" localSheetId="27">'3401'!#REF!</definedName>
    <definedName name="Total_FTE_with_ESE_Services" localSheetId="28">'3413'!#REF!</definedName>
    <definedName name="Total_FTE_with_ESE_Services" localSheetId="29">'3421'!#REF!</definedName>
    <definedName name="Total_FTE_with_ESE_Services" localSheetId="30">'3431'!#REF!</definedName>
    <definedName name="Total_FTE_with_ESE_Services" localSheetId="31">'3441'!#REF!</definedName>
    <definedName name="Total_FTE_with_ESE_Services" localSheetId="32">'3924'!#REF!</definedName>
    <definedName name="Total_FTE_with_ESE_Services" localSheetId="33">'3941'!#REF!</definedName>
    <definedName name="Total_FTE_with_ESE_Services" localSheetId="34">'3961'!#REF!</definedName>
    <definedName name="Total_FTE_with_ESE_Services" localSheetId="35">'3971'!#REF!</definedName>
    <definedName name="Total_FTE_with_ESE_Services" localSheetId="36">'4001'!#REF!</definedName>
    <definedName name="Total_FTE_with_ESE_Services" localSheetId="37">'4002'!#REF!</definedName>
    <definedName name="Total_FTE_with_ESE_Services" localSheetId="38">'4012'!#REF!</definedName>
    <definedName name="Total_FTE_with_ESE_Services" localSheetId="39">'4013'!#REF!</definedName>
    <definedName name="Total_FTE_with_ESE_Services" localSheetId="40">'4020'!#REF!</definedName>
    <definedName name="Total_FTE_with_ESE_Services" localSheetId="41">'4030'!#REF!</definedName>
    <definedName name="Total_FTE_with_ESE_Services" localSheetId="42">'4031'!#REF!</definedName>
    <definedName name="Total_FTE_with_ESE_Services" localSheetId="43">'4041'!#REF!</definedName>
    <definedName name="Total_FTE_with_ESE_Services" localSheetId="44">'4050'!#REF!</definedName>
    <definedName name="Total_FTE_with_ESE_Services" localSheetId="45">'4051'!#REF!</definedName>
    <definedName name="Total_FTE_with_ESE_Services" localSheetId="46">'4061'!#REF!</definedName>
    <definedName name="Total_FTE_with_ESE_Services" localSheetId="47">'4080'!#REF!</definedName>
    <definedName name="Total_FTE_with_ESE_Services" localSheetId="48">'4081'!#REF!</definedName>
    <definedName name="Total_FTE_with_ESE_Services" localSheetId="49">'4090'!#REF!</definedName>
    <definedName name="Total_FTE_with_ESE_Services" localSheetId="50">'4091'!#REF!</definedName>
    <definedName name="Total_FTE_with_ESE_Services" localSheetId="51">'4100'!#REF!</definedName>
    <definedName name="Total_FTE_with_ESE_Services" localSheetId="52">'4102'!#REF!</definedName>
    <definedName name="Total_FTE_with_ESE_Services" localSheetId="53">'4103'!#REF!</definedName>
    <definedName name="Total_FTE_with_ESE_Services" localSheetId="54">'4111'!#REF!</definedName>
    <definedName name="Total_FTE_with_ESE_Services" localSheetId="55">'4131'!#REF!</definedName>
    <definedName name="Total_FTE_with_ESE_Services">'0040'!#REF!</definedName>
    <definedName name="Total_Instructional_Materials_Allocation">'[1]Detail 2025-26 FEFP Second'!#REF!</definedName>
    <definedName name="Totals" localSheetId="7">'0100'!$A$28</definedName>
    <definedName name="Totals" localSheetId="6">'0571'!$A$28</definedName>
    <definedName name="Totals" localSheetId="8">'1461'!$A$28</definedName>
    <definedName name="Totals" localSheetId="9">'1571'!$A$28</definedName>
    <definedName name="Totals" localSheetId="10">'2521'!$A$28</definedName>
    <definedName name="Totals" localSheetId="11">'2531'!$A$28</definedName>
    <definedName name="Totals" localSheetId="12">'2791'!$A$28</definedName>
    <definedName name="Totals" localSheetId="13">'2801'!$A$28</definedName>
    <definedName name="Totals" localSheetId="14">'2911'!$A$28</definedName>
    <definedName name="Totals" localSheetId="15">'2941'!$A$28</definedName>
    <definedName name="Totals" localSheetId="16">'3083'!$A$28</definedName>
    <definedName name="Totals" localSheetId="17">'3345'!$A$28</definedName>
    <definedName name="Totals" localSheetId="18">'3362'!$A$28</definedName>
    <definedName name="Totals" localSheetId="19">'3381'!$A$28</definedName>
    <definedName name="Totals" localSheetId="20">'3382'!$A$28</definedName>
    <definedName name="Totals" localSheetId="21">'3391'!$A$28</definedName>
    <definedName name="Totals" localSheetId="22">'3394'!$A$28</definedName>
    <definedName name="Totals" localSheetId="23">'3395'!$A$28</definedName>
    <definedName name="Totals" localSheetId="24">'3396'!$A$28</definedName>
    <definedName name="Totals" localSheetId="25">'3398'!$A$28</definedName>
    <definedName name="Totals" localSheetId="26">'3400'!$A$28</definedName>
    <definedName name="Totals" localSheetId="27">'3401'!$A$28</definedName>
    <definedName name="Totals" localSheetId="28">'3413'!$A$28</definedName>
    <definedName name="Totals" localSheetId="29">'3421'!$A$28</definedName>
    <definedName name="Totals" localSheetId="30">'3431'!$A$28</definedName>
    <definedName name="Totals" localSheetId="31">'3441'!$A$28</definedName>
    <definedName name="Totals" localSheetId="32">'3924'!$A$28</definedName>
    <definedName name="Totals" localSheetId="33">'3941'!$A$28</definedName>
    <definedName name="Totals" localSheetId="34">'3961'!$A$28</definedName>
    <definedName name="Totals" localSheetId="35">'3971'!$A$28</definedName>
    <definedName name="Totals" localSheetId="36">'4001'!$A$28</definedName>
    <definedName name="Totals" localSheetId="37">'4002'!$A$28</definedName>
    <definedName name="Totals" localSheetId="38">'4012'!$A$28</definedName>
    <definedName name="Totals" localSheetId="39">'4013'!$A$28</definedName>
    <definedName name="Totals" localSheetId="40">'4020'!$A$28</definedName>
    <definedName name="Totals" localSheetId="41">'4030'!$A$28</definedName>
    <definedName name="Totals" localSheetId="42">'4031'!$A$28</definedName>
    <definedName name="Totals" localSheetId="43">'4041'!$A$28</definedName>
    <definedName name="Totals" localSheetId="44">'4050'!$A$28</definedName>
    <definedName name="Totals" localSheetId="45">'4051'!$A$28</definedName>
    <definedName name="Totals" localSheetId="46">'4061'!$A$28</definedName>
    <definedName name="Totals" localSheetId="47">'4080'!$A$28</definedName>
    <definedName name="Totals" localSheetId="48">'4081'!$A$28</definedName>
    <definedName name="Totals" localSheetId="49">'4090'!$A$28</definedName>
    <definedName name="Totals" localSheetId="50">'4091'!$A$28</definedName>
    <definedName name="Totals" localSheetId="51">'4100'!$A$28</definedName>
    <definedName name="Totals" localSheetId="52">'4102'!$A$28</definedName>
    <definedName name="Totals" localSheetId="53">'4103'!$A$28</definedName>
    <definedName name="Totals" localSheetId="54">'4111'!$A$28</definedName>
    <definedName name="Totals" localSheetId="55">'4131'!$A$28</definedName>
    <definedName name="Totals">'0040'!$A$28</definedName>
    <definedName name="UF_Lab_School">#REF!</definedName>
    <definedName name="Union">#REF!</definedName>
    <definedName name="Volusia">#REF!</definedName>
    <definedName name="Wakulla">#REF!</definedName>
    <definedName name="Walton">#REF!</definedName>
    <definedName name="Washington">#REF!</definedName>
    <definedName name="Washington_Special">#REF!</definedName>
    <definedName name="Weighted_FTE____________b__x__c" localSheetId="7">'0100'!$I$10</definedName>
    <definedName name="Weighted_FTE____________b__x__c" localSheetId="6">'0571'!$I$10</definedName>
    <definedName name="Weighted_FTE____________b__x__c" localSheetId="8">'1461'!$I$10</definedName>
    <definedName name="Weighted_FTE____________b__x__c" localSheetId="9">'1571'!$I$10</definedName>
    <definedName name="Weighted_FTE____________b__x__c" localSheetId="10">'2521'!$I$10</definedName>
    <definedName name="Weighted_FTE____________b__x__c" localSheetId="11">'2531'!$I$10</definedName>
    <definedName name="Weighted_FTE____________b__x__c" localSheetId="12">'2791'!$I$10</definedName>
    <definedName name="Weighted_FTE____________b__x__c" localSheetId="13">'2801'!$I$10</definedName>
    <definedName name="Weighted_FTE____________b__x__c" localSheetId="14">'2911'!$I$10</definedName>
    <definedName name="Weighted_FTE____________b__x__c" localSheetId="15">'2941'!$I$10</definedName>
    <definedName name="Weighted_FTE____________b__x__c" localSheetId="16">'3083'!$I$10</definedName>
    <definedName name="Weighted_FTE____________b__x__c" localSheetId="17">'3345'!$I$10</definedName>
    <definedName name="Weighted_FTE____________b__x__c" localSheetId="18">'3362'!$I$10</definedName>
    <definedName name="Weighted_FTE____________b__x__c" localSheetId="19">'3381'!$I$10</definedName>
    <definedName name="Weighted_FTE____________b__x__c" localSheetId="20">'3382'!$I$10</definedName>
    <definedName name="Weighted_FTE____________b__x__c" localSheetId="21">'3391'!$I$10</definedName>
    <definedName name="Weighted_FTE____________b__x__c" localSheetId="22">'3394'!$I$10</definedName>
    <definedName name="Weighted_FTE____________b__x__c" localSheetId="23">'3395'!$I$10</definedName>
    <definedName name="Weighted_FTE____________b__x__c" localSheetId="24">'3396'!$I$10</definedName>
    <definedName name="Weighted_FTE____________b__x__c" localSheetId="25">'3398'!$I$10</definedName>
    <definedName name="Weighted_FTE____________b__x__c" localSheetId="26">'3400'!$I$10</definedName>
    <definedName name="Weighted_FTE____________b__x__c" localSheetId="27">'3401'!$I$10</definedName>
    <definedName name="Weighted_FTE____________b__x__c" localSheetId="28">'3413'!$I$10</definedName>
    <definedName name="Weighted_FTE____________b__x__c" localSheetId="29">'3421'!$I$10</definedName>
    <definedName name="Weighted_FTE____________b__x__c" localSheetId="30">'3431'!$I$10</definedName>
    <definedName name="Weighted_FTE____________b__x__c" localSheetId="31">'3441'!$I$10</definedName>
    <definedName name="Weighted_FTE____________b__x__c" localSheetId="32">'3924'!$I$10</definedName>
    <definedName name="Weighted_FTE____________b__x__c" localSheetId="33">'3941'!$I$10</definedName>
    <definedName name="Weighted_FTE____________b__x__c" localSheetId="34">'3961'!$I$10</definedName>
    <definedName name="Weighted_FTE____________b__x__c" localSheetId="35">'3971'!$I$10</definedName>
    <definedName name="Weighted_FTE____________b__x__c" localSheetId="36">'4001'!$I$10</definedName>
    <definedName name="Weighted_FTE____________b__x__c" localSheetId="37">'4002'!$I$10</definedName>
    <definedName name="Weighted_FTE____________b__x__c" localSheetId="38">'4012'!$I$10</definedName>
    <definedName name="Weighted_FTE____________b__x__c" localSheetId="39">'4013'!$I$10</definedName>
    <definedName name="Weighted_FTE____________b__x__c" localSheetId="40">'4020'!$I$10</definedName>
    <definedName name="Weighted_FTE____________b__x__c" localSheetId="41">'4030'!$I$10</definedName>
    <definedName name="Weighted_FTE____________b__x__c" localSheetId="42">'4031'!$I$10</definedName>
    <definedName name="Weighted_FTE____________b__x__c" localSheetId="43">'4041'!$I$10</definedName>
    <definedName name="Weighted_FTE____________b__x__c" localSheetId="44">'4050'!$I$10</definedName>
    <definedName name="Weighted_FTE____________b__x__c" localSheetId="45">'4051'!$I$10</definedName>
    <definedName name="Weighted_FTE____________b__x__c" localSheetId="46">'4061'!$I$10</definedName>
    <definedName name="Weighted_FTE____________b__x__c" localSheetId="47">'4080'!$I$10</definedName>
    <definedName name="Weighted_FTE____________b__x__c" localSheetId="48">'4081'!$I$10</definedName>
    <definedName name="Weighted_FTE____________b__x__c" localSheetId="49">'4090'!$I$10</definedName>
    <definedName name="Weighted_FTE____________b__x__c" localSheetId="50">'4091'!$I$10</definedName>
    <definedName name="Weighted_FTE____________b__x__c" localSheetId="51">'4100'!$I$10</definedName>
    <definedName name="Weighted_FTE____________b__x__c" localSheetId="52">'4102'!$I$10</definedName>
    <definedName name="Weighted_FTE____________b__x__c" localSheetId="53">'4103'!$I$10</definedName>
    <definedName name="Weighted_FTE____________b__x__c" localSheetId="54">'4111'!$I$10</definedName>
    <definedName name="Weighted_FTE____________b__x__c" localSheetId="55">'4131'!$I$10</definedName>
    <definedName name="Weighted_FTE____________b__x__c">'0040'!$I$10</definedName>
    <definedName name="Weighted_FTE__From_Section_1" localSheetId="7">'0100'!$B$89</definedName>
    <definedName name="Weighted_FTE__From_Section_1" localSheetId="6">'0571'!$B$89</definedName>
    <definedName name="Weighted_FTE__From_Section_1" localSheetId="8">'1461'!$B$89</definedName>
    <definedName name="Weighted_FTE__From_Section_1" localSheetId="9">'1571'!$B$89</definedName>
    <definedName name="Weighted_FTE__From_Section_1" localSheetId="10">'2521'!$B$89</definedName>
    <definedName name="Weighted_FTE__From_Section_1" localSheetId="11">'2531'!$B$89</definedName>
    <definedName name="Weighted_FTE__From_Section_1" localSheetId="12">'2791'!$B$89</definedName>
    <definedName name="Weighted_FTE__From_Section_1" localSheetId="13">'2801'!$B$89</definedName>
    <definedName name="Weighted_FTE__From_Section_1" localSheetId="14">'2911'!$B$89</definedName>
    <definedName name="Weighted_FTE__From_Section_1" localSheetId="15">'2941'!$B$89</definedName>
    <definedName name="Weighted_FTE__From_Section_1" localSheetId="16">'3083'!$B$89</definedName>
    <definedName name="Weighted_FTE__From_Section_1" localSheetId="17">'3345'!$B$89</definedName>
    <definedName name="Weighted_FTE__From_Section_1" localSheetId="18">'3362'!$B$89</definedName>
    <definedName name="Weighted_FTE__From_Section_1" localSheetId="19">'3381'!$B$89</definedName>
    <definedName name="Weighted_FTE__From_Section_1" localSheetId="20">'3382'!$B$89</definedName>
    <definedName name="Weighted_FTE__From_Section_1" localSheetId="21">'3391'!$B$89</definedName>
    <definedName name="Weighted_FTE__From_Section_1" localSheetId="22">'3394'!$B$89</definedName>
    <definedName name="Weighted_FTE__From_Section_1" localSheetId="23">'3395'!$B$89</definedName>
    <definedName name="Weighted_FTE__From_Section_1" localSheetId="24">'3396'!$B$89</definedName>
    <definedName name="Weighted_FTE__From_Section_1" localSheetId="25">'3398'!$B$89</definedName>
    <definedName name="Weighted_FTE__From_Section_1" localSheetId="26">'3400'!$B$89</definedName>
    <definedName name="Weighted_FTE__From_Section_1" localSheetId="27">'3401'!$B$89</definedName>
    <definedName name="Weighted_FTE__From_Section_1" localSheetId="28">'3413'!$B$89</definedName>
    <definedName name="Weighted_FTE__From_Section_1" localSheetId="29">'3421'!$B$89</definedName>
    <definedName name="Weighted_FTE__From_Section_1" localSheetId="30">'3431'!$B$89</definedName>
    <definedName name="Weighted_FTE__From_Section_1" localSheetId="31">'3441'!$B$89</definedName>
    <definedName name="Weighted_FTE__From_Section_1" localSheetId="32">'3924'!$B$89</definedName>
    <definedName name="Weighted_FTE__From_Section_1" localSheetId="33">'3941'!$B$89</definedName>
    <definedName name="Weighted_FTE__From_Section_1" localSheetId="34">'3961'!$B$89</definedName>
    <definedName name="Weighted_FTE__From_Section_1" localSheetId="35">'3971'!$B$89</definedName>
    <definedName name="Weighted_FTE__From_Section_1" localSheetId="36">'4001'!$B$89</definedName>
    <definedName name="Weighted_FTE__From_Section_1" localSheetId="37">'4002'!$B$89</definedName>
    <definedName name="Weighted_FTE__From_Section_1" localSheetId="38">'4012'!$B$89</definedName>
    <definedName name="Weighted_FTE__From_Section_1" localSheetId="39">'4013'!$B$89</definedName>
    <definedName name="Weighted_FTE__From_Section_1" localSheetId="40">'4020'!$B$89</definedName>
    <definedName name="Weighted_FTE__From_Section_1" localSheetId="41">'4030'!$B$89</definedName>
    <definedName name="Weighted_FTE__From_Section_1" localSheetId="42">'4031'!$B$89</definedName>
    <definedName name="Weighted_FTE__From_Section_1" localSheetId="43">'4041'!$B$89</definedName>
    <definedName name="Weighted_FTE__From_Section_1" localSheetId="44">'4050'!$B$89</definedName>
    <definedName name="Weighted_FTE__From_Section_1" localSheetId="45">'4051'!$B$89</definedName>
    <definedName name="Weighted_FTE__From_Section_1" localSheetId="46">'4061'!$B$89</definedName>
    <definedName name="Weighted_FTE__From_Section_1" localSheetId="47">'4080'!$B$89</definedName>
    <definedName name="Weighted_FTE__From_Section_1" localSheetId="48">'4081'!$B$89</definedName>
    <definedName name="Weighted_FTE__From_Section_1" localSheetId="49">'4090'!$B$89</definedName>
    <definedName name="Weighted_FTE__From_Section_1" localSheetId="50">'4091'!$B$89</definedName>
    <definedName name="Weighted_FTE__From_Section_1" localSheetId="51">'4100'!$B$89</definedName>
    <definedName name="Weighted_FTE__From_Section_1" localSheetId="52">'4102'!$B$89</definedName>
    <definedName name="Weighted_FTE__From_Section_1" localSheetId="53">'4103'!$B$89</definedName>
    <definedName name="Weighted_FTE__From_Section_1" localSheetId="54">'4111'!$B$89</definedName>
    <definedName name="Weighted_FTE__From_Section_1" localSheetId="55">'4131'!$B$89</definedName>
    <definedName name="Weighted_FTE__From_Section_1">'0040'!$B$89</definedName>
    <definedName name="wrn.Base._.Data._.Comparison." localSheetId="5" hidden="1">{#N/A,#N/A,FALSE,"Summation";#N/A,#N/A,FALSE,"BSA";#N/A,#N/A,FALSE,"Detail1";#N/A,#N/A,FALSE,"Detail2";#N/A,#N/A,FALSE,"Detail3";#N/A,#N/A,FALSE,"WFTE_Summary";#N/A,#N/A,FALSE,"Funded_WFTE";#N/A,#N/A,FALSE,"PYADJ96"}</definedName>
    <definedName name="wrn.Base._.Data._.Comparison." localSheetId="7" hidden="1">{#N/A,#N/A,FALSE,"Summation";#N/A,#N/A,FALSE,"BSA";#N/A,#N/A,FALSE,"Detail1";#N/A,#N/A,FALSE,"Detail2";#N/A,#N/A,FALSE,"Detail3";#N/A,#N/A,FALSE,"WFTE_Summary";#N/A,#N/A,FALSE,"Funded_WFTE";#N/A,#N/A,FALSE,"PYADJ96"}</definedName>
    <definedName name="wrn.Base._.Data._.Comparison." localSheetId="6"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55"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413" i="106" l="1"/>
  <c r="T55" i="105"/>
  <c r="T55" i="104"/>
  <c r="T55" i="103"/>
  <c r="T55" i="102"/>
  <c r="T55" i="99"/>
  <c r="T55" i="98"/>
  <c r="T55" i="96"/>
  <c r="T55" i="95"/>
  <c r="R55" i="94"/>
  <c r="T55" i="93"/>
  <c r="T55" i="92"/>
  <c r="T55" i="90"/>
  <c r="T55" i="89"/>
  <c r="T55" i="88"/>
  <c r="T55" i="87"/>
  <c r="C25" i="80"/>
  <c r="C24" i="80"/>
  <c r="T55" i="86"/>
  <c r="T55" i="85"/>
  <c r="T55" i="83"/>
  <c r="T55" i="79"/>
  <c r="T55" i="78"/>
  <c r="T55" i="77"/>
  <c r="T55" i="76"/>
  <c r="T55" i="75"/>
  <c r="T55" i="74"/>
  <c r="T55" i="73"/>
  <c r="T55" i="72"/>
  <c r="T55" i="70"/>
  <c r="T55" i="69"/>
  <c r="T55" i="108"/>
  <c r="T55" i="68"/>
  <c r="T55" i="67"/>
  <c r="T55" i="66"/>
  <c r="T55" i="65"/>
  <c r="T55" i="64"/>
  <c r="T55" i="63"/>
  <c r="T55" i="62"/>
  <c r="Y78" i="61"/>
  <c r="T55" i="61"/>
  <c r="T55" i="59"/>
  <c r="T55" i="58"/>
  <c r="I98" i="105" l="1"/>
  <c r="I97" i="105"/>
  <c r="J82" i="105"/>
  <c r="I98" i="104"/>
  <c r="I97" i="104"/>
  <c r="J82" i="104"/>
  <c r="I98" i="103"/>
  <c r="I97" i="103"/>
  <c r="J82" i="103"/>
  <c r="I98" i="102"/>
  <c r="I97" i="102"/>
  <c r="J82" i="102"/>
  <c r="I98" i="101"/>
  <c r="I97" i="101"/>
  <c r="J82" i="101"/>
  <c r="I98" i="100"/>
  <c r="I97" i="100"/>
  <c r="J82" i="100"/>
  <c r="I98" i="99"/>
  <c r="I97" i="99"/>
  <c r="J82" i="99"/>
  <c r="I98" i="98"/>
  <c r="I97" i="98"/>
  <c r="J82" i="98"/>
  <c r="I98" i="97"/>
  <c r="I97" i="97"/>
  <c r="J82" i="97"/>
  <c r="I98" i="96"/>
  <c r="I97" i="96"/>
  <c r="J82" i="96"/>
  <c r="I98" i="95"/>
  <c r="I97" i="95"/>
  <c r="J82" i="95"/>
  <c r="I98" i="94"/>
  <c r="I97" i="94"/>
  <c r="J82" i="94"/>
  <c r="I98" i="93"/>
  <c r="I97" i="93"/>
  <c r="J82" i="93"/>
  <c r="I98" i="92"/>
  <c r="I97" i="92"/>
  <c r="J82" i="92"/>
  <c r="I98" i="91"/>
  <c r="I97" i="91"/>
  <c r="J82" i="91"/>
  <c r="I98" i="90"/>
  <c r="I97" i="90"/>
  <c r="J82" i="90"/>
  <c r="I98" i="89"/>
  <c r="I97" i="89"/>
  <c r="J82" i="89"/>
  <c r="I98" i="88"/>
  <c r="I97" i="88"/>
  <c r="J82" i="88"/>
  <c r="I98" i="87"/>
  <c r="I97" i="87"/>
  <c r="J82" i="87"/>
  <c r="I98" i="86"/>
  <c r="I97" i="86"/>
  <c r="J82" i="86"/>
  <c r="I98" i="85"/>
  <c r="I97" i="85"/>
  <c r="J82" i="85"/>
  <c r="I98" i="84"/>
  <c r="I97" i="84"/>
  <c r="J82" i="84"/>
  <c r="I98" i="83"/>
  <c r="I97" i="83"/>
  <c r="J82" i="83"/>
  <c r="I98" i="82"/>
  <c r="I97" i="82"/>
  <c r="J82" i="82"/>
  <c r="I98" i="81"/>
  <c r="I97" i="81"/>
  <c r="J82" i="81"/>
  <c r="I98" i="80"/>
  <c r="I97" i="80"/>
  <c r="J82" i="80"/>
  <c r="I98" i="79"/>
  <c r="I97" i="79"/>
  <c r="J82" i="79"/>
  <c r="I98" i="78"/>
  <c r="I97" i="78"/>
  <c r="J82" i="78"/>
  <c r="I98" i="77"/>
  <c r="I97" i="77"/>
  <c r="J82" i="77"/>
  <c r="I98" i="76"/>
  <c r="I97" i="76"/>
  <c r="J82" i="76"/>
  <c r="I98" i="75"/>
  <c r="I97" i="75"/>
  <c r="J82" i="75"/>
  <c r="I98" i="74"/>
  <c r="I97" i="74"/>
  <c r="J82" i="74"/>
  <c r="I98" i="73"/>
  <c r="I97" i="73"/>
  <c r="J82" i="73"/>
  <c r="I98" i="72"/>
  <c r="I97" i="72"/>
  <c r="J82" i="72"/>
  <c r="J82" i="71"/>
  <c r="J82" i="70"/>
  <c r="J82" i="69"/>
  <c r="J82" i="108"/>
  <c r="J82" i="68"/>
  <c r="J82" i="67"/>
  <c r="J82" i="66"/>
  <c r="J82" i="65"/>
  <c r="J82" i="64"/>
  <c r="J82" i="63"/>
  <c r="J82" i="62"/>
  <c r="J82" i="61"/>
  <c r="J82" i="60"/>
  <c r="J82" i="59"/>
  <c r="J82" i="58"/>
  <c r="J82" i="107"/>
  <c r="I98" i="71"/>
  <c r="I97" i="71"/>
  <c r="I98" i="70"/>
  <c r="I97" i="70"/>
  <c r="I98" i="69"/>
  <c r="I97" i="69"/>
  <c r="I98" i="108"/>
  <c r="I97" i="108"/>
  <c r="I98" i="68"/>
  <c r="I97" i="68"/>
  <c r="I98" i="67"/>
  <c r="I97" i="67"/>
  <c r="I98" i="66"/>
  <c r="I97" i="66"/>
  <c r="I98" i="65"/>
  <c r="I97" i="65"/>
  <c r="I98" i="64"/>
  <c r="I97" i="64"/>
  <c r="I98" i="63"/>
  <c r="I97" i="63"/>
  <c r="I98" i="62"/>
  <c r="I97" i="62"/>
  <c r="I98" i="61"/>
  <c r="I97" i="61"/>
  <c r="I98" i="60"/>
  <c r="I97" i="60"/>
  <c r="I98" i="59"/>
  <c r="I97" i="59"/>
  <c r="I98" i="58"/>
  <c r="I97" i="58"/>
  <c r="I98" i="107"/>
  <c r="I97" i="107"/>
  <c r="I65" i="88"/>
  <c r="I62" i="88"/>
  <c r="I59" i="88"/>
  <c r="I56" i="88"/>
  <c r="I53" i="88"/>
  <c r="G85" i="88"/>
  <c r="G84" i="88"/>
  <c r="G71" i="88"/>
  <c r="G72" i="88"/>
  <c r="G68" i="88"/>
  <c r="I65" i="67"/>
  <c r="G85" i="61"/>
  <c r="G84" i="61"/>
  <c r="G72" i="61"/>
  <c r="G71" i="61"/>
  <c r="G68" i="61"/>
  <c r="G85" i="105"/>
  <c r="G84" i="105"/>
  <c r="G72" i="105"/>
  <c r="G71" i="105"/>
  <c r="G68" i="105"/>
  <c r="I65" i="105"/>
  <c r="I62" i="105"/>
  <c r="I59" i="105"/>
  <c r="I56" i="105"/>
  <c r="I53" i="105"/>
  <c r="G85" i="104"/>
  <c r="G84" i="104"/>
  <c r="G72" i="104"/>
  <c r="G71" i="104"/>
  <c r="G68" i="104"/>
  <c r="I65" i="104"/>
  <c r="I62" i="104"/>
  <c r="I59" i="104"/>
  <c r="I56" i="104"/>
  <c r="I53" i="104"/>
  <c r="G85" i="103"/>
  <c r="G84" i="103"/>
  <c r="G72" i="103"/>
  <c r="G71" i="103"/>
  <c r="G68" i="103"/>
  <c r="I65" i="103"/>
  <c r="I62" i="103"/>
  <c r="I59" i="103"/>
  <c r="I56" i="103"/>
  <c r="I53" i="103"/>
  <c r="G85" i="102"/>
  <c r="G84" i="102"/>
  <c r="G72" i="102"/>
  <c r="G71" i="102"/>
  <c r="G68" i="102"/>
  <c r="I65" i="102"/>
  <c r="I62" i="102"/>
  <c r="I59" i="102"/>
  <c r="I56" i="102"/>
  <c r="I53" i="102"/>
  <c r="G85" i="101"/>
  <c r="G84" i="101"/>
  <c r="G72" i="101"/>
  <c r="G71" i="101"/>
  <c r="G68" i="101"/>
  <c r="I65" i="101"/>
  <c r="I62" i="101"/>
  <c r="I59" i="101"/>
  <c r="I56" i="101"/>
  <c r="I53" i="101"/>
  <c r="G85" i="100"/>
  <c r="G84" i="100"/>
  <c r="G72" i="100"/>
  <c r="G71" i="100"/>
  <c r="G68" i="100"/>
  <c r="I65" i="100"/>
  <c r="I62" i="100"/>
  <c r="I59" i="100"/>
  <c r="I56" i="100"/>
  <c r="I53" i="100"/>
  <c r="G85" i="99"/>
  <c r="G84" i="99"/>
  <c r="G72" i="99"/>
  <c r="G71" i="99"/>
  <c r="G68" i="99"/>
  <c r="I65" i="99"/>
  <c r="I62" i="99"/>
  <c r="I59" i="99"/>
  <c r="I56" i="99"/>
  <c r="I53" i="99"/>
  <c r="G85" i="98"/>
  <c r="G84" i="98"/>
  <c r="G72" i="98"/>
  <c r="G71" i="98"/>
  <c r="G68" i="98"/>
  <c r="I65" i="98"/>
  <c r="I62" i="98"/>
  <c r="I59" i="98"/>
  <c r="I56" i="98"/>
  <c r="I53" i="98"/>
  <c r="G85" i="97"/>
  <c r="G84" i="97"/>
  <c r="G72" i="97"/>
  <c r="G71" i="97"/>
  <c r="G68" i="97"/>
  <c r="I65" i="97"/>
  <c r="I62" i="97"/>
  <c r="I59" i="97"/>
  <c r="I56" i="97"/>
  <c r="I53" i="97"/>
  <c r="G85" i="96"/>
  <c r="G84" i="96"/>
  <c r="G72" i="96"/>
  <c r="G71" i="96"/>
  <c r="G68" i="96"/>
  <c r="I65" i="96"/>
  <c r="I62" i="96"/>
  <c r="I59" i="96"/>
  <c r="I56" i="96"/>
  <c r="I53" i="96"/>
  <c r="G85" i="95"/>
  <c r="G84" i="95"/>
  <c r="G72" i="95"/>
  <c r="G71" i="95"/>
  <c r="G68" i="95"/>
  <c r="I65" i="95"/>
  <c r="I62" i="95"/>
  <c r="I59" i="95"/>
  <c r="I56" i="95"/>
  <c r="I53" i="95"/>
  <c r="G85" i="94"/>
  <c r="G84" i="94"/>
  <c r="G72" i="94"/>
  <c r="G71" i="94"/>
  <c r="G68" i="94"/>
  <c r="I65" i="94"/>
  <c r="I62" i="94"/>
  <c r="I59" i="94"/>
  <c r="I56" i="94"/>
  <c r="I53" i="94"/>
  <c r="G85" i="93"/>
  <c r="G84" i="93"/>
  <c r="G72" i="93"/>
  <c r="G71" i="93"/>
  <c r="G68" i="93"/>
  <c r="I65" i="93"/>
  <c r="I62" i="93"/>
  <c r="I59" i="93"/>
  <c r="I56" i="93"/>
  <c r="I53" i="93"/>
  <c r="G85" i="92"/>
  <c r="G84" i="92"/>
  <c r="G72" i="92"/>
  <c r="G71" i="92"/>
  <c r="G68" i="92"/>
  <c r="I65" i="92"/>
  <c r="I62" i="92"/>
  <c r="I59" i="92"/>
  <c r="I56" i="92"/>
  <c r="I53" i="92"/>
  <c r="G85" i="91"/>
  <c r="G84" i="91"/>
  <c r="G72" i="91"/>
  <c r="G71" i="91"/>
  <c r="G68" i="91"/>
  <c r="I65" i="91"/>
  <c r="I62" i="91"/>
  <c r="I59" i="91"/>
  <c r="I56" i="91"/>
  <c r="I53" i="91"/>
  <c r="G85" i="90"/>
  <c r="G84" i="90"/>
  <c r="G72" i="90"/>
  <c r="G71" i="90"/>
  <c r="G68" i="90"/>
  <c r="I65" i="90"/>
  <c r="I62" i="90"/>
  <c r="I59" i="90"/>
  <c r="I56" i="90"/>
  <c r="I53" i="90"/>
  <c r="G85" i="89"/>
  <c r="G84" i="89"/>
  <c r="G72" i="89"/>
  <c r="G71" i="89"/>
  <c r="G68" i="89"/>
  <c r="I65" i="89"/>
  <c r="I62" i="89"/>
  <c r="I59" i="89"/>
  <c r="I56" i="89"/>
  <c r="I53" i="89"/>
  <c r="G85" i="87"/>
  <c r="G84" i="87"/>
  <c r="G72" i="87"/>
  <c r="G71" i="87"/>
  <c r="G68" i="87"/>
  <c r="I65" i="87"/>
  <c r="I62" i="87"/>
  <c r="I59" i="87"/>
  <c r="I56" i="87"/>
  <c r="I53" i="87"/>
  <c r="G85" i="86"/>
  <c r="G84" i="86"/>
  <c r="G72" i="86"/>
  <c r="G71" i="86"/>
  <c r="G68" i="86"/>
  <c r="I65" i="86"/>
  <c r="I62" i="86"/>
  <c r="I59" i="86"/>
  <c r="I56" i="86"/>
  <c r="I53" i="86"/>
  <c r="G85" i="85"/>
  <c r="G84" i="85"/>
  <c r="G72" i="85"/>
  <c r="G71" i="85"/>
  <c r="G68" i="85"/>
  <c r="I65" i="85"/>
  <c r="I62" i="85"/>
  <c r="I59" i="85"/>
  <c r="I56" i="85"/>
  <c r="I53" i="85"/>
  <c r="G85" i="83"/>
  <c r="G84" i="83"/>
  <c r="G72" i="83"/>
  <c r="G71" i="83"/>
  <c r="G68" i="83"/>
  <c r="I65" i="83"/>
  <c r="I62" i="83"/>
  <c r="I59" i="83"/>
  <c r="I56" i="83"/>
  <c r="I53" i="83"/>
  <c r="G85" i="82"/>
  <c r="G84" i="82"/>
  <c r="G72" i="82"/>
  <c r="G71" i="82"/>
  <c r="G68" i="82"/>
  <c r="I65" i="82"/>
  <c r="I62" i="82"/>
  <c r="I59" i="82"/>
  <c r="I56" i="82"/>
  <c r="I53" i="82"/>
  <c r="G85" i="81"/>
  <c r="G84" i="81"/>
  <c r="G72" i="81"/>
  <c r="G71" i="81"/>
  <c r="G68" i="81"/>
  <c r="I65" i="81"/>
  <c r="I62" i="81"/>
  <c r="I59" i="81"/>
  <c r="I56" i="81"/>
  <c r="I53" i="81"/>
  <c r="G85" i="80"/>
  <c r="G84" i="80"/>
  <c r="G72" i="80"/>
  <c r="G71" i="80"/>
  <c r="G68" i="80"/>
  <c r="I65" i="80"/>
  <c r="I62" i="80"/>
  <c r="I59" i="80"/>
  <c r="I56" i="80"/>
  <c r="I53" i="80"/>
  <c r="G85" i="79"/>
  <c r="G84" i="79"/>
  <c r="G72" i="79"/>
  <c r="G71" i="79"/>
  <c r="G68" i="79"/>
  <c r="I65" i="79"/>
  <c r="I62" i="79"/>
  <c r="I59" i="79"/>
  <c r="I56" i="79"/>
  <c r="I53" i="79"/>
  <c r="G85" i="78"/>
  <c r="G84" i="78"/>
  <c r="G72" i="78"/>
  <c r="G71" i="78"/>
  <c r="G68" i="78"/>
  <c r="I65" i="78"/>
  <c r="I62" i="78"/>
  <c r="I59" i="78"/>
  <c r="I56" i="78"/>
  <c r="I53" i="78"/>
  <c r="G85" i="77"/>
  <c r="G84" i="77"/>
  <c r="G72" i="77"/>
  <c r="G71" i="77"/>
  <c r="G68" i="77"/>
  <c r="I65" i="77"/>
  <c r="I62" i="77"/>
  <c r="I59" i="77"/>
  <c r="I56" i="77"/>
  <c r="I53" i="77"/>
  <c r="G85" i="76"/>
  <c r="G84" i="76"/>
  <c r="G72" i="76"/>
  <c r="G71" i="76"/>
  <c r="G68" i="76"/>
  <c r="I65" i="76"/>
  <c r="I62" i="76"/>
  <c r="I59" i="76"/>
  <c r="I56" i="76"/>
  <c r="I53" i="76"/>
  <c r="G85" i="75"/>
  <c r="G84" i="75"/>
  <c r="G72" i="75"/>
  <c r="G71" i="75"/>
  <c r="G68" i="75"/>
  <c r="I65" i="75"/>
  <c r="I62" i="75"/>
  <c r="I59" i="75"/>
  <c r="I56" i="75"/>
  <c r="I53" i="75"/>
  <c r="G85" i="74"/>
  <c r="G84" i="74"/>
  <c r="G72" i="74"/>
  <c r="G71" i="74"/>
  <c r="G68" i="74"/>
  <c r="I65" i="74"/>
  <c r="I62" i="74"/>
  <c r="I59" i="74"/>
  <c r="I56" i="74"/>
  <c r="I53" i="74"/>
  <c r="G85" i="73"/>
  <c r="G84" i="73"/>
  <c r="G72" i="73"/>
  <c r="G71" i="73"/>
  <c r="G68" i="73"/>
  <c r="I65" i="73"/>
  <c r="I62" i="73"/>
  <c r="I59" i="73"/>
  <c r="I56" i="73"/>
  <c r="I53" i="73"/>
  <c r="G85" i="72"/>
  <c r="G84" i="72"/>
  <c r="G72" i="72"/>
  <c r="G71" i="72"/>
  <c r="G68" i="72"/>
  <c r="I65" i="72"/>
  <c r="I62" i="72"/>
  <c r="I59" i="72"/>
  <c r="I56" i="72"/>
  <c r="I53" i="72"/>
  <c r="G85" i="71"/>
  <c r="G84" i="71"/>
  <c r="G72" i="71"/>
  <c r="G71" i="71"/>
  <c r="G68" i="71"/>
  <c r="I65" i="71"/>
  <c r="I62" i="71"/>
  <c r="I59" i="71"/>
  <c r="I56" i="71"/>
  <c r="I53" i="71"/>
  <c r="G85" i="70"/>
  <c r="G84" i="70"/>
  <c r="G72" i="70"/>
  <c r="G71" i="70"/>
  <c r="G68" i="70"/>
  <c r="I65" i="70"/>
  <c r="I62" i="70"/>
  <c r="I59" i="70"/>
  <c r="I56" i="70"/>
  <c r="I53" i="70"/>
  <c r="G85" i="69"/>
  <c r="G84" i="69"/>
  <c r="G72" i="69"/>
  <c r="G71" i="69"/>
  <c r="G68" i="69"/>
  <c r="I65" i="69"/>
  <c r="I62" i="69"/>
  <c r="I59" i="69"/>
  <c r="I56" i="69"/>
  <c r="I53" i="69"/>
  <c r="G85" i="108"/>
  <c r="G84" i="108"/>
  <c r="G72" i="108"/>
  <c r="G71" i="108"/>
  <c r="G68" i="108"/>
  <c r="I65" i="108"/>
  <c r="I62" i="108"/>
  <c r="I59" i="108"/>
  <c r="I56" i="108"/>
  <c r="I53" i="108"/>
  <c r="G85" i="68"/>
  <c r="G84" i="68"/>
  <c r="G72" i="68"/>
  <c r="G71" i="68"/>
  <c r="G68" i="68"/>
  <c r="I65" i="68"/>
  <c r="I62" i="68"/>
  <c r="I59" i="68"/>
  <c r="I56" i="68"/>
  <c r="I53" i="68"/>
  <c r="G85" i="67"/>
  <c r="G84" i="67"/>
  <c r="G72" i="67"/>
  <c r="G71" i="67"/>
  <c r="G68" i="67"/>
  <c r="I62" i="67"/>
  <c r="I59" i="67"/>
  <c r="I56" i="67"/>
  <c r="I53" i="67"/>
  <c r="G85" i="66"/>
  <c r="G84" i="66"/>
  <c r="G72" i="66"/>
  <c r="G71" i="66"/>
  <c r="G68" i="66"/>
  <c r="I65" i="66"/>
  <c r="I62" i="66"/>
  <c r="I59" i="66"/>
  <c r="I56" i="66"/>
  <c r="I53" i="66"/>
  <c r="G85" i="65"/>
  <c r="G84" i="65"/>
  <c r="G72" i="65"/>
  <c r="G71" i="65"/>
  <c r="G68" i="65"/>
  <c r="I65" i="65"/>
  <c r="I62" i="65"/>
  <c r="I59" i="65"/>
  <c r="I56" i="65"/>
  <c r="I53" i="65"/>
  <c r="G85" i="64"/>
  <c r="G84" i="64"/>
  <c r="G72" i="64"/>
  <c r="G71" i="64"/>
  <c r="G68" i="64"/>
  <c r="I65" i="64"/>
  <c r="I62" i="64"/>
  <c r="I59" i="64"/>
  <c r="I56" i="64"/>
  <c r="I53" i="64"/>
  <c r="G85" i="63"/>
  <c r="G84" i="63"/>
  <c r="G72" i="63"/>
  <c r="G71" i="63"/>
  <c r="G68" i="63"/>
  <c r="I65" i="63"/>
  <c r="I62" i="63"/>
  <c r="I59" i="63"/>
  <c r="I56" i="63"/>
  <c r="I53" i="63"/>
  <c r="G85" i="62"/>
  <c r="G84" i="62"/>
  <c r="G72" i="62"/>
  <c r="G71" i="62"/>
  <c r="G68" i="62"/>
  <c r="I65" i="62"/>
  <c r="I62" i="62"/>
  <c r="I59" i="62"/>
  <c r="I56" i="62"/>
  <c r="I53" i="62"/>
  <c r="I65" i="61"/>
  <c r="I62" i="61"/>
  <c r="I59" i="61"/>
  <c r="I56" i="61"/>
  <c r="I53" i="61"/>
  <c r="E97" i="60"/>
  <c r="G85" i="60"/>
  <c r="G84" i="60"/>
  <c r="G72" i="60"/>
  <c r="G71" i="60"/>
  <c r="G68" i="60"/>
  <c r="I65" i="60"/>
  <c r="I62" i="60"/>
  <c r="I59" i="60"/>
  <c r="I56" i="60"/>
  <c r="I53" i="60"/>
  <c r="G85" i="59"/>
  <c r="G84" i="59"/>
  <c r="G72" i="59"/>
  <c r="G71" i="59"/>
  <c r="G68" i="59"/>
  <c r="I65" i="59"/>
  <c r="I62" i="59"/>
  <c r="I59" i="59"/>
  <c r="I56" i="59"/>
  <c r="I53" i="59"/>
  <c r="G85" i="58"/>
  <c r="G84" i="58"/>
  <c r="G72" i="58"/>
  <c r="G71" i="58"/>
  <c r="G68" i="58"/>
  <c r="I65" i="58"/>
  <c r="I62" i="58"/>
  <c r="I59" i="58"/>
  <c r="I56" i="58"/>
  <c r="I53" i="58"/>
  <c r="G85" i="107"/>
  <c r="G84" i="107"/>
  <c r="G72" i="107"/>
  <c r="G71" i="107"/>
  <c r="G68" i="107"/>
  <c r="I65" i="107"/>
  <c r="I62" i="107"/>
  <c r="I59" i="107"/>
  <c r="I56" i="107"/>
  <c r="I53" i="107"/>
  <c r="E128" i="56"/>
  <c r="E97" i="101"/>
  <c r="E97" i="98"/>
  <c r="E97" i="96"/>
  <c r="E97" i="90"/>
  <c r="E97" i="89"/>
  <c r="E97" i="88"/>
  <c r="E97" i="86"/>
  <c r="E97" i="85"/>
  <c r="E97" i="82"/>
  <c r="E97" i="81"/>
  <c r="E97" i="80"/>
  <c r="E97" i="79"/>
  <c r="E97" i="77"/>
  <c r="E97" i="76"/>
  <c r="E97" i="75"/>
  <c r="E97" i="74"/>
  <c r="E97" i="73"/>
  <c r="E97" i="72"/>
  <c r="E97" i="70"/>
  <c r="E97" i="69"/>
  <c r="E97" i="68"/>
  <c r="E98" i="67"/>
  <c r="E97" i="67"/>
  <c r="E98" i="66"/>
  <c r="E97" i="66"/>
  <c r="E97" i="64"/>
  <c r="E97" i="62"/>
  <c r="E97" i="61"/>
  <c r="E97" i="59"/>
  <c r="E97" i="107"/>
  <c r="E97" i="2"/>
  <c r="E26" i="77"/>
  <c r="D11" i="56" l="1"/>
  <c r="C11" i="56"/>
  <c r="C12" i="56"/>
  <c r="D12" i="56"/>
  <c r="R122" i="57" l="1"/>
  <c r="R121" i="57"/>
  <c r="R120" i="57"/>
  <c r="R119" i="57"/>
  <c r="R118" i="57"/>
  <c r="R117" i="57"/>
  <c r="R116" i="57"/>
  <c r="R115" i="57"/>
  <c r="R114" i="57"/>
  <c r="R113" i="57"/>
  <c r="R112" i="57"/>
  <c r="R111" i="57"/>
  <c r="R110" i="57"/>
  <c r="R109" i="57"/>
  <c r="R108" i="57"/>
  <c r="R107" i="57"/>
  <c r="R106" i="57"/>
  <c r="R105" i="57"/>
  <c r="R104" i="57"/>
  <c r="R103" i="57"/>
  <c r="R102" i="57"/>
  <c r="R101" i="57"/>
  <c r="R100" i="57"/>
  <c r="R99" i="57"/>
  <c r="R98" i="57"/>
  <c r="R97" i="57"/>
  <c r="R96" i="57"/>
  <c r="R95" i="57"/>
  <c r="R94" i="57"/>
  <c r="R93" i="57"/>
  <c r="R92" i="57"/>
  <c r="R91" i="57"/>
  <c r="R90" i="57"/>
  <c r="R89" i="57"/>
  <c r="R88" i="57"/>
  <c r="R87" i="57"/>
  <c r="R86" i="57"/>
  <c r="R85" i="57"/>
  <c r="R84" i="57"/>
  <c r="R83" i="57"/>
  <c r="R82" i="57"/>
  <c r="R81" i="57"/>
  <c r="R80" i="57"/>
  <c r="R79" i="57"/>
  <c r="R78" i="57"/>
  <c r="R77" i="57"/>
  <c r="R76" i="57"/>
  <c r="R75" i="57"/>
  <c r="R74" i="57"/>
  <c r="R73" i="57"/>
  <c r="R72" i="57"/>
  <c r="C50" i="76"/>
  <c r="C50" i="64"/>
  <c r="E14" i="2" l="1"/>
  <c r="K57" i="57"/>
  <c r="T31" i="101"/>
  <c r="V32" i="101" s="1"/>
  <c r="T55" i="100"/>
  <c r="T97" i="62" l="1"/>
  <c r="E98" i="62"/>
  <c r="T97" i="68"/>
  <c r="T97" i="67"/>
  <c r="T97" i="66"/>
  <c r="Q72" i="57"/>
  <c r="F479" i="106" l="1"/>
  <c r="E58" i="54"/>
  <c r="D58" i="54"/>
  <c r="Y37" i="101"/>
  <c r="Y36" i="101"/>
  <c r="Y37" i="76" l="1"/>
  <c r="Y36" i="76"/>
  <c r="Y37" i="68"/>
  <c r="Y36" i="68"/>
  <c r="Y37" i="67"/>
  <c r="Y36" i="67"/>
  <c r="Y37" i="66"/>
  <c r="Y36" i="66"/>
  <c r="Y37" i="63"/>
  <c r="Y36" i="63"/>
  <c r="Y37" i="62"/>
  <c r="Y36" i="62"/>
  <c r="Y37" i="61"/>
  <c r="Y36" i="61"/>
  <c r="Y37" i="58"/>
  <c r="Y36" i="58"/>
  <c r="T50" i="2" l="1"/>
  <c r="J57" i="57"/>
  <c r="J122" i="58" l="1"/>
  <c r="J118" i="2" l="1"/>
  <c r="Q5" i="57"/>
  <c r="F487" i="106"/>
  <c r="G32" i="2" l="1"/>
  <c r="J118" i="108"/>
  <c r="Q85" i="57"/>
  <c r="I57" i="57" l="1"/>
  <c r="H118" i="57" l="1"/>
  <c r="Q18" i="57"/>
  <c r="H57" i="57"/>
  <c r="Q73" i="57" l="1"/>
  <c r="J118" i="107" s="1"/>
  <c r="H126" i="57"/>
  <c r="J122" i="60" l="1"/>
  <c r="G57" i="57" l="1"/>
  <c r="Z35" i="54" l="1"/>
  <c r="Z48" i="54"/>
  <c r="Z22" i="54"/>
  <c r="T55" i="71"/>
  <c r="V86" i="85"/>
  <c r="T55" i="84"/>
  <c r="T12" i="77"/>
  <c r="R57" i="57" l="1"/>
  <c r="G126" i="57"/>
  <c r="J122" i="105"/>
  <c r="H4" i="105"/>
  <c r="J122" i="104"/>
  <c r="H4" i="104"/>
  <c r="J122" i="103"/>
  <c r="H4" i="103"/>
  <c r="C50" i="103"/>
  <c r="J122" i="102"/>
  <c r="H4" i="102"/>
  <c r="J122" i="101"/>
  <c r="H4" i="101"/>
  <c r="J122" i="100"/>
  <c r="H4" i="100"/>
  <c r="J122" i="99"/>
  <c r="H4" i="99"/>
  <c r="J122" i="98"/>
  <c r="H4" i="98"/>
  <c r="J122" i="96"/>
  <c r="H4" i="96"/>
  <c r="J122" i="95"/>
  <c r="H4" i="95"/>
  <c r="J122" i="94"/>
  <c r="H4" i="94"/>
  <c r="J122" i="93"/>
  <c r="H4" i="93"/>
  <c r="J122" i="92"/>
  <c r="H4" i="92"/>
  <c r="J122" i="91"/>
  <c r="H4" i="91"/>
  <c r="J122" i="90" a="1"/>
  <c r="J122" i="90" s="1"/>
  <c r="H4" i="90"/>
  <c r="J122" i="89"/>
  <c r="H4" i="89"/>
  <c r="J122" i="88"/>
  <c r="H4" i="88"/>
  <c r="J122" i="87"/>
  <c r="H4" i="87"/>
  <c r="J122" i="86"/>
  <c r="H4" i="86"/>
  <c r="J122" i="85"/>
  <c r="H4" i="85"/>
  <c r="J122" i="83"/>
  <c r="H4" i="83"/>
  <c r="H4" i="82"/>
  <c r="J122" i="82"/>
  <c r="J122" i="81"/>
  <c r="H4" i="81"/>
  <c r="J122" i="80"/>
  <c r="H4" i="80"/>
  <c r="J122" i="79"/>
  <c r="H4" i="79"/>
  <c r="H4" i="78"/>
  <c r="J122" i="78"/>
  <c r="J122" i="77"/>
  <c r="H4" i="77"/>
  <c r="J122" i="76"/>
  <c r="H4" i="76"/>
  <c r="J122" i="75"/>
  <c r="H4" i="75"/>
  <c r="J122" i="74"/>
  <c r="H4" i="74"/>
  <c r="J122" i="73"/>
  <c r="H4" i="73"/>
  <c r="J122" i="72"/>
  <c r="H4" i="72"/>
  <c r="H4" i="71"/>
  <c r="J122" i="70"/>
  <c r="H4" i="70"/>
  <c r="J122" i="69"/>
  <c r="H4" i="69"/>
  <c r="J122" i="108"/>
  <c r="H4" i="108"/>
  <c r="J122" i="68"/>
  <c r="H4" i="68"/>
  <c r="J122" i="67"/>
  <c r="H4" i="67"/>
  <c r="J122" i="66"/>
  <c r="H4" i="66"/>
  <c r="J122" i="65"/>
  <c r="H4" i="65"/>
  <c r="J122" i="64"/>
  <c r="H4" i="64"/>
  <c r="J122" i="63"/>
  <c r="H4" i="63"/>
  <c r="J122" i="62"/>
  <c r="H4" i="62"/>
  <c r="J122" i="61"/>
  <c r="H4" i="61"/>
  <c r="H4" i="60"/>
  <c r="J122" i="59"/>
  <c r="H4" i="59"/>
  <c r="H4" i="58"/>
  <c r="J122" i="107"/>
  <c r="H4" i="107"/>
  <c r="V19" i="54"/>
  <c r="U19" i="54"/>
  <c r="D141" i="106"/>
  <c r="D8" i="106"/>
  <c r="V7" i="54"/>
  <c r="U7" i="54"/>
  <c r="X103" i="108"/>
  <c r="I103" i="108"/>
  <c r="X102" i="108"/>
  <c r="X104" i="108" s="1"/>
  <c r="Y104" i="108" s="1"/>
  <c r="V102" i="108"/>
  <c r="V103" i="108" s="1"/>
  <c r="I102" i="108"/>
  <c r="I104" i="108" s="1"/>
  <c r="J104" i="108" s="1"/>
  <c r="G102" i="108"/>
  <c r="G103" i="108" s="1"/>
  <c r="J98" i="108"/>
  <c r="E98" i="108"/>
  <c r="T97" i="108"/>
  <c r="J97" i="108"/>
  <c r="E97" i="108"/>
  <c r="T96" i="108"/>
  <c r="T92" i="108"/>
  <c r="G92" i="108"/>
  <c r="V92" i="108" s="1"/>
  <c r="T91" i="108"/>
  <c r="G91" i="108"/>
  <c r="V91" i="108" s="1"/>
  <c r="T90" i="108"/>
  <c r="G90" i="108"/>
  <c r="V90" i="108" s="1"/>
  <c r="V85" i="108"/>
  <c r="V83" i="108"/>
  <c r="I84" i="108"/>
  <c r="J81" i="108"/>
  <c r="Y80" i="108"/>
  <c r="V71" i="108"/>
  <c r="V70" i="108"/>
  <c r="V67" i="108"/>
  <c r="X64" i="108"/>
  <c r="X61" i="108"/>
  <c r="X58" i="108"/>
  <c r="X55" i="108"/>
  <c r="X52" i="108"/>
  <c r="T50" i="108"/>
  <c r="D50" i="108"/>
  <c r="C50" i="108"/>
  <c r="I49" i="108"/>
  <c r="X49" i="108" s="1"/>
  <c r="Y49" i="108" s="1"/>
  <c r="E49" i="108"/>
  <c r="I48" i="108"/>
  <c r="X48" i="108" s="1"/>
  <c r="Y48" i="108" s="1"/>
  <c r="E48" i="108"/>
  <c r="I47" i="108"/>
  <c r="X47" i="108" s="1"/>
  <c r="Y47" i="108" s="1"/>
  <c r="E47" i="108"/>
  <c r="I46" i="108"/>
  <c r="E46" i="108"/>
  <c r="I45" i="108"/>
  <c r="X45" i="108" s="1"/>
  <c r="Y45" i="108" s="1"/>
  <c r="E45" i="108"/>
  <c r="I44" i="108"/>
  <c r="X44" i="108" s="1"/>
  <c r="Y44" i="108" s="1"/>
  <c r="E44" i="108"/>
  <c r="I43" i="108"/>
  <c r="X43" i="108" s="1"/>
  <c r="Y43" i="108" s="1"/>
  <c r="E43" i="108"/>
  <c r="I42" i="108"/>
  <c r="E42" i="108"/>
  <c r="I41" i="108"/>
  <c r="X41" i="108" s="1"/>
  <c r="Y41" i="108" s="1"/>
  <c r="E41" i="108"/>
  <c r="Y37" i="108"/>
  <c r="J37" i="108"/>
  <c r="Y36" i="108"/>
  <c r="Y38" i="108" s="1"/>
  <c r="J36" i="108"/>
  <c r="J38" i="108" s="1"/>
  <c r="G32" i="108"/>
  <c r="T31" i="108"/>
  <c r="V32" i="108" s="1"/>
  <c r="D28" i="108"/>
  <c r="E23" i="108" s="1"/>
  <c r="C28" i="108"/>
  <c r="I7" i="108"/>
  <c r="T6" i="108"/>
  <c r="I6" i="108"/>
  <c r="R2" i="108"/>
  <c r="X103" i="107"/>
  <c r="I103" i="107"/>
  <c r="I102" i="107"/>
  <c r="G102" i="107"/>
  <c r="G103" i="107" s="1"/>
  <c r="X97" i="107"/>
  <c r="Y97" i="107" s="1"/>
  <c r="E98" i="107"/>
  <c r="T97" i="107"/>
  <c r="T96" i="107"/>
  <c r="T92" i="107"/>
  <c r="G92" i="107"/>
  <c r="V92" i="107" s="1"/>
  <c r="T91" i="107"/>
  <c r="G91" i="107"/>
  <c r="V91" i="107" s="1"/>
  <c r="T90" i="107"/>
  <c r="G90" i="107"/>
  <c r="V90" i="107" s="1"/>
  <c r="V87" i="107"/>
  <c r="V86" i="107"/>
  <c r="V85" i="107"/>
  <c r="V83" i="107"/>
  <c r="Y81" i="107"/>
  <c r="X83" i="107" s="1"/>
  <c r="J81" i="107"/>
  <c r="Y80" i="107"/>
  <c r="V71" i="107"/>
  <c r="V67" i="107"/>
  <c r="X64" i="107"/>
  <c r="X61" i="107"/>
  <c r="X58" i="107"/>
  <c r="X55" i="107"/>
  <c r="X52" i="107"/>
  <c r="T50" i="107"/>
  <c r="D50" i="107"/>
  <c r="C50" i="107"/>
  <c r="I49" i="107"/>
  <c r="X49" i="107" s="1"/>
  <c r="Y49" i="107" s="1"/>
  <c r="E49" i="107"/>
  <c r="I48" i="107"/>
  <c r="X48" i="107" s="1"/>
  <c r="Y48" i="107" s="1"/>
  <c r="E48" i="107"/>
  <c r="I47" i="107"/>
  <c r="X47" i="107" s="1"/>
  <c r="Y47" i="107" s="1"/>
  <c r="E47" i="107"/>
  <c r="I46" i="107"/>
  <c r="X46" i="107" s="1"/>
  <c r="Y46" i="107" s="1"/>
  <c r="E46" i="107"/>
  <c r="I45" i="107"/>
  <c r="X45" i="107" s="1"/>
  <c r="Y45" i="107" s="1"/>
  <c r="E45" i="107"/>
  <c r="I44" i="107"/>
  <c r="X44" i="107" s="1"/>
  <c r="Y44" i="107" s="1"/>
  <c r="E44" i="107"/>
  <c r="I43" i="107"/>
  <c r="X43" i="107" s="1"/>
  <c r="Y43" i="107" s="1"/>
  <c r="E43" i="107"/>
  <c r="I42" i="107"/>
  <c r="X42" i="107" s="1"/>
  <c r="Y42" i="107" s="1"/>
  <c r="E42" i="107"/>
  <c r="I41" i="107"/>
  <c r="X41" i="107" s="1"/>
  <c r="Y41" i="107" s="1"/>
  <c r="E41" i="107"/>
  <c r="Y37" i="107"/>
  <c r="J37" i="107"/>
  <c r="Y36" i="107"/>
  <c r="J36" i="107"/>
  <c r="G32" i="107"/>
  <c r="T31" i="107"/>
  <c r="V32" i="107" s="1"/>
  <c r="D28" i="107"/>
  <c r="E24" i="107" s="1"/>
  <c r="C28" i="107"/>
  <c r="I7" i="107"/>
  <c r="T6" i="107"/>
  <c r="I6" i="107"/>
  <c r="D90" i="107" s="1"/>
  <c r="R2" i="107"/>
  <c r="J81" i="105"/>
  <c r="J81" i="104"/>
  <c r="J81" i="103"/>
  <c r="J81" i="89"/>
  <c r="J81" i="88"/>
  <c r="J81" i="85"/>
  <c r="J81" i="82"/>
  <c r="J81" i="81"/>
  <c r="J81" i="79"/>
  <c r="J81" i="77"/>
  <c r="J37" i="76"/>
  <c r="J81" i="74"/>
  <c r="J97" i="107" l="1"/>
  <c r="J46" i="108"/>
  <c r="J42" i="108"/>
  <c r="E21" i="108"/>
  <c r="T21" i="108" s="1"/>
  <c r="X21" i="108" s="1"/>
  <c r="Y21" i="108" s="1"/>
  <c r="E20" i="108"/>
  <c r="I20" i="108" s="1"/>
  <c r="J20" i="108" s="1"/>
  <c r="E27" i="108"/>
  <c r="I27" i="108" s="1"/>
  <c r="J27" i="108" s="1"/>
  <c r="E14" i="108"/>
  <c r="I14" i="108" s="1"/>
  <c r="J14" i="108" s="1"/>
  <c r="E17" i="108"/>
  <c r="I17" i="108" s="1"/>
  <c r="J17" i="108" s="1"/>
  <c r="E12" i="108"/>
  <c r="T12" i="108" s="1"/>
  <c r="X12" i="108" s="1"/>
  <c r="E18" i="108"/>
  <c r="T18" i="108" s="1"/>
  <c r="X18" i="108" s="1"/>
  <c r="Y18" i="108" s="1"/>
  <c r="E22" i="108"/>
  <c r="T22" i="108" s="1"/>
  <c r="X22" i="108" s="1"/>
  <c r="Y22" i="108" s="1"/>
  <c r="E24" i="108"/>
  <c r="I24" i="108" s="1"/>
  <c r="J24" i="108" s="1"/>
  <c r="E19" i="108"/>
  <c r="T19" i="108" s="1"/>
  <c r="X19" i="108" s="1"/>
  <c r="Y19" i="108" s="1"/>
  <c r="J31" i="108"/>
  <c r="Y31" i="108" s="1"/>
  <c r="Y32" i="108" s="1"/>
  <c r="X97" i="108"/>
  <c r="Y97" i="108" s="1"/>
  <c r="X46" i="108"/>
  <c r="Y46" i="108" s="1"/>
  <c r="J49" i="107"/>
  <c r="X96" i="107"/>
  <c r="Y96" i="107" s="1"/>
  <c r="J47" i="107"/>
  <c r="X96" i="108"/>
  <c r="Y96" i="108" s="1"/>
  <c r="J41" i="107"/>
  <c r="J45" i="107"/>
  <c r="J44" i="108"/>
  <c r="J48" i="107"/>
  <c r="J48" i="108"/>
  <c r="J47" i="108"/>
  <c r="J41" i="108"/>
  <c r="X42" i="108"/>
  <c r="Y42" i="108" s="1"/>
  <c r="J43" i="108"/>
  <c r="J102" i="108"/>
  <c r="J43" i="107"/>
  <c r="J44" i="107"/>
  <c r="D90" i="108"/>
  <c r="J45" i="108"/>
  <c r="J49" i="108"/>
  <c r="J46" i="107"/>
  <c r="D92" i="107"/>
  <c r="J42" i="107"/>
  <c r="I84" i="107"/>
  <c r="J84" i="107" s="1"/>
  <c r="J102" i="107"/>
  <c r="D92" i="108"/>
  <c r="E50" i="108"/>
  <c r="E15" i="107"/>
  <c r="I15" i="107" s="1"/>
  <c r="J15" i="107" s="1"/>
  <c r="E17" i="107"/>
  <c r="T17" i="107" s="1"/>
  <c r="X17" i="107" s="1"/>
  <c r="Y17" i="107" s="1"/>
  <c r="E21" i="107"/>
  <c r="I21" i="107" s="1"/>
  <c r="J21" i="107" s="1"/>
  <c r="J84" i="108"/>
  <c r="I23" i="108"/>
  <c r="J23" i="108" s="1"/>
  <c r="T23" i="108"/>
  <c r="X23" i="108" s="1"/>
  <c r="Y23" i="108" s="1"/>
  <c r="Y103" i="108"/>
  <c r="Y102" i="108"/>
  <c r="J103" i="108"/>
  <c r="Y81" i="108"/>
  <c r="X83" i="108" s="1"/>
  <c r="Y83" i="108" s="1"/>
  <c r="T14" i="108"/>
  <c r="X14" i="108" s="1"/>
  <c r="T24" i="108"/>
  <c r="X24" i="108" s="1"/>
  <c r="Y24" i="108" s="1"/>
  <c r="E15" i="108"/>
  <c r="E25" i="108"/>
  <c r="V87" i="108"/>
  <c r="T17" i="108"/>
  <c r="X17" i="108" s="1"/>
  <c r="Y17" i="108" s="1"/>
  <c r="T27" i="108"/>
  <c r="X27" i="108" s="1"/>
  <c r="Y27" i="108" s="1"/>
  <c r="V86" i="108"/>
  <c r="T20" i="108"/>
  <c r="X20" i="108" s="1"/>
  <c r="Y20" i="108" s="1"/>
  <c r="D91" i="108"/>
  <c r="E16" i="108"/>
  <c r="E26" i="108"/>
  <c r="E13" i="108"/>
  <c r="Y50" i="107"/>
  <c r="Y83" i="107"/>
  <c r="I24" i="107"/>
  <c r="J24" i="107" s="1"/>
  <c r="T24" i="107"/>
  <c r="X24" i="107" s="1"/>
  <c r="Y24" i="107" s="1"/>
  <c r="T21" i="107"/>
  <c r="X21" i="107" s="1"/>
  <c r="Y21" i="107" s="1"/>
  <c r="X102" i="107"/>
  <c r="V102" i="107"/>
  <c r="V103" i="107" s="1"/>
  <c r="Y103" i="107" s="1"/>
  <c r="J103" i="107"/>
  <c r="E20" i="107"/>
  <c r="E50" i="107"/>
  <c r="E25" i="107"/>
  <c r="E14" i="107"/>
  <c r="J38" i="107"/>
  <c r="J98" i="107"/>
  <c r="T15" i="107"/>
  <c r="X15" i="107" s="1"/>
  <c r="Y15" i="107" s="1"/>
  <c r="V70" i="107"/>
  <c r="I104" i="107"/>
  <c r="J104" i="107" s="1"/>
  <c r="J31" i="107"/>
  <c r="D91" i="107"/>
  <c r="Y38" i="107"/>
  <c r="E19" i="107"/>
  <c r="E23" i="107"/>
  <c r="E13" i="107"/>
  <c r="E26" i="107"/>
  <c r="E16" i="107"/>
  <c r="E22" i="107"/>
  <c r="E12" i="107"/>
  <c r="E18" i="107"/>
  <c r="E27" i="107"/>
  <c r="I12" i="108" l="1"/>
  <c r="I18" i="108"/>
  <c r="J18" i="108" s="1"/>
  <c r="I21" i="108"/>
  <c r="J21" i="108" s="1"/>
  <c r="I19" i="108"/>
  <c r="J19" i="108" s="1"/>
  <c r="I22" i="108"/>
  <c r="J22" i="108" s="1"/>
  <c r="I17" i="107"/>
  <c r="J17" i="107" s="1"/>
  <c r="Y50" i="108"/>
  <c r="J32" i="108"/>
  <c r="J105" i="107"/>
  <c r="J50" i="108"/>
  <c r="J50" i="107"/>
  <c r="J105" i="108"/>
  <c r="Y105" i="108"/>
  <c r="E28" i="108"/>
  <c r="J12" i="108"/>
  <c r="I25" i="108"/>
  <c r="J25" i="108" s="1"/>
  <c r="T25" i="108"/>
  <c r="X25" i="108" s="1"/>
  <c r="Y25" i="108" s="1"/>
  <c r="I15" i="108"/>
  <c r="T15" i="108"/>
  <c r="X15" i="108" s="1"/>
  <c r="Y15" i="108" s="1"/>
  <c r="Y14" i="108"/>
  <c r="I13" i="108"/>
  <c r="J13" i="108" s="1"/>
  <c r="T13" i="108"/>
  <c r="T26" i="108"/>
  <c r="X26" i="108" s="1"/>
  <c r="Y26" i="108" s="1"/>
  <c r="I26" i="108"/>
  <c r="J26" i="108" s="1"/>
  <c r="T16" i="108"/>
  <c r="X16" i="108" s="1"/>
  <c r="I16" i="108"/>
  <c r="Y12" i="108"/>
  <c r="Y31" i="107"/>
  <c r="Y32" i="107" s="1"/>
  <c r="J32" i="107"/>
  <c r="Y102" i="107"/>
  <c r="X104" i="107"/>
  <c r="Y104" i="107" s="1"/>
  <c r="T27" i="107"/>
  <c r="X27" i="107" s="1"/>
  <c r="Y27" i="107" s="1"/>
  <c r="I27" i="107"/>
  <c r="J27" i="107" s="1"/>
  <c r="T18" i="107"/>
  <c r="X18" i="107" s="1"/>
  <c r="Y18" i="107" s="1"/>
  <c r="I18" i="107"/>
  <c r="J18" i="107" s="1"/>
  <c r="I14" i="107"/>
  <c r="T14" i="107"/>
  <c r="X14" i="107" s="1"/>
  <c r="T12" i="107"/>
  <c r="I12" i="107"/>
  <c r="E28" i="107"/>
  <c r="O7" i="54" s="1" a="1"/>
  <c r="O7" i="54" s="1"/>
  <c r="T25" i="107"/>
  <c r="X25" i="107" s="1"/>
  <c r="Y25" i="107" s="1"/>
  <c r="I25" i="107"/>
  <c r="J25" i="107" s="1"/>
  <c r="T22" i="107"/>
  <c r="X22" i="107" s="1"/>
  <c r="Y22" i="107" s="1"/>
  <c r="I22" i="107"/>
  <c r="J22" i="107" s="1"/>
  <c r="T16" i="107"/>
  <c r="X16" i="107" s="1"/>
  <c r="I16" i="107"/>
  <c r="T26" i="107"/>
  <c r="X26" i="107" s="1"/>
  <c r="Y26" i="107" s="1"/>
  <c r="I26" i="107"/>
  <c r="J26" i="107" s="1"/>
  <c r="T20" i="107"/>
  <c r="X20" i="107" s="1"/>
  <c r="Y20" i="107" s="1"/>
  <c r="I20" i="107"/>
  <c r="J20" i="107" s="1"/>
  <c r="I19" i="107"/>
  <c r="J19" i="107" s="1"/>
  <c r="T19" i="107"/>
  <c r="X19" i="107" s="1"/>
  <c r="Y19" i="107" s="1"/>
  <c r="I13" i="107"/>
  <c r="J13" i="107" s="1"/>
  <c r="T13" i="107"/>
  <c r="X13" i="107" s="1"/>
  <c r="Y13" i="107" s="1"/>
  <c r="I23" i="107"/>
  <c r="J23" i="107" s="1"/>
  <c r="T23" i="107"/>
  <c r="X23" i="107" s="1"/>
  <c r="Y23" i="107" s="1"/>
  <c r="B2" i="106"/>
  <c r="D469" i="106"/>
  <c r="D460" i="106"/>
  <c r="D450" i="106"/>
  <c r="D442" i="106"/>
  <c r="D433" i="106"/>
  <c r="D423" i="106"/>
  <c r="D413" i="106"/>
  <c r="D404" i="106"/>
  <c r="G397" i="106"/>
  <c r="D397" i="106"/>
  <c r="D388" i="106"/>
  <c r="D379" i="106"/>
  <c r="D372" i="106"/>
  <c r="D361" i="106"/>
  <c r="D351" i="106"/>
  <c r="D341" i="106"/>
  <c r="D332" i="106"/>
  <c r="D323" i="106"/>
  <c r="D315" i="106"/>
  <c r="D305" i="106"/>
  <c r="D296" i="106"/>
  <c r="D288" i="106"/>
  <c r="D280" i="106"/>
  <c r="D270" i="106"/>
  <c r="D260" i="106"/>
  <c r="D251" i="106"/>
  <c r="D241" i="106"/>
  <c r="D230" i="106"/>
  <c r="D222" i="106"/>
  <c r="D211" i="106"/>
  <c r="D203" i="106"/>
  <c r="D196" i="106"/>
  <c r="D188" i="106"/>
  <c r="D179" i="106"/>
  <c r="D169" i="106"/>
  <c r="D160" i="106"/>
  <c r="D151" i="106"/>
  <c r="A196" i="106"/>
  <c r="A203" i="106" s="1"/>
  <c r="A211" i="106" s="1"/>
  <c r="A222" i="106" s="1"/>
  <c r="A230" i="106" s="1"/>
  <c r="A241" i="106" s="1"/>
  <c r="A251" i="106" s="1"/>
  <c r="A260" i="106" s="1"/>
  <c r="A270" i="106" s="1"/>
  <c r="A280" i="106" s="1"/>
  <c r="A288" i="106" s="1"/>
  <c r="A296" i="106" s="1"/>
  <c r="A305" i="106" s="1"/>
  <c r="A315" i="106" s="1"/>
  <c r="A323" i="106" s="1"/>
  <c r="A332" i="106" s="1"/>
  <c r="A341" i="106" s="1"/>
  <c r="A351" i="106" s="1"/>
  <c r="A361" i="106" s="1"/>
  <c r="A372" i="106" s="1"/>
  <c r="A379" i="106" s="1"/>
  <c r="A388" i="106" s="1"/>
  <c r="A397" i="106" s="1"/>
  <c r="A404" i="106" s="1"/>
  <c r="A413" i="106" s="1"/>
  <c r="A423" i="106" s="1"/>
  <c r="A433" i="106" s="1"/>
  <c r="A442" i="106" s="1"/>
  <c r="A450" i="106" s="1"/>
  <c r="A460" i="106" s="1"/>
  <c r="A469" i="106" s="1"/>
  <c r="D142" i="106"/>
  <c r="D134" i="106"/>
  <c r="D126" i="106"/>
  <c r="D117" i="106"/>
  <c r="D106" i="106"/>
  <c r="D96" i="106"/>
  <c r="D88" i="106"/>
  <c r="D76" i="106"/>
  <c r="D69" i="106"/>
  <c r="L58" i="106"/>
  <c r="D53" i="106"/>
  <c r="A53" i="106"/>
  <c r="A69" i="106" s="1"/>
  <c r="A76" i="106" s="1"/>
  <c r="A88" i="106" s="1"/>
  <c r="A96" i="106" s="1"/>
  <c r="A106" i="106" s="1"/>
  <c r="A117" i="106" s="1"/>
  <c r="A126" i="106" s="1"/>
  <c r="A134" i="106" s="1"/>
  <c r="D10" i="106"/>
  <c r="F499" i="106" l="1"/>
  <c r="G499" i="106" s="1"/>
  <c r="C62" i="108"/>
  <c r="I63" i="108" s="1"/>
  <c r="I68" i="108" s="1"/>
  <c r="J68" i="108" s="1"/>
  <c r="O19" i="54" a="1"/>
  <c r="O19" i="54" s="1"/>
  <c r="C53" i="108"/>
  <c r="I54" i="108" s="1"/>
  <c r="I70" i="108" s="1"/>
  <c r="C65" i="108"/>
  <c r="I66" i="108" s="1"/>
  <c r="I71" i="108" s="1"/>
  <c r="J71" i="108" s="1"/>
  <c r="C59" i="108"/>
  <c r="I60" i="108" s="1"/>
  <c r="I72" i="108" s="1"/>
  <c r="J72" i="108" s="1"/>
  <c r="S91" i="108"/>
  <c r="X91" i="108" s="1"/>
  <c r="Y105" i="107"/>
  <c r="X13" i="108"/>
  <c r="T28" i="108"/>
  <c r="I28" i="108"/>
  <c r="G33" i="108" s="1"/>
  <c r="J15" i="108"/>
  <c r="B91" i="108"/>
  <c r="I91" i="108" s="1"/>
  <c r="J16" i="108"/>
  <c r="B92" i="108"/>
  <c r="I92" i="108" s="1"/>
  <c r="B90" i="108"/>
  <c r="Y16" i="108"/>
  <c r="S92" i="108"/>
  <c r="X92" i="108" s="1"/>
  <c r="Y16" i="107"/>
  <c r="S92" i="107"/>
  <c r="X92" i="107" s="1"/>
  <c r="C59" i="107"/>
  <c r="I60" i="107" s="1"/>
  <c r="I72" i="107" s="1"/>
  <c r="J72" i="107" s="1"/>
  <c r="C65" i="107"/>
  <c r="I66" i="107" s="1"/>
  <c r="I71" i="107" s="1"/>
  <c r="J71" i="107" s="1"/>
  <c r="C62" i="107"/>
  <c r="I63" i="107" s="1"/>
  <c r="I68" i="107" s="1"/>
  <c r="J68" i="107" s="1"/>
  <c r="C53" i="107"/>
  <c r="I54" i="107" s="1"/>
  <c r="J12" i="107"/>
  <c r="I28" i="107"/>
  <c r="G33" i="107" s="1"/>
  <c r="C56" i="107" s="1"/>
  <c r="B90" i="107"/>
  <c r="X12" i="107"/>
  <c r="T28" i="107"/>
  <c r="S91" i="107"/>
  <c r="X91" i="107" s="1"/>
  <c r="Y14" i="107"/>
  <c r="B91" i="107"/>
  <c r="I91" i="107" s="1"/>
  <c r="J14" i="107"/>
  <c r="J16" i="107"/>
  <c r="B92" i="107"/>
  <c r="I92" i="107" s="1"/>
  <c r="F507" i="106"/>
  <c r="G507" i="106" s="1"/>
  <c r="F491" i="106"/>
  <c r="G491" i="106" s="1"/>
  <c r="F493" i="106"/>
  <c r="G493" i="106" s="1"/>
  <c r="F503" i="106"/>
  <c r="G503" i="106" s="1"/>
  <c r="F505" i="106"/>
  <c r="G505" i="106" s="1"/>
  <c r="G487" i="106"/>
  <c r="F488" i="106"/>
  <c r="G488" i="106" s="1"/>
  <c r="F490" i="106"/>
  <c r="G490" i="106" s="1"/>
  <c r="F492" i="106"/>
  <c r="G492" i="106" s="1"/>
  <c r="F494" i="106"/>
  <c r="G494" i="106" s="1"/>
  <c r="F496" i="106"/>
  <c r="G496" i="106" s="1"/>
  <c r="F498" i="106"/>
  <c r="G498" i="106" s="1"/>
  <c r="F500" i="106"/>
  <c r="G500" i="106" s="1"/>
  <c r="F502" i="106"/>
  <c r="G502" i="106" s="1"/>
  <c r="F504" i="106"/>
  <c r="G504" i="106" s="1"/>
  <c r="F506" i="106"/>
  <c r="G506" i="106" s="1"/>
  <c r="F508" i="106"/>
  <c r="G508" i="106" s="1"/>
  <c r="F489" i="106"/>
  <c r="G489" i="106" s="1"/>
  <c r="F495" i="106"/>
  <c r="G495" i="106" s="1"/>
  <c r="F497" i="106"/>
  <c r="G497" i="106" s="1"/>
  <c r="F501" i="106"/>
  <c r="G501" i="106" s="1"/>
  <c r="I57" i="107" l="1"/>
  <c r="I85" i="107" s="1"/>
  <c r="J85" i="107" s="1"/>
  <c r="T55" i="107"/>
  <c r="J28" i="107"/>
  <c r="J33" i="107" s="1"/>
  <c r="J28" i="108"/>
  <c r="J33" i="108" s="1"/>
  <c r="I87" i="108"/>
  <c r="J87" i="108" s="1"/>
  <c r="C56" i="108"/>
  <c r="X56" i="108" s="1"/>
  <c r="X85" i="108" s="1"/>
  <c r="T64" i="108"/>
  <c r="X65" i="108" s="1"/>
  <c r="X70" i="108" s="1"/>
  <c r="Y70" i="108" s="1"/>
  <c r="T52" i="108"/>
  <c r="X53" i="108" s="1"/>
  <c r="T58" i="108"/>
  <c r="X59" i="108" s="1"/>
  <c r="X71" i="108" s="1"/>
  <c r="Y71" i="108" s="1"/>
  <c r="T61" i="108"/>
  <c r="X62" i="108" s="1"/>
  <c r="X67" i="108" s="1"/>
  <c r="Y67" i="108" s="1"/>
  <c r="B93" i="108"/>
  <c r="I90" i="108"/>
  <c r="J93" i="108" s="1"/>
  <c r="Y13" i="108"/>
  <c r="Y28" i="108" s="1"/>
  <c r="Y33" i="108" s="1"/>
  <c r="X28" i="108"/>
  <c r="V33" i="108" s="1"/>
  <c r="S90" i="108"/>
  <c r="T58" i="107"/>
  <c r="X59" i="107" s="1"/>
  <c r="X71" i="107" s="1"/>
  <c r="Y71" i="107" s="1"/>
  <c r="T52" i="107"/>
  <c r="X53" i="107" s="1"/>
  <c r="T61" i="107"/>
  <c r="X62" i="107" s="1"/>
  <c r="X67" i="107" s="1"/>
  <c r="Y67" i="107" s="1"/>
  <c r="T64" i="107"/>
  <c r="X65" i="107" s="1"/>
  <c r="X70" i="107" s="1"/>
  <c r="Y70" i="107" s="1"/>
  <c r="X28" i="107"/>
  <c r="V33" i="107" s="1"/>
  <c r="Y12" i="107"/>
  <c r="Y28" i="107" s="1"/>
  <c r="Y33" i="107" s="1"/>
  <c r="S90" i="107"/>
  <c r="B93" i="107"/>
  <c r="I90" i="107"/>
  <c r="J93" i="107" s="1"/>
  <c r="I87" i="107"/>
  <c r="J87" i="107" s="1"/>
  <c r="I70" i="107"/>
  <c r="F510" i="106"/>
  <c r="F512" i="106" s="1"/>
  <c r="I86" i="107" l="1"/>
  <c r="J86" i="107" s="1"/>
  <c r="X56" i="107"/>
  <c r="X85" i="107" s="1"/>
  <c r="Y85" i="107" s="1"/>
  <c r="I57" i="108"/>
  <c r="X90" i="108"/>
  <c r="Y93" i="108" s="1"/>
  <c r="S93" i="108"/>
  <c r="X86" i="108"/>
  <c r="Y86" i="108" s="1"/>
  <c r="Y85" i="108"/>
  <c r="X87" i="108"/>
  <c r="Y87" i="108" s="1"/>
  <c r="X69" i="108"/>
  <c r="X90" i="107"/>
  <c r="Y93" i="107" s="1"/>
  <c r="S93" i="107"/>
  <c r="X69" i="107"/>
  <c r="X87" i="107"/>
  <c r="Y87" i="107" s="1"/>
  <c r="D57" i="57"/>
  <c r="J60" i="57" s="1"/>
  <c r="J61" i="57" s="1"/>
  <c r="I157" i="56"/>
  <c r="E120" i="56"/>
  <c r="E119" i="56"/>
  <c r="E118" i="56"/>
  <c r="D121" i="56"/>
  <c r="D120" i="56"/>
  <c r="D119" i="56"/>
  <c r="J102" i="56"/>
  <c r="J101" i="56"/>
  <c r="J100" i="56"/>
  <c r="J99" i="56"/>
  <c r="J98" i="56"/>
  <c r="J97" i="56"/>
  <c r="I89" i="56"/>
  <c r="D128" i="56"/>
  <c r="C128" i="56"/>
  <c r="D127" i="56"/>
  <c r="C127" i="56"/>
  <c r="J104" i="56"/>
  <c r="Y103" i="56" s="1"/>
  <c r="X105" i="56" s="1"/>
  <c r="Y102" i="56"/>
  <c r="D67" i="56"/>
  <c r="D66" i="56"/>
  <c r="D65" i="56"/>
  <c r="D64" i="56"/>
  <c r="D63" i="56"/>
  <c r="D62" i="56"/>
  <c r="D61" i="56"/>
  <c r="D60" i="56"/>
  <c r="D59" i="56"/>
  <c r="C67" i="56"/>
  <c r="C66" i="56"/>
  <c r="C65" i="56"/>
  <c r="C64" i="56"/>
  <c r="C63" i="56"/>
  <c r="C62" i="56"/>
  <c r="C61" i="56"/>
  <c r="C60" i="56"/>
  <c r="C59" i="56"/>
  <c r="D31" i="56"/>
  <c r="C31" i="56"/>
  <c r="C29" i="56"/>
  <c r="C28" i="56"/>
  <c r="C27" i="56"/>
  <c r="C26" i="56"/>
  <c r="C25" i="56"/>
  <c r="C24" i="56"/>
  <c r="F54" i="56"/>
  <c r="F53" i="56"/>
  <c r="K53" i="56" s="1"/>
  <c r="I32" i="56"/>
  <c r="F31" i="56"/>
  <c r="F29" i="56"/>
  <c r="F28" i="56"/>
  <c r="F27" i="56"/>
  <c r="F26" i="56"/>
  <c r="F25" i="56"/>
  <c r="F24" i="56"/>
  <c r="F23" i="56"/>
  <c r="F22" i="56"/>
  <c r="F21" i="56"/>
  <c r="F20" i="56"/>
  <c r="F19" i="56"/>
  <c r="F18" i="56"/>
  <c r="F17" i="56"/>
  <c r="F16" i="56"/>
  <c r="F15" i="56"/>
  <c r="F14" i="56"/>
  <c r="D29" i="56"/>
  <c r="D28" i="56"/>
  <c r="D27" i="56"/>
  <c r="D26" i="56"/>
  <c r="D25" i="56"/>
  <c r="D24" i="56"/>
  <c r="D23" i="56"/>
  <c r="D22" i="56"/>
  <c r="D21" i="56"/>
  <c r="D20" i="56"/>
  <c r="D19" i="56"/>
  <c r="D18" i="56"/>
  <c r="D17" i="56"/>
  <c r="D16" i="56"/>
  <c r="D15" i="56"/>
  <c r="D14" i="56"/>
  <c r="C23" i="56"/>
  <c r="C22" i="56"/>
  <c r="C21" i="56"/>
  <c r="C20" i="56"/>
  <c r="C19" i="56"/>
  <c r="C18" i="56"/>
  <c r="C17" i="56"/>
  <c r="C16" i="56"/>
  <c r="C15" i="56"/>
  <c r="C14" i="56"/>
  <c r="X86" i="107" l="1"/>
  <c r="Y86" i="107" s="1"/>
  <c r="I85" i="108"/>
  <c r="J85" i="108" s="1"/>
  <c r="I86" i="108"/>
  <c r="J86" i="108" s="1"/>
  <c r="J103" i="56"/>
  <c r="I106" i="56" s="1"/>
  <c r="C30" i="56"/>
  <c r="C32" i="56" s="1"/>
  <c r="J118" i="105" l="1"/>
  <c r="J118" i="104"/>
  <c r="J118" i="103"/>
  <c r="J118" i="102"/>
  <c r="J118" i="101"/>
  <c r="J118" i="100"/>
  <c r="J118" i="99"/>
  <c r="J118" i="98"/>
  <c r="J118" i="97"/>
  <c r="Q114" i="57"/>
  <c r="J118" i="96"/>
  <c r="J118" i="95"/>
  <c r="J118" i="94"/>
  <c r="J118" i="93"/>
  <c r="J118" i="92"/>
  <c r="J118" i="91"/>
  <c r="J118" i="90"/>
  <c r="J118" i="89"/>
  <c r="J118" i="88"/>
  <c r="J118" i="87"/>
  <c r="J118" i="86"/>
  <c r="J118" i="85"/>
  <c r="J118" i="84"/>
  <c r="J118" i="83"/>
  <c r="J118" i="82"/>
  <c r="J118" i="81"/>
  <c r="J118" i="80"/>
  <c r="J118" i="79"/>
  <c r="J118" i="78"/>
  <c r="J118" i="77"/>
  <c r="J118" i="76"/>
  <c r="J118" i="75"/>
  <c r="J118" i="74"/>
  <c r="J118" i="73"/>
  <c r="J118" i="72"/>
  <c r="J118" i="71"/>
  <c r="J118" i="70"/>
  <c r="J118" i="69"/>
  <c r="J118" i="68"/>
  <c r="J118" i="67"/>
  <c r="J118" i="66"/>
  <c r="J118" i="65"/>
  <c r="J118" i="64"/>
  <c r="J118" i="63"/>
  <c r="J118" i="62"/>
  <c r="J118" i="61"/>
  <c r="J118" i="60"/>
  <c r="J118" i="59"/>
  <c r="J118" i="58"/>
  <c r="F126" i="57"/>
  <c r="X103" i="105"/>
  <c r="I103" i="105"/>
  <c r="V102" i="105"/>
  <c r="V103" i="105" s="1"/>
  <c r="I102" i="105"/>
  <c r="I104" i="105" s="1"/>
  <c r="J104" i="105" s="1"/>
  <c r="G102" i="105"/>
  <c r="G103" i="105" s="1"/>
  <c r="X97" i="105"/>
  <c r="E98" i="105"/>
  <c r="T97" i="105"/>
  <c r="X96" i="105"/>
  <c r="Y96" i="105" s="1"/>
  <c r="E97" i="105"/>
  <c r="T96" i="105"/>
  <c r="T92" i="105"/>
  <c r="G92" i="105"/>
  <c r="V92" i="105" s="1"/>
  <c r="T91" i="105"/>
  <c r="G91" i="105"/>
  <c r="V91" i="105" s="1"/>
  <c r="T90" i="105"/>
  <c r="G90" i="105"/>
  <c r="V90" i="105" s="1"/>
  <c r="V87" i="105"/>
  <c r="V85" i="105"/>
  <c r="V83" i="105"/>
  <c r="Y81" i="105"/>
  <c r="X83" i="105" s="1"/>
  <c r="Y80" i="105"/>
  <c r="V71" i="105"/>
  <c r="V70" i="105"/>
  <c r="V67" i="105"/>
  <c r="X64" i="105"/>
  <c r="X61" i="105"/>
  <c r="X58" i="105"/>
  <c r="X55" i="105"/>
  <c r="X52" i="105"/>
  <c r="T50" i="105"/>
  <c r="D50" i="105"/>
  <c r="E47" i="105" s="1"/>
  <c r="C50" i="105"/>
  <c r="I49" i="105"/>
  <c r="X49" i="105" s="1"/>
  <c r="Y49" i="105" s="1"/>
  <c r="I48" i="105"/>
  <c r="X48" i="105" s="1"/>
  <c r="Y48" i="105" s="1"/>
  <c r="I47" i="105"/>
  <c r="X47" i="105" s="1"/>
  <c r="Y47" i="105" s="1"/>
  <c r="I46" i="105"/>
  <c r="X46" i="105" s="1"/>
  <c r="Y46" i="105" s="1"/>
  <c r="I45" i="105"/>
  <c r="X45" i="105" s="1"/>
  <c r="Y45" i="105" s="1"/>
  <c r="I44" i="105"/>
  <c r="X44" i="105" s="1"/>
  <c r="Y44" i="105" s="1"/>
  <c r="I43" i="105"/>
  <c r="X43" i="105" s="1"/>
  <c r="Y43" i="105" s="1"/>
  <c r="I42" i="105"/>
  <c r="X42" i="105" s="1"/>
  <c r="Y42" i="105" s="1"/>
  <c r="I41" i="105"/>
  <c r="X41" i="105" s="1"/>
  <c r="Y41" i="105" s="1"/>
  <c r="Y37" i="105"/>
  <c r="J37" i="105"/>
  <c r="Y36" i="105"/>
  <c r="Y38" i="105" s="1"/>
  <c r="J36" i="105"/>
  <c r="J38" i="105" s="1"/>
  <c r="G32" i="105"/>
  <c r="T31" i="105"/>
  <c r="V32" i="105" s="1"/>
  <c r="D28" i="105"/>
  <c r="E23" i="105" s="1"/>
  <c r="I23" i="105" s="1"/>
  <c r="C28" i="105"/>
  <c r="T27" i="105"/>
  <c r="X27" i="105" s="1"/>
  <c r="E27" i="105"/>
  <c r="I27" i="105" s="1"/>
  <c r="T26" i="105"/>
  <c r="X26" i="105" s="1"/>
  <c r="T25" i="105"/>
  <c r="X25" i="105" s="1"/>
  <c r="T24" i="105"/>
  <c r="X24" i="105" s="1"/>
  <c r="T23" i="105"/>
  <c r="X23" i="105" s="1"/>
  <c r="T22" i="105"/>
  <c r="X22" i="105" s="1"/>
  <c r="T21" i="105"/>
  <c r="X21" i="105" s="1"/>
  <c r="T20" i="105"/>
  <c r="X20" i="105" s="1"/>
  <c r="T19" i="105"/>
  <c r="X19" i="105" s="1"/>
  <c r="T18" i="105"/>
  <c r="X18" i="105" s="1"/>
  <c r="T17" i="105"/>
  <c r="X17" i="105" s="1"/>
  <c r="T16" i="105"/>
  <c r="X16" i="105" s="1"/>
  <c r="T15" i="105"/>
  <c r="X15" i="105" s="1"/>
  <c r="T14" i="105"/>
  <c r="X14" i="105" s="1"/>
  <c r="T13" i="105"/>
  <c r="T12" i="105"/>
  <c r="X12" i="105" s="1"/>
  <c r="I7" i="105"/>
  <c r="T6" i="105"/>
  <c r="I6" i="105"/>
  <c r="R2" i="105"/>
  <c r="X103" i="104"/>
  <c r="I103" i="104"/>
  <c r="X102" i="104"/>
  <c r="I102" i="104"/>
  <c r="I104" i="104" s="1"/>
  <c r="J104" i="104" s="1"/>
  <c r="G102" i="104"/>
  <c r="G103" i="104" s="1"/>
  <c r="X97" i="104"/>
  <c r="E98" i="104"/>
  <c r="T97" i="104"/>
  <c r="X96" i="104"/>
  <c r="E97" i="104"/>
  <c r="T96" i="104"/>
  <c r="T92" i="104"/>
  <c r="G92" i="104"/>
  <c r="V92" i="104" s="1"/>
  <c r="T91" i="104"/>
  <c r="G91" i="104"/>
  <c r="V91" i="104" s="1"/>
  <c r="T90" i="104"/>
  <c r="G90" i="104"/>
  <c r="V90" i="104" s="1"/>
  <c r="V86" i="104"/>
  <c r="V83" i="104"/>
  <c r="Y81" i="104"/>
  <c r="Y80" i="104"/>
  <c r="V70" i="104"/>
  <c r="V67" i="104"/>
  <c r="X64" i="104"/>
  <c r="X61" i="104"/>
  <c r="X58" i="104"/>
  <c r="X55" i="104"/>
  <c r="X52" i="104"/>
  <c r="T50" i="104"/>
  <c r="D50" i="104"/>
  <c r="E46" i="104" s="1"/>
  <c r="C50" i="104"/>
  <c r="I49" i="104"/>
  <c r="X49" i="104" s="1"/>
  <c r="Y49" i="104" s="1"/>
  <c r="I48" i="104"/>
  <c r="X48" i="104" s="1"/>
  <c r="Y48" i="104" s="1"/>
  <c r="I47" i="104"/>
  <c r="X47" i="104" s="1"/>
  <c r="Y47" i="104" s="1"/>
  <c r="I46" i="104"/>
  <c r="X46" i="104" s="1"/>
  <c r="Y46" i="104" s="1"/>
  <c r="I45" i="104"/>
  <c r="X45" i="104" s="1"/>
  <c r="Y45" i="104" s="1"/>
  <c r="I44" i="104"/>
  <c r="X44" i="104" s="1"/>
  <c r="Y44" i="104" s="1"/>
  <c r="I43" i="104"/>
  <c r="X43" i="104" s="1"/>
  <c r="Y43" i="104" s="1"/>
  <c r="I42" i="104"/>
  <c r="X42" i="104" s="1"/>
  <c r="Y42" i="104" s="1"/>
  <c r="I41" i="104"/>
  <c r="X41" i="104" s="1"/>
  <c r="Y41" i="104" s="1"/>
  <c r="Y37" i="104"/>
  <c r="J37" i="104"/>
  <c r="Y36" i="104"/>
  <c r="Y38" i="104" s="1"/>
  <c r="J36" i="104"/>
  <c r="J38" i="104" s="1"/>
  <c r="G32" i="104"/>
  <c r="T31" i="104"/>
  <c r="V32" i="104" s="1"/>
  <c r="D28" i="104"/>
  <c r="E23" i="104" s="1"/>
  <c r="I23" i="104" s="1"/>
  <c r="C28" i="104"/>
  <c r="T27" i="104"/>
  <c r="X27" i="104" s="1"/>
  <c r="T26" i="104"/>
  <c r="X26" i="104" s="1"/>
  <c r="T25" i="104"/>
  <c r="X25" i="104" s="1"/>
  <c r="T24" i="104"/>
  <c r="X24" i="104" s="1"/>
  <c r="T23" i="104"/>
  <c r="X23" i="104" s="1"/>
  <c r="T22" i="104"/>
  <c r="X22" i="104" s="1"/>
  <c r="T21" i="104"/>
  <c r="X21" i="104" s="1"/>
  <c r="T20" i="104"/>
  <c r="X20" i="104" s="1"/>
  <c r="T19" i="104"/>
  <c r="X19" i="104" s="1"/>
  <c r="T18" i="104"/>
  <c r="X18" i="104" s="1"/>
  <c r="T17" i="104"/>
  <c r="X17" i="104" s="1"/>
  <c r="T16" i="104"/>
  <c r="X16" i="104" s="1"/>
  <c r="T15" i="104"/>
  <c r="X15" i="104" s="1"/>
  <c r="T14" i="104"/>
  <c r="X14" i="104" s="1"/>
  <c r="T13" i="104"/>
  <c r="X13" i="104" s="1"/>
  <c r="T12" i="104"/>
  <c r="X12" i="104" s="1"/>
  <c r="I7" i="104"/>
  <c r="T6" i="104"/>
  <c r="I6" i="104"/>
  <c r="R2" i="104"/>
  <c r="X103" i="103"/>
  <c r="I103" i="103"/>
  <c r="X102" i="103"/>
  <c r="I102" i="103"/>
  <c r="G102" i="103"/>
  <c r="G103" i="103" s="1"/>
  <c r="J98" i="103"/>
  <c r="E98" i="103"/>
  <c r="T97" i="103"/>
  <c r="J97" i="103"/>
  <c r="E97" i="103"/>
  <c r="T96" i="103"/>
  <c r="T92" i="103"/>
  <c r="G92" i="103"/>
  <c r="V92" i="103" s="1"/>
  <c r="T91" i="103"/>
  <c r="G91" i="103"/>
  <c r="V91" i="103" s="1"/>
  <c r="T90" i="103"/>
  <c r="G90" i="103"/>
  <c r="V90" i="103" s="1"/>
  <c r="V87" i="103"/>
  <c r="V85" i="103"/>
  <c r="V83" i="103"/>
  <c r="Y81" i="103"/>
  <c r="X83" i="103" s="1"/>
  <c r="Y80" i="103"/>
  <c r="V71" i="103"/>
  <c r="V70" i="103"/>
  <c r="V67" i="103"/>
  <c r="X64" i="103"/>
  <c r="X61" i="103"/>
  <c r="X58" i="103"/>
  <c r="X55" i="103"/>
  <c r="X52" i="103"/>
  <c r="T50" i="103"/>
  <c r="D50" i="103"/>
  <c r="E46" i="103" s="1"/>
  <c r="I49" i="103"/>
  <c r="X49" i="103" s="1"/>
  <c r="Y49" i="103" s="1"/>
  <c r="I48" i="103"/>
  <c r="X48" i="103" s="1"/>
  <c r="Y48" i="103" s="1"/>
  <c r="I47" i="103"/>
  <c r="X47" i="103" s="1"/>
  <c r="Y47" i="103" s="1"/>
  <c r="I46" i="103"/>
  <c r="X46" i="103" s="1"/>
  <c r="Y46" i="103" s="1"/>
  <c r="I45" i="103"/>
  <c r="X45" i="103" s="1"/>
  <c r="Y45" i="103" s="1"/>
  <c r="I44" i="103"/>
  <c r="X44" i="103" s="1"/>
  <c r="Y44" i="103" s="1"/>
  <c r="I43" i="103"/>
  <c r="X43" i="103" s="1"/>
  <c r="Y43" i="103" s="1"/>
  <c r="I42" i="103"/>
  <c r="X42" i="103" s="1"/>
  <c r="Y42" i="103" s="1"/>
  <c r="I41" i="103"/>
  <c r="X41" i="103" s="1"/>
  <c r="Y41" i="103" s="1"/>
  <c r="Y37" i="103"/>
  <c r="J37" i="103"/>
  <c r="Y36" i="103"/>
  <c r="J36" i="103"/>
  <c r="J38" i="103" s="1"/>
  <c r="G32" i="103"/>
  <c r="T31" i="103"/>
  <c r="V32" i="103" s="1"/>
  <c r="D28" i="103"/>
  <c r="E23" i="103" s="1"/>
  <c r="I23" i="103" s="1"/>
  <c r="C28" i="103"/>
  <c r="T27" i="103"/>
  <c r="X27" i="103" s="1"/>
  <c r="T26" i="103"/>
  <c r="X26" i="103" s="1"/>
  <c r="T25" i="103"/>
  <c r="X25" i="103" s="1"/>
  <c r="T24" i="103"/>
  <c r="X24" i="103" s="1"/>
  <c r="T23" i="103"/>
  <c r="X23" i="103" s="1"/>
  <c r="T22" i="103"/>
  <c r="X22" i="103" s="1"/>
  <c r="T21" i="103"/>
  <c r="X21" i="103" s="1"/>
  <c r="T20" i="103"/>
  <c r="X20" i="103" s="1"/>
  <c r="T19" i="103"/>
  <c r="X19" i="103" s="1"/>
  <c r="T18" i="103"/>
  <c r="X18" i="103" s="1"/>
  <c r="T17" i="103"/>
  <c r="X17" i="103" s="1"/>
  <c r="T16" i="103"/>
  <c r="X16" i="103" s="1"/>
  <c r="T15" i="103"/>
  <c r="X15" i="103" s="1"/>
  <c r="T14" i="103"/>
  <c r="X14" i="103" s="1"/>
  <c r="T13" i="103"/>
  <c r="T12" i="103"/>
  <c r="X12" i="103" s="1"/>
  <c r="I7" i="103"/>
  <c r="T6" i="103"/>
  <c r="I6" i="103"/>
  <c r="R2" i="103"/>
  <c r="X103" i="102"/>
  <c r="I103" i="102"/>
  <c r="X102" i="102"/>
  <c r="I102" i="102"/>
  <c r="G102" i="102"/>
  <c r="G103" i="102" s="1"/>
  <c r="J98" i="102"/>
  <c r="E98" i="102"/>
  <c r="T97" i="102"/>
  <c r="X96" i="102"/>
  <c r="E97" i="102"/>
  <c r="T96" i="102"/>
  <c r="T92" i="102"/>
  <c r="G92" i="102"/>
  <c r="V92" i="102" s="1"/>
  <c r="T91" i="102"/>
  <c r="G91" i="102"/>
  <c r="V91" i="102" s="1"/>
  <c r="T90" i="102"/>
  <c r="G90" i="102"/>
  <c r="V90" i="102" s="1"/>
  <c r="V86" i="102"/>
  <c r="V85" i="102"/>
  <c r="V83" i="102"/>
  <c r="Y81" i="102"/>
  <c r="X83" i="102" s="1"/>
  <c r="J81" i="102"/>
  <c r="Y80" i="102"/>
  <c r="V70" i="102"/>
  <c r="V67" i="102"/>
  <c r="X64" i="102"/>
  <c r="X61" i="102"/>
  <c r="X58" i="102"/>
  <c r="X55" i="102"/>
  <c r="X52" i="102"/>
  <c r="T50" i="102"/>
  <c r="D50" i="102"/>
  <c r="C50" i="102"/>
  <c r="I49" i="102"/>
  <c r="X49" i="102" s="1"/>
  <c r="Y49" i="102" s="1"/>
  <c r="I48" i="102"/>
  <c r="X48" i="102" s="1"/>
  <c r="Y48" i="102" s="1"/>
  <c r="I47" i="102"/>
  <c r="X47" i="102" s="1"/>
  <c r="Y47" i="102" s="1"/>
  <c r="I46" i="102"/>
  <c r="X46" i="102" s="1"/>
  <c r="Y46" i="102" s="1"/>
  <c r="I45" i="102"/>
  <c r="X45" i="102" s="1"/>
  <c r="Y45" i="102" s="1"/>
  <c r="I44" i="102"/>
  <c r="X44" i="102" s="1"/>
  <c r="Y44" i="102" s="1"/>
  <c r="I43" i="102"/>
  <c r="X43" i="102" s="1"/>
  <c r="Y43" i="102" s="1"/>
  <c r="I42" i="102"/>
  <c r="X42" i="102" s="1"/>
  <c r="Y42" i="102" s="1"/>
  <c r="I41" i="102"/>
  <c r="X41" i="102" s="1"/>
  <c r="Y41" i="102" s="1"/>
  <c r="Y37" i="102"/>
  <c r="J37" i="102"/>
  <c r="Y36" i="102"/>
  <c r="J36" i="102"/>
  <c r="J38" i="102" s="1"/>
  <c r="G32" i="102"/>
  <c r="T31" i="102"/>
  <c r="V32" i="102" s="1"/>
  <c r="D28" i="102"/>
  <c r="E23" i="102" s="1"/>
  <c r="I23" i="102" s="1"/>
  <c r="C28" i="102"/>
  <c r="T23" i="102"/>
  <c r="X23" i="102" s="1"/>
  <c r="I7" i="102"/>
  <c r="T6" i="102"/>
  <c r="I6" i="102"/>
  <c r="D90" i="102" s="1"/>
  <c r="R2" i="102"/>
  <c r="X103" i="101"/>
  <c r="I103" i="101"/>
  <c r="V102" i="101"/>
  <c r="V103" i="101" s="1"/>
  <c r="I102" i="101"/>
  <c r="G102" i="101"/>
  <c r="G103" i="101" s="1"/>
  <c r="X97" i="101"/>
  <c r="E98" i="101"/>
  <c r="T97" i="101"/>
  <c r="X96" i="101"/>
  <c r="T96" i="101"/>
  <c r="T92" i="101"/>
  <c r="G92" i="101"/>
  <c r="V92" i="101" s="1"/>
  <c r="T91" i="101"/>
  <c r="G91" i="101"/>
  <c r="V91" i="101" s="1"/>
  <c r="T90" i="101"/>
  <c r="G90" i="101"/>
  <c r="V90" i="101" s="1"/>
  <c r="V87" i="101"/>
  <c r="V86" i="101"/>
  <c r="V83" i="101"/>
  <c r="Y81" i="101"/>
  <c r="J81" i="101"/>
  <c r="Y80" i="101"/>
  <c r="V71" i="101"/>
  <c r="V70" i="101"/>
  <c r="V67" i="101"/>
  <c r="X64" i="101"/>
  <c r="X61" i="101"/>
  <c r="X58" i="101"/>
  <c r="X55" i="101"/>
  <c r="X52" i="101"/>
  <c r="T50" i="101"/>
  <c r="D50" i="101"/>
  <c r="E46" i="101" s="1"/>
  <c r="C50" i="101"/>
  <c r="I49" i="101"/>
  <c r="X49" i="101" s="1"/>
  <c r="Y49" i="101" s="1"/>
  <c r="I48" i="101"/>
  <c r="X48" i="101" s="1"/>
  <c r="Y48" i="101" s="1"/>
  <c r="I47" i="101"/>
  <c r="X47" i="101" s="1"/>
  <c r="Y47" i="101" s="1"/>
  <c r="I46" i="101"/>
  <c r="X46" i="101" s="1"/>
  <c r="Y46" i="101" s="1"/>
  <c r="I45" i="101"/>
  <c r="X45" i="101" s="1"/>
  <c r="Y45" i="101" s="1"/>
  <c r="I44" i="101"/>
  <c r="X44" i="101" s="1"/>
  <c r="Y44" i="101" s="1"/>
  <c r="I43" i="101"/>
  <c r="X43" i="101" s="1"/>
  <c r="Y43" i="101" s="1"/>
  <c r="I42" i="101"/>
  <c r="X42" i="101" s="1"/>
  <c r="Y42" i="101" s="1"/>
  <c r="I41" i="101"/>
  <c r="X41" i="101" s="1"/>
  <c r="Y41" i="101" s="1"/>
  <c r="J37" i="101"/>
  <c r="J36" i="101"/>
  <c r="J38" i="101" s="1"/>
  <c r="G32" i="101"/>
  <c r="D28" i="101"/>
  <c r="E23" i="101" s="1"/>
  <c r="I23" i="101" s="1"/>
  <c r="C28" i="101"/>
  <c r="I7" i="101"/>
  <c r="T6" i="101"/>
  <c r="I6" i="101"/>
  <c r="D92" i="101" s="1"/>
  <c r="R2" i="101"/>
  <c r="X103" i="100"/>
  <c r="I103" i="100"/>
  <c r="X102" i="100"/>
  <c r="I102" i="100"/>
  <c r="I104" i="100" s="1"/>
  <c r="J104" i="100" s="1"/>
  <c r="G102" i="100"/>
  <c r="G103" i="100" s="1"/>
  <c r="X97" i="100"/>
  <c r="E98" i="100"/>
  <c r="T97" i="100"/>
  <c r="X96" i="100"/>
  <c r="E97" i="100"/>
  <c r="T96" i="100"/>
  <c r="T92" i="100"/>
  <c r="G92" i="100"/>
  <c r="V92" i="100" s="1"/>
  <c r="T91" i="100"/>
  <c r="G91" i="100"/>
  <c r="V91" i="100" s="1"/>
  <c r="T90" i="100"/>
  <c r="G90" i="100"/>
  <c r="V90" i="100" s="1"/>
  <c r="V87" i="100"/>
  <c r="V86" i="100"/>
  <c r="V85" i="100"/>
  <c r="V83" i="100"/>
  <c r="Y81" i="100"/>
  <c r="J81" i="100"/>
  <c r="Y80" i="100"/>
  <c r="V70" i="100"/>
  <c r="V67" i="100"/>
  <c r="X64" i="100"/>
  <c r="X61" i="100"/>
  <c r="X58" i="100"/>
  <c r="X55" i="100"/>
  <c r="X52" i="100"/>
  <c r="T50" i="100"/>
  <c r="D50" i="100"/>
  <c r="E46" i="100" s="1"/>
  <c r="C50" i="100"/>
  <c r="I49" i="100"/>
  <c r="X49" i="100" s="1"/>
  <c r="Y49" i="100" s="1"/>
  <c r="I48" i="100"/>
  <c r="X48" i="100" s="1"/>
  <c r="Y48" i="100" s="1"/>
  <c r="I47" i="100"/>
  <c r="X47" i="100" s="1"/>
  <c r="Y47" i="100" s="1"/>
  <c r="I46" i="100"/>
  <c r="X46" i="100" s="1"/>
  <c r="Y46" i="100" s="1"/>
  <c r="I45" i="100"/>
  <c r="X45" i="100" s="1"/>
  <c r="Y45" i="100" s="1"/>
  <c r="I44" i="100"/>
  <c r="X44" i="100" s="1"/>
  <c r="Y44" i="100" s="1"/>
  <c r="I43" i="100"/>
  <c r="X43" i="100" s="1"/>
  <c r="Y43" i="100" s="1"/>
  <c r="I42" i="100"/>
  <c r="X42" i="100" s="1"/>
  <c r="Y42" i="100" s="1"/>
  <c r="I41" i="100"/>
  <c r="X41" i="100" s="1"/>
  <c r="Y41" i="100" s="1"/>
  <c r="Y37" i="100"/>
  <c r="J37" i="100"/>
  <c r="Y36" i="100"/>
  <c r="Y38" i="100" s="1"/>
  <c r="J36" i="100"/>
  <c r="J38" i="100" s="1"/>
  <c r="G32" i="100"/>
  <c r="T31" i="100"/>
  <c r="V32" i="100" s="1"/>
  <c r="D28" i="100"/>
  <c r="E26" i="100" s="1"/>
  <c r="I26" i="100" s="1"/>
  <c r="C28" i="100"/>
  <c r="T27" i="100"/>
  <c r="X27" i="100" s="1"/>
  <c r="T26" i="100"/>
  <c r="X26" i="100" s="1"/>
  <c r="T25" i="100"/>
  <c r="X25" i="100" s="1"/>
  <c r="T24" i="100"/>
  <c r="X24" i="100" s="1"/>
  <c r="T23" i="100"/>
  <c r="X23" i="100" s="1"/>
  <c r="T22" i="100"/>
  <c r="X22" i="100" s="1"/>
  <c r="T21" i="100"/>
  <c r="X21" i="100" s="1"/>
  <c r="T20" i="100"/>
  <c r="X20" i="100" s="1"/>
  <c r="T19" i="100"/>
  <c r="X19" i="100" s="1"/>
  <c r="T18" i="100"/>
  <c r="X18" i="100" s="1"/>
  <c r="T17" i="100"/>
  <c r="X17" i="100" s="1"/>
  <c r="T16" i="100"/>
  <c r="X16" i="100" s="1"/>
  <c r="T15" i="100"/>
  <c r="X15" i="100" s="1"/>
  <c r="T14" i="100"/>
  <c r="X14" i="100" s="1"/>
  <c r="T13" i="100"/>
  <c r="T12" i="100"/>
  <c r="X12" i="100" s="1"/>
  <c r="I7" i="100"/>
  <c r="T6" i="100"/>
  <c r="I6" i="100"/>
  <c r="D90" i="100" s="1"/>
  <c r="R2" i="100"/>
  <c r="X103" i="99"/>
  <c r="I103" i="99"/>
  <c r="V102" i="99"/>
  <c r="V103" i="99" s="1"/>
  <c r="I102" i="99"/>
  <c r="I104" i="99" s="1"/>
  <c r="J104" i="99" s="1"/>
  <c r="G102" i="99"/>
  <c r="G103" i="99" s="1"/>
  <c r="X97" i="99"/>
  <c r="E98" i="99"/>
  <c r="T97" i="99"/>
  <c r="X96" i="99"/>
  <c r="E97" i="99"/>
  <c r="T96" i="99"/>
  <c r="T92" i="99"/>
  <c r="G92" i="99"/>
  <c r="V92" i="99" s="1"/>
  <c r="T91" i="99"/>
  <c r="G91" i="99"/>
  <c r="V91" i="99" s="1"/>
  <c r="T90" i="99"/>
  <c r="G90" i="99"/>
  <c r="V90" i="99" s="1"/>
  <c r="V86" i="99"/>
  <c r="V83" i="99"/>
  <c r="Y81" i="99"/>
  <c r="J81" i="99"/>
  <c r="Y80" i="99"/>
  <c r="V70" i="99"/>
  <c r="V67" i="99"/>
  <c r="X64" i="99"/>
  <c r="X61" i="99"/>
  <c r="X58" i="99"/>
  <c r="X55" i="99"/>
  <c r="X52" i="99"/>
  <c r="T50" i="99"/>
  <c r="D50" i="99"/>
  <c r="E46" i="99" s="1"/>
  <c r="C50" i="99"/>
  <c r="I49" i="99"/>
  <c r="X49" i="99" s="1"/>
  <c r="Y49" i="99" s="1"/>
  <c r="I48" i="99"/>
  <c r="X48" i="99" s="1"/>
  <c r="Y48" i="99" s="1"/>
  <c r="I47" i="99"/>
  <c r="X47" i="99" s="1"/>
  <c r="Y47" i="99" s="1"/>
  <c r="I46" i="99"/>
  <c r="X46" i="99" s="1"/>
  <c r="Y46" i="99" s="1"/>
  <c r="I45" i="99"/>
  <c r="X45" i="99" s="1"/>
  <c r="Y45" i="99" s="1"/>
  <c r="I44" i="99"/>
  <c r="X44" i="99" s="1"/>
  <c r="Y44" i="99" s="1"/>
  <c r="I43" i="99"/>
  <c r="X43" i="99" s="1"/>
  <c r="Y43" i="99" s="1"/>
  <c r="I42" i="99"/>
  <c r="X42" i="99" s="1"/>
  <c r="Y42" i="99" s="1"/>
  <c r="I41" i="99"/>
  <c r="X41" i="99" s="1"/>
  <c r="Y41" i="99" s="1"/>
  <c r="Y37" i="99"/>
  <c r="J37" i="99"/>
  <c r="Y36" i="99"/>
  <c r="J36" i="99"/>
  <c r="J38" i="99" s="1"/>
  <c r="G32" i="99"/>
  <c r="T31" i="99"/>
  <c r="V32" i="99" s="1"/>
  <c r="D28" i="99"/>
  <c r="E23" i="99" s="1"/>
  <c r="I23" i="99" s="1"/>
  <c r="C28" i="99"/>
  <c r="T27" i="99"/>
  <c r="X27" i="99" s="1"/>
  <c r="E27" i="99"/>
  <c r="I27" i="99" s="1"/>
  <c r="T26" i="99"/>
  <c r="X26" i="99" s="1"/>
  <c r="T25" i="99"/>
  <c r="X25" i="99" s="1"/>
  <c r="T24" i="99"/>
  <c r="X24" i="99" s="1"/>
  <c r="T23" i="99"/>
  <c r="X23" i="99" s="1"/>
  <c r="T22" i="99"/>
  <c r="X22" i="99" s="1"/>
  <c r="T21" i="99"/>
  <c r="X21" i="99" s="1"/>
  <c r="T20" i="99"/>
  <c r="X20" i="99" s="1"/>
  <c r="T19" i="99"/>
  <c r="X19" i="99" s="1"/>
  <c r="T18" i="99"/>
  <c r="X18" i="99" s="1"/>
  <c r="T17" i="99"/>
  <c r="X17" i="99" s="1"/>
  <c r="T16" i="99"/>
  <c r="X16" i="99" s="1"/>
  <c r="T15" i="99"/>
  <c r="X15" i="99" s="1"/>
  <c r="T14" i="99"/>
  <c r="X14" i="99" s="1"/>
  <c r="T13" i="99"/>
  <c r="X13" i="99" s="1"/>
  <c r="T12" i="99"/>
  <c r="X12" i="99" s="1"/>
  <c r="I7" i="99"/>
  <c r="T6" i="99"/>
  <c r="I6" i="99"/>
  <c r="R2" i="99"/>
  <c r="X103" i="98"/>
  <c r="I103" i="98"/>
  <c r="X102" i="98"/>
  <c r="V102" i="98"/>
  <c r="V103" i="98" s="1"/>
  <c r="I102" i="98"/>
  <c r="I104" i="98" s="1"/>
  <c r="J104" i="98" s="1"/>
  <c r="G102" i="98"/>
  <c r="G103" i="98" s="1"/>
  <c r="J98" i="98"/>
  <c r="E98" i="98"/>
  <c r="T97" i="98"/>
  <c r="X96" i="98"/>
  <c r="T96" i="98"/>
  <c r="T92" i="98"/>
  <c r="G92" i="98"/>
  <c r="V92" i="98" s="1"/>
  <c r="T91" i="98"/>
  <c r="G91" i="98"/>
  <c r="V91" i="98" s="1"/>
  <c r="T90" i="98"/>
  <c r="G90" i="98"/>
  <c r="V90" i="98" s="1"/>
  <c r="V86" i="98"/>
  <c r="V83" i="98"/>
  <c r="Y81" i="98"/>
  <c r="X83" i="98" s="1"/>
  <c r="J81" i="98"/>
  <c r="Y80" i="98"/>
  <c r="V71" i="98"/>
  <c r="V70" i="98"/>
  <c r="G70" i="98"/>
  <c r="V69" i="98" s="1"/>
  <c r="V67" i="98"/>
  <c r="X64" i="98"/>
  <c r="X61" i="98"/>
  <c r="X58" i="98"/>
  <c r="X55" i="98"/>
  <c r="X52" i="98"/>
  <c r="T50" i="98"/>
  <c r="D50" i="98"/>
  <c r="E46" i="98" s="1"/>
  <c r="C50" i="98"/>
  <c r="I49" i="98"/>
  <c r="X49" i="98" s="1"/>
  <c r="Y49" i="98" s="1"/>
  <c r="I48" i="98"/>
  <c r="X48" i="98" s="1"/>
  <c r="Y48" i="98" s="1"/>
  <c r="I47" i="98"/>
  <c r="X47" i="98" s="1"/>
  <c r="Y47" i="98" s="1"/>
  <c r="I46" i="98"/>
  <c r="X46" i="98" s="1"/>
  <c r="Y46" i="98" s="1"/>
  <c r="I45" i="98"/>
  <c r="X45" i="98" s="1"/>
  <c r="Y45" i="98" s="1"/>
  <c r="I44" i="98"/>
  <c r="X44" i="98" s="1"/>
  <c r="Y44" i="98" s="1"/>
  <c r="I43" i="98"/>
  <c r="X43" i="98" s="1"/>
  <c r="Y43" i="98" s="1"/>
  <c r="I42" i="98"/>
  <c r="X42" i="98" s="1"/>
  <c r="Y42" i="98" s="1"/>
  <c r="I41" i="98"/>
  <c r="X41" i="98" s="1"/>
  <c r="Y41" i="98" s="1"/>
  <c r="Y37" i="98"/>
  <c r="J37" i="98"/>
  <c r="Y36" i="98"/>
  <c r="Y38" i="98" s="1"/>
  <c r="J36" i="98"/>
  <c r="J38" i="98" s="1"/>
  <c r="G32" i="98"/>
  <c r="T31" i="98"/>
  <c r="V32" i="98" s="1"/>
  <c r="D28" i="98"/>
  <c r="E23" i="98" s="1"/>
  <c r="I23" i="98" s="1"/>
  <c r="C28" i="98"/>
  <c r="T27" i="98"/>
  <c r="X27" i="98" s="1"/>
  <c r="E27" i="98"/>
  <c r="I27" i="98" s="1"/>
  <c r="T26" i="98"/>
  <c r="X26" i="98" s="1"/>
  <c r="T25" i="98"/>
  <c r="X25" i="98" s="1"/>
  <c r="T24" i="98"/>
  <c r="X24" i="98" s="1"/>
  <c r="T23" i="98"/>
  <c r="X23" i="98" s="1"/>
  <c r="T22" i="98"/>
  <c r="X22" i="98" s="1"/>
  <c r="T21" i="98"/>
  <c r="X21" i="98" s="1"/>
  <c r="T20" i="98"/>
  <c r="X20" i="98" s="1"/>
  <c r="T19" i="98"/>
  <c r="X19" i="98" s="1"/>
  <c r="T18" i="98"/>
  <c r="X18" i="98" s="1"/>
  <c r="T17" i="98"/>
  <c r="X17" i="98" s="1"/>
  <c r="T16" i="98"/>
  <c r="X16" i="98" s="1"/>
  <c r="T15" i="98"/>
  <c r="X15" i="98" s="1"/>
  <c r="T14" i="98"/>
  <c r="X14" i="98" s="1"/>
  <c r="T13" i="98"/>
  <c r="X13" i="98" s="1"/>
  <c r="T12" i="98"/>
  <c r="X12" i="98" s="1"/>
  <c r="I7" i="98"/>
  <c r="T6" i="98"/>
  <c r="I6" i="98"/>
  <c r="D92" i="98" s="1"/>
  <c r="R2" i="98"/>
  <c r="X103" i="97"/>
  <c r="I103" i="97"/>
  <c r="V102" i="97"/>
  <c r="V103" i="97" s="1"/>
  <c r="I102" i="97"/>
  <c r="G102" i="97"/>
  <c r="G103" i="97" s="1"/>
  <c r="J98" i="97"/>
  <c r="E98" i="97"/>
  <c r="T97" i="97"/>
  <c r="X96" i="97"/>
  <c r="E97" i="97"/>
  <c r="T96" i="97"/>
  <c r="T92" i="97"/>
  <c r="G92" i="97"/>
  <c r="V92" i="97" s="1"/>
  <c r="T91" i="97"/>
  <c r="G91" i="97"/>
  <c r="V91" i="97" s="1"/>
  <c r="T90" i="97"/>
  <c r="G90" i="97"/>
  <c r="V90" i="97" s="1"/>
  <c r="V86" i="97"/>
  <c r="V85" i="97"/>
  <c r="V83" i="97"/>
  <c r="Y81" i="97"/>
  <c r="X83" i="97" s="1"/>
  <c r="J81" i="97"/>
  <c r="Y80" i="97"/>
  <c r="V71" i="97"/>
  <c r="V70" i="97"/>
  <c r="V67" i="97"/>
  <c r="X64" i="97"/>
  <c r="X61" i="97"/>
  <c r="X58" i="97"/>
  <c r="X55" i="97"/>
  <c r="X52" i="97"/>
  <c r="T50" i="97"/>
  <c r="D50" i="97"/>
  <c r="E46" i="97" s="1"/>
  <c r="C50" i="97"/>
  <c r="I49" i="97"/>
  <c r="X49" i="97" s="1"/>
  <c r="Y49" i="97" s="1"/>
  <c r="I48" i="97"/>
  <c r="X48" i="97" s="1"/>
  <c r="Y48" i="97" s="1"/>
  <c r="I47" i="97"/>
  <c r="X47" i="97" s="1"/>
  <c r="Y47" i="97" s="1"/>
  <c r="I46" i="97"/>
  <c r="X46" i="97" s="1"/>
  <c r="Y46" i="97" s="1"/>
  <c r="I45" i="97"/>
  <c r="X45" i="97" s="1"/>
  <c r="Y45" i="97" s="1"/>
  <c r="I44" i="97"/>
  <c r="X44" i="97" s="1"/>
  <c r="Y44" i="97" s="1"/>
  <c r="I43" i="97"/>
  <c r="X43" i="97" s="1"/>
  <c r="Y43" i="97" s="1"/>
  <c r="I42" i="97"/>
  <c r="X42" i="97" s="1"/>
  <c r="Y42" i="97" s="1"/>
  <c r="I41" i="97"/>
  <c r="X41" i="97" s="1"/>
  <c r="Y41" i="97" s="1"/>
  <c r="Y37" i="97"/>
  <c r="J37" i="97"/>
  <c r="Y36" i="97"/>
  <c r="Y38" i="97" s="1"/>
  <c r="J36" i="97"/>
  <c r="G32" i="97"/>
  <c r="T31" i="97"/>
  <c r="V32" i="97" s="1"/>
  <c r="D28" i="97"/>
  <c r="E23" i="97" s="1"/>
  <c r="I23" i="97" s="1"/>
  <c r="C28" i="97"/>
  <c r="T27" i="97"/>
  <c r="X27" i="97" s="1"/>
  <c r="T26" i="97"/>
  <c r="X26" i="97" s="1"/>
  <c r="T25" i="97"/>
  <c r="X25" i="97" s="1"/>
  <c r="T24" i="97"/>
  <c r="X24" i="97" s="1"/>
  <c r="T23" i="97"/>
  <c r="X23" i="97" s="1"/>
  <c r="T22" i="97"/>
  <c r="X22" i="97" s="1"/>
  <c r="T21" i="97"/>
  <c r="X21" i="97" s="1"/>
  <c r="T20" i="97"/>
  <c r="X20" i="97" s="1"/>
  <c r="T19" i="97"/>
  <c r="X19" i="97" s="1"/>
  <c r="T18" i="97"/>
  <c r="X18" i="97" s="1"/>
  <c r="T17" i="97"/>
  <c r="X17" i="97" s="1"/>
  <c r="T16" i="97"/>
  <c r="X16" i="97" s="1"/>
  <c r="T15" i="97"/>
  <c r="X15" i="97" s="1"/>
  <c r="T14" i="97"/>
  <c r="X14" i="97" s="1"/>
  <c r="T13" i="97"/>
  <c r="X13" i="97" s="1"/>
  <c r="T12" i="97"/>
  <c r="X12" i="97" s="1"/>
  <c r="I7" i="97"/>
  <c r="T6" i="97"/>
  <c r="I6" i="97"/>
  <c r="D92" i="97" s="1"/>
  <c r="R2" i="97"/>
  <c r="X103" i="96"/>
  <c r="I103" i="96"/>
  <c r="X102" i="96"/>
  <c r="I102" i="96"/>
  <c r="I104" i="96" s="1"/>
  <c r="J104" i="96" s="1"/>
  <c r="G102" i="96"/>
  <c r="G103" i="96" s="1"/>
  <c r="E98" i="96"/>
  <c r="T97" i="96"/>
  <c r="X96" i="96"/>
  <c r="T96" i="96"/>
  <c r="T92" i="96"/>
  <c r="G92" i="96"/>
  <c r="V92" i="96" s="1"/>
  <c r="T91" i="96"/>
  <c r="G91" i="96"/>
  <c r="V91" i="96" s="1"/>
  <c r="T90" i="96"/>
  <c r="G90" i="96"/>
  <c r="V90" i="96" s="1"/>
  <c r="V87" i="96"/>
  <c r="V86" i="96"/>
  <c r="V85" i="96"/>
  <c r="V83" i="96"/>
  <c r="Y81" i="96"/>
  <c r="X83" i="96" s="1"/>
  <c r="J81" i="96"/>
  <c r="Y80" i="96"/>
  <c r="V70" i="96"/>
  <c r="V67" i="96"/>
  <c r="X64" i="96"/>
  <c r="X61" i="96"/>
  <c r="X58" i="96"/>
  <c r="X55" i="96"/>
  <c r="X52" i="96"/>
  <c r="T50" i="96"/>
  <c r="D50" i="96"/>
  <c r="E46" i="96" s="1"/>
  <c r="C50" i="96"/>
  <c r="I49" i="96"/>
  <c r="X49" i="96" s="1"/>
  <c r="Y49" i="96" s="1"/>
  <c r="I48" i="96"/>
  <c r="X48" i="96" s="1"/>
  <c r="Y48" i="96" s="1"/>
  <c r="I47" i="96"/>
  <c r="X47" i="96" s="1"/>
  <c r="Y47" i="96" s="1"/>
  <c r="I46" i="96"/>
  <c r="X46" i="96" s="1"/>
  <c r="Y46" i="96" s="1"/>
  <c r="I45" i="96"/>
  <c r="X45" i="96" s="1"/>
  <c r="Y45" i="96" s="1"/>
  <c r="I44" i="96"/>
  <c r="X44" i="96" s="1"/>
  <c r="Y44" i="96" s="1"/>
  <c r="I43" i="96"/>
  <c r="X43" i="96" s="1"/>
  <c r="Y43" i="96" s="1"/>
  <c r="I42" i="96"/>
  <c r="X42" i="96" s="1"/>
  <c r="Y42" i="96" s="1"/>
  <c r="I41" i="96"/>
  <c r="X41" i="96" s="1"/>
  <c r="Y41" i="96" s="1"/>
  <c r="Y37" i="96"/>
  <c r="J37" i="96"/>
  <c r="Y36" i="96"/>
  <c r="Y38" i="96" s="1"/>
  <c r="J36" i="96"/>
  <c r="G32" i="96"/>
  <c r="T31" i="96"/>
  <c r="V32" i="96" s="1"/>
  <c r="D28" i="96"/>
  <c r="E23" i="96" s="1"/>
  <c r="I23" i="96" s="1"/>
  <c r="C28" i="96"/>
  <c r="T27" i="96"/>
  <c r="X27" i="96" s="1"/>
  <c r="T26" i="96"/>
  <c r="X26" i="96" s="1"/>
  <c r="T25" i="96"/>
  <c r="X25" i="96" s="1"/>
  <c r="T24" i="96"/>
  <c r="X24" i="96" s="1"/>
  <c r="T23" i="96"/>
  <c r="X23" i="96" s="1"/>
  <c r="T22" i="96"/>
  <c r="X22" i="96" s="1"/>
  <c r="T21" i="96"/>
  <c r="X21" i="96" s="1"/>
  <c r="T20" i="96"/>
  <c r="X20" i="96" s="1"/>
  <c r="T19" i="96"/>
  <c r="X19" i="96" s="1"/>
  <c r="T18" i="96"/>
  <c r="X18" i="96" s="1"/>
  <c r="T17" i="96"/>
  <c r="X17" i="96" s="1"/>
  <c r="T16" i="96"/>
  <c r="X16" i="96" s="1"/>
  <c r="T15" i="96"/>
  <c r="X15" i="96" s="1"/>
  <c r="T14" i="96"/>
  <c r="X14" i="96" s="1"/>
  <c r="T13" i="96"/>
  <c r="T12" i="96"/>
  <c r="X12" i="96" s="1"/>
  <c r="I7" i="96"/>
  <c r="T6" i="96"/>
  <c r="I6" i="96"/>
  <c r="R2" i="96"/>
  <c r="X103" i="95"/>
  <c r="I103" i="95"/>
  <c r="V102" i="95"/>
  <c r="V103" i="95" s="1"/>
  <c r="I102" i="95"/>
  <c r="I104" i="95" s="1"/>
  <c r="J104" i="95" s="1"/>
  <c r="G102" i="95"/>
  <c r="G103" i="95" s="1"/>
  <c r="X97" i="95"/>
  <c r="Y97" i="95" s="1"/>
  <c r="E98" i="95"/>
  <c r="T97" i="95"/>
  <c r="X96" i="95"/>
  <c r="Y96" i="95" s="1"/>
  <c r="E97" i="95"/>
  <c r="T96" i="95"/>
  <c r="T92" i="95"/>
  <c r="G92" i="95"/>
  <c r="V92" i="95" s="1"/>
  <c r="T91" i="95"/>
  <c r="G91" i="95"/>
  <c r="V91" i="95" s="1"/>
  <c r="T90" i="95"/>
  <c r="G90" i="95"/>
  <c r="V90" i="95" s="1"/>
  <c r="V86" i="95"/>
  <c r="V83" i="95"/>
  <c r="Y81" i="95"/>
  <c r="J81" i="95"/>
  <c r="Y80" i="95"/>
  <c r="V67" i="95"/>
  <c r="X64" i="95"/>
  <c r="X61" i="95"/>
  <c r="X58" i="95"/>
  <c r="X55" i="95"/>
  <c r="X52" i="95"/>
  <c r="T50" i="95"/>
  <c r="D50" i="95"/>
  <c r="E46" i="95" s="1"/>
  <c r="C50" i="95"/>
  <c r="I49" i="95"/>
  <c r="X49" i="95" s="1"/>
  <c r="Y49" i="95" s="1"/>
  <c r="I48" i="95"/>
  <c r="X48" i="95" s="1"/>
  <c r="Y48" i="95" s="1"/>
  <c r="I47" i="95"/>
  <c r="X47" i="95" s="1"/>
  <c r="Y47" i="95" s="1"/>
  <c r="I46" i="95"/>
  <c r="X46" i="95" s="1"/>
  <c r="Y46" i="95" s="1"/>
  <c r="I45" i="95"/>
  <c r="X45" i="95" s="1"/>
  <c r="Y45" i="95" s="1"/>
  <c r="I44" i="95"/>
  <c r="X44" i="95" s="1"/>
  <c r="Y44" i="95" s="1"/>
  <c r="I43" i="95"/>
  <c r="X43" i="95" s="1"/>
  <c r="Y43" i="95" s="1"/>
  <c r="I42" i="95"/>
  <c r="X42" i="95" s="1"/>
  <c r="Y42" i="95" s="1"/>
  <c r="I41" i="95"/>
  <c r="X41" i="95" s="1"/>
  <c r="Y41" i="95" s="1"/>
  <c r="Y37" i="95"/>
  <c r="J37" i="95"/>
  <c r="Y36" i="95"/>
  <c r="Y38" i="95" s="1"/>
  <c r="J36" i="95"/>
  <c r="J38" i="95" s="1"/>
  <c r="G32" i="95"/>
  <c r="T31" i="95"/>
  <c r="V32" i="95" s="1"/>
  <c r="D28" i="95"/>
  <c r="E23" i="95" s="1"/>
  <c r="I23" i="95" s="1"/>
  <c r="C28" i="95"/>
  <c r="T27" i="95"/>
  <c r="X27" i="95" s="1"/>
  <c r="T26" i="95"/>
  <c r="X26" i="95" s="1"/>
  <c r="T25" i="95"/>
  <c r="X25" i="95" s="1"/>
  <c r="T24" i="95"/>
  <c r="X24" i="95" s="1"/>
  <c r="T23" i="95"/>
  <c r="X23" i="95" s="1"/>
  <c r="T22" i="95"/>
  <c r="X22" i="95" s="1"/>
  <c r="T21" i="95"/>
  <c r="X21" i="95" s="1"/>
  <c r="T20" i="95"/>
  <c r="X20" i="95" s="1"/>
  <c r="T19" i="95"/>
  <c r="X19" i="95" s="1"/>
  <c r="T18" i="95"/>
  <c r="X18" i="95" s="1"/>
  <c r="T17" i="95"/>
  <c r="X17" i="95" s="1"/>
  <c r="T16" i="95"/>
  <c r="X16" i="95" s="1"/>
  <c r="T15" i="95"/>
  <c r="X15" i="95" s="1"/>
  <c r="T14" i="95"/>
  <c r="X14" i="95" s="1"/>
  <c r="T13" i="95"/>
  <c r="T12" i="95"/>
  <c r="X12" i="95" s="1"/>
  <c r="I7" i="95"/>
  <c r="T6" i="95"/>
  <c r="I6" i="95"/>
  <c r="R2" i="95"/>
  <c r="X103" i="94"/>
  <c r="I103" i="94"/>
  <c r="X102" i="94"/>
  <c r="I102" i="94"/>
  <c r="I104" i="94" s="1"/>
  <c r="J104" i="94" s="1"/>
  <c r="G102" i="94"/>
  <c r="G103" i="94" s="1"/>
  <c r="X97" i="94"/>
  <c r="E98" i="94"/>
  <c r="T97" i="94"/>
  <c r="X96" i="94"/>
  <c r="E97" i="94"/>
  <c r="T96" i="94"/>
  <c r="T92" i="94"/>
  <c r="G92" i="94"/>
  <c r="V92" i="94" s="1"/>
  <c r="T91" i="94"/>
  <c r="G91" i="94"/>
  <c r="V91" i="94" s="1"/>
  <c r="T90" i="94"/>
  <c r="G90" i="94"/>
  <c r="V90" i="94" s="1"/>
  <c r="V86" i="94"/>
  <c r="V83" i="94"/>
  <c r="Y81" i="94"/>
  <c r="J81" i="94"/>
  <c r="Y80" i="94"/>
  <c r="V71" i="94"/>
  <c r="V70" i="94"/>
  <c r="V67" i="94"/>
  <c r="X64" i="94"/>
  <c r="X61" i="94"/>
  <c r="X58" i="94"/>
  <c r="X55" i="94"/>
  <c r="X52" i="94"/>
  <c r="T50" i="94"/>
  <c r="D50" i="94"/>
  <c r="E46" i="94" s="1"/>
  <c r="C50" i="94"/>
  <c r="I49" i="94"/>
  <c r="X49" i="94" s="1"/>
  <c r="Y49" i="94" s="1"/>
  <c r="I48" i="94"/>
  <c r="X48" i="94" s="1"/>
  <c r="Y48" i="94" s="1"/>
  <c r="I47" i="94"/>
  <c r="X47" i="94" s="1"/>
  <c r="Y47" i="94" s="1"/>
  <c r="I46" i="94"/>
  <c r="X46" i="94" s="1"/>
  <c r="Y46" i="94" s="1"/>
  <c r="I45" i="94"/>
  <c r="X45" i="94" s="1"/>
  <c r="Y45" i="94" s="1"/>
  <c r="I44" i="94"/>
  <c r="X44" i="94" s="1"/>
  <c r="Y44" i="94" s="1"/>
  <c r="I43" i="94"/>
  <c r="X43" i="94" s="1"/>
  <c r="Y43" i="94" s="1"/>
  <c r="I42" i="94"/>
  <c r="X42" i="94" s="1"/>
  <c r="Y42" i="94" s="1"/>
  <c r="I41" i="94"/>
  <c r="X41" i="94" s="1"/>
  <c r="Y41" i="94" s="1"/>
  <c r="Y37" i="94"/>
  <c r="J37" i="94"/>
  <c r="Y36" i="94"/>
  <c r="Y38" i="94" s="1"/>
  <c r="J36" i="94"/>
  <c r="G32" i="94"/>
  <c r="T31" i="94"/>
  <c r="V32" i="94" s="1"/>
  <c r="D28" i="94"/>
  <c r="E23" i="94" s="1"/>
  <c r="I23" i="94" s="1"/>
  <c r="C28" i="94"/>
  <c r="T27" i="94"/>
  <c r="X27" i="94" s="1"/>
  <c r="T26" i="94"/>
  <c r="X26" i="94" s="1"/>
  <c r="T25" i="94"/>
  <c r="X25" i="94" s="1"/>
  <c r="T24" i="94"/>
  <c r="X24" i="94" s="1"/>
  <c r="T23" i="94"/>
  <c r="X23" i="94" s="1"/>
  <c r="T22" i="94"/>
  <c r="X22" i="94" s="1"/>
  <c r="T21" i="94"/>
  <c r="X21" i="94" s="1"/>
  <c r="T20" i="94"/>
  <c r="X20" i="94" s="1"/>
  <c r="T19" i="94"/>
  <c r="X19" i="94" s="1"/>
  <c r="T18" i="94"/>
  <c r="X18" i="94" s="1"/>
  <c r="T17" i="94"/>
  <c r="X17" i="94" s="1"/>
  <c r="T16" i="94"/>
  <c r="X16" i="94" s="1"/>
  <c r="T15" i="94"/>
  <c r="X15" i="94" s="1"/>
  <c r="T14" i="94"/>
  <c r="X14" i="94" s="1"/>
  <c r="T13" i="94"/>
  <c r="T12" i="94"/>
  <c r="X12" i="94" s="1"/>
  <c r="I7" i="94"/>
  <c r="T6" i="94"/>
  <c r="I6" i="94"/>
  <c r="R2" i="94"/>
  <c r="X103" i="93"/>
  <c r="I103" i="93"/>
  <c r="X102" i="93"/>
  <c r="I102" i="93"/>
  <c r="G102" i="93"/>
  <c r="G103" i="93" s="1"/>
  <c r="X97" i="93"/>
  <c r="Y97" i="93" s="1"/>
  <c r="E98" i="93"/>
  <c r="T97" i="93"/>
  <c r="X96" i="93"/>
  <c r="Y96" i="93" s="1"/>
  <c r="E97" i="93"/>
  <c r="T96" i="93"/>
  <c r="T92" i="93"/>
  <c r="G92" i="93"/>
  <c r="V92" i="93" s="1"/>
  <c r="T91" i="93"/>
  <c r="G91" i="93"/>
  <c r="V91" i="93" s="1"/>
  <c r="T90" i="93"/>
  <c r="G90" i="93"/>
  <c r="V90" i="93" s="1"/>
  <c r="V86" i="93"/>
  <c r="V83" i="93"/>
  <c r="Y81" i="93"/>
  <c r="X83" i="93" s="1"/>
  <c r="J81" i="93"/>
  <c r="Y80" i="93"/>
  <c r="V67" i="93"/>
  <c r="X64" i="93"/>
  <c r="X61" i="93"/>
  <c r="X58" i="93"/>
  <c r="X55" i="93"/>
  <c r="X52" i="93"/>
  <c r="T50" i="93"/>
  <c r="D50" i="93"/>
  <c r="E46" i="93" s="1"/>
  <c r="C50" i="93"/>
  <c r="I49" i="93"/>
  <c r="X49" i="93" s="1"/>
  <c r="Y49" i="93" s="1"/>
  <c r="I48" i="93"/>
  <c r="X48" i="93" s="1"/>
  <c r="Y48" i="93" s="1"/>
  <c r="I47" i="93"/>
  <c r="X47" i="93" s="1"/>
  <c r="Y47" i="93" s="1"/>
  <c r="I46" i="93"/>
  <c r="X46" i="93" s="1"/>
  <c r="Y46" i="93" s="1"/>
  <c r="I45" i="93"/>
  <c r="X45" i="93" s="1"/>
  <c r="Y45" i="93" s="1"/>
  <c r="I44" i="93"/>
  <c r="X44" i="93" s="1"/>
  <c r="Y44" i="93" s="1"/>
  <c r="I43" i="93"/>
  <c r="X43" i="93" s="1"/>
  <c r="Y43" i="93" s="1"/>
  <c r="I42" i="93"/>
  <c r="X42" i="93" s="1"/>
  <c r="Y42" i="93" s="1"/>
  <c r="I41" i="93"/>
  <c r="X41" i="93" s="1"/>
  <c r="Y41" i="93" s="1"/>
  <c r="Y37" i="93"/>
  <c r="J37" i="93"/>
  <c r="Y36" i="93"/>
  <c r="Y38" i="93" s="1"/>
  <c r="J36" i="93"/>
  <c r="J38" i="93" s="1"/>
  <c r="G32" i="93"/>
  <c r="T31" i="93"/>
  <c r="V32" i="93" s="1"/>
  <c r="D28" i="93"/>
  <c r="E23" i="93" s="1"/>
  <c r="I23" i="93" s="1"/>
  <c r="C28" i="93"/>
  <c r="T27" i="93"/>
  <c r="X27" i="93" s="1"/>
  <c r="T26" i="93"/>
  <c r="X26" i="93" s="1"/>
  <c r="T25" i="93"/>
  <c r="X25" i="93" s="1"/>
  <c r="T24" i="93"/>
  <c r="X24" i="93" s="1"/>
  <c r="T23" i="93"/>
  <c r="X23" i="93" s="1"/>
  <c r="T22" i="93"/>
  <c r="X22" i="93" s="1"/>
  <c r="T21" i="93"/>
  <c r="X21" i="93" s="1"/>
  <c r="T20" i="93"/>
  <c r="X20" i="93" s="1"/>
  <c r="T19" i="93"/>
  <c r="X19" i="93" s="1"/>
  <c r="T18" i="93"/>
  <c r="X18" i="93" s="1"/>
  <c r="T17" i="93"/>
  <c r="X17" i="93" s="1"/>
  <c r="T16" i="93"/>
  <c r="X16" i="93" s="1"/>
  <c r="T15" i="93"/>
  <c r="X15" i="93" s="1"/>
  <c r="T14" i="93"/>
  <c r="X14" i="93" s="1"/>
  <c r="T13" i="93"/>
  <c r="X13" i="93" s="1"/>
  <c r="T12" i="93"/>
  <c r="X12" i="93" s="1"/>
  <c r="I7" i="93"/>
  <c r="T6" i="93"/>
  <c r="I6" i="93"/>
  <c r="R2" i="93"/>
  <c r="X103" i="92"/>
  <c r="I103" i="92"/>
  <c r="V102" i="92"/>
  <c r="V103" i="92" s="1"/>
  <c r="I102" i="92"/>
  <c r="G102" i="92"/>
  <c r="G103" i="92" s="1"/>
  <c r="J98" i="92"/>
  <c r="E98" i="92"/>
  <c r="T97" i="92"/>
  <c r="X96" i="92"/>
  <c r="E97" i="92"/>
  <c r="T96" i="92"/>
  <c r="T92" i="92"/>
  <c r="G92" i="92"/>
  <c r="V92" i="92" s="1"/>
  <c r="T91" i="92"/>
  <c r="G91" i="92"/>
  <c r="V91" i="92" s="1"/>
  <c r="T90" i="92"/>
  <c r="G90" i="92"/>
  <c r="V90" i="92" s="1"/>
  <c r="V87" i="92"/>
  <c r="V86" i="92"/>
  <c r="Y81" i="92"/>
  <c r="X83" i="92" s="1"/>
  <c r="J81" i="92"/>
  <c r="Y80" i="92"/>
  <c r="V67" i="92"/>
  <c r="X64" i="92"/>
  <c r="X61" i="92"/>
  <c r="X58" i="92"/>
  <c r="X55" i="92"/>
  <c r="X52" i="92"/>
  <c r="T50" i="92"/>
  <c r="D50" i="92"/>
  <c r="E46" i="92" s="1"/>
  <c r="C50" i="92"/>
  <c r="I49" i="92"/>
  <c r="X49" i="92" s="1"/>
  <c r="Y49" i="92" s="1"/>
  <c r="I48" i="92"/>
  <c r="X48" i="92" s="1"/>
  <c r="Y48" i="92" s="1"/>
  <c r="I47" i="92"/>
  <c r="X47" i="92" s="1"/>
  <c r="Y47" i="92" s="1"/>
  <c r="I46" i="92"/>
  <c r="X46" i="92" s="1"/>
  <c r="Y46" i="92" s="1"/>
  <c r="I45" i="92"/>
  <c r="X45" i="92" s="1"/>
  <c r="Y45" i="92" s="1"/>
  <c r="I44" i="92"/>
  <c r="X44" i="92" s="1"/>
  <c r="Y44" i="92" s="1"/>
  <c r="I43" i="92"/>
  <c r="X43" i="92" s="1"/>
  <c r="Y43" i="92" s="1"/>
  <c r="I42" i="92"/>
  <c r="X42" i="92" s="1"/>
  <c r="Y42" i="92" s="1"/>
  <c r="I41" i="92"/>
  <c r="X41" i="92" s="1"/>
  <c r="Y41" i="92" s="1"/>
  <c r="Y37" i="92"/>
  <c r="J37" i="92"/>
  <c r="Y36" i="92"/>
  <c r="Y38" i="92" s="1"/>
  <c r="J36" i="92"/>
  <c r="J38" i="92" s="1"/>
  <c r="G32" i="92"/>
  <c r="T31" i="92"/>
  <c r="V32" i="92" s="1"/>
  <c r="D28" i="92"/>
  <c r="E23" i="92" s="1"/>
  <c r="I23" i="92" s="1"/>
  <c r="C28" i="92"/>
  <c r="T27" i="92"/>
  <c r="X27" i="92" s="1"/>
  <c r="T26" i="92"/>
  <c r="X26" i="92" s="1"/>
  <c r="T25" i="92"/>
  <c r="X25" i="92" s="1"/>
  <c r="T24" i="92"/>
  <c r="X24" i="92" s="1"/>
  <c r="T23" i="92"/>
  <c r="X23" i="92" s="1"/>
  <c r="T22" i="92"/>
  <c r="X22" i="92" s="1"/>
  <c r="T21" i="92"/>
  <c r="X21" i="92" s="1"/>
  <c r="T20" i="92"/>
  <c r="X20" i="92" s="1"/>
  <c r="T19" i="92"/>
  <c r="X19" i="92" s="1"/>
  <c r="T18" i="92"/>
  <c r="X18" i="92" s="1"/>
  <c r="T17" i="92"/>
  <c r="X17" i="92" s="1"/>
  <c r="T16" i="92"/>
  <c r="X16" i="92" s="1"/>
  <c r="T15" i="92"/>
  <c r="X15" i="92" s="1"/>
  <c r="T14" i="92"/>
  <c r="X14" i="92" s="1"/>
  <c r="T13" i="92"/>
  <c r="T12" i="92"/>
  <c r="X12" i="92" s="1"/>
  <c r="I7" i="92"/>
  <c r="T6" i="92"/>
  <c r="I6" i="92"/>
  <c r="R2" i="92"/>
  <c r="X103" i="91"/>
  <c r="I103" i="91"/>
  <c r="V102" i="91"/>
  <c r="V103" i="91" s="1"/>
  <c r="I102" i="91"/>
  <c r="I104" i="91" s="1"/>
  <c r="J104" i="91" s="1"/>
  <c r="G102" i="91"/>
  <c r="G103" i="91" s="1"/>
  <c r="E98" i="91"/>
  <c r="T97" i="91"/>
  <c r="X96" i="91"/>
  <c r="E97" i="91"/>
  <c r="T96" i="91"/>
  <c r="T92" i="91"/>
  <c r="G92" i="91"/>
  <c r="V92" i="91" s="1"/>
  <c r="T91" i="91"/>
  <c r="G91" i="91"/>
  <c r="V91" i="91" s="1"/>
  <c r="T90" i="91"/>
  <c r="G90" i="91"/>
  <c r="V90" i="91" s="1"/>
  <c r="V87" i="91"/>
  <c r="V86" i="91"/>
  <c r="V83" i="91"/>
  <c r="Y81" i="91"/>
  <c r="J81" i="91"/>
  <c r="Y80" i="91"/>
  <c r="V67" i="91"/>
  <c r="X64" i="91"/>
  <c r="X61" i="91"/>
  <c r="X58" i="91"/>
  <c r="X55" i="91"/>
  <c r="X52" i="91"/>
  <c r="T50" i="91"/>
  <c r="D50" i="91"/>
  <c r="E49" i="91" s="1"/>
  <c r="C50" i="91"/>
  <c r="I49" i="91"/>
  <c r="X49" i="91" s="1"/>
  <c r="Y49" i="91" s="1"/>
  <c r="I48" i="91"/>
  <c r="X48" i="91" s="1"/>
  <c r="Y48" i="91" s="1"/>
  <c r="I47" i="91"/>
  <c r="X47" i="91" s="1"/>
  <c r="Y47" i="91" s="1"/>
  <c r="E47" i="91"/>
  <c r="I46" i="91"/>
  <c r="X46" i="91" s="1"/>
  <c r="Y46" i="91" s="1"/>
  <c r="I45" i="91"/>
  <c r="X45" i="91" s="1"/>
  <c r="Y45" i="91" s="1"/>
  <c r="I44" i="91"/>
  <c r="X44" i="91" s="1"/>
  <c r="Y44" i="91" s="1"/>
  <c r="I43" i="91"/>
  <c r="X43" i="91" s="1"/>
  <c r="Y43" i="91" s="1"/>
  <c r="I42" i="91"/>
  <c r="X42" i="91" s="1"/>
  <c r="Y42" i="91" s="1"/>
  <c r="I41" i="91"/>
  <c r="X41" i="91" s="1"/>
  <c r="Y41" i="91" s="1"/>
  <c r="Y37" i="91"/>
  <c r="J37" i="91"/>
  <c r="Y36" i="91"/>
  <c r="Y38" i="91" s="1"/>
  <c r="J36" i="91"/>
  <c r="J38" i="91" s="1"/>
  <c r="G32" i="91"/>
  <c r="T31" i="91"/>
  <c r="V32" i="91" s="1"/>
  <c r="D28" i="91"/>
  <c r="E26" i="91" s="1"/>
  <c r="I26" i="91" s="1"/>
  <c r="C28" i="91"/>
  <c r="T27" i="91"/>
  <c r="X27" i="91" s="1"/>
  <c r="T26" i="91"/>
  <c r="X26" i="91" s="1"/>
  <c r="T25" i="91"/>
  <c r="X25" i="91" s="1"/>
  <c r="T24" i="91"/>
  <c r="X24" i="91" s="1"/>
  <c r="T23" i="91"/>
  <c r="X23" i="91" s="1"/>
  <c r="T22" i="91"/>
  <c r="X22" i="91" s="1"/>
  <c r="T21" i="91"/>
  <c r="X21" i="91" s="1"/>
  <c r="T20" i="91"/>
  <c r="X20" i="91" s="1"/>
  <c r="T19" i="91"/>
  <c r="X19" i="91" s="1"/>
  <c r="T18" i="91"/>
  <c r="X18" i="91" s="1"/>
  <c r="T17" i="91"/>
  <c r="X17" i="91" s="1"/>
  <c r="T16" i="91"/>
  <c r="X16" i="91" s="1"/>
  <c r="T15" i="91"/>
  <c r="X15" i="91" s="1"/>
  <c r="T14" i="91"/>
  <c r="X14" i="91" s="1"/>
  <c r="T13" i="91"/>
  <c r="T12" i="91"/>
  <c r="X12" i="91" s="1"/>
  <c r="I7" i="91"/>
  <c r="T6" i="91"/>
  <c r="I6" i="91"/>
  <c r="R2" i="91"/>
  <c r="X103" i="90"/>
  <c r="I103" i="90"/>
  <c r="V102" i="90"/>
  <c r="V103" i="90" s="1"/>
  <c r="I102" i="90"/>
  <c r="I104" i="90" s="1"/>
  <c r="J104" i="90" s="1"/>
  <c r="G102" i="90"/>
  <c r="G103" i="90" s="1"/>
  <c r="J98" i="90"/>
  <c r="E98" i="90"/>
  <c r="T97" i="90"/>
  <c r="X96" i="90"/>
  <c r="T96" i="90"/>
  <c r="T92" i="90"/>
  <c r="G92" i="90"/>
  <c r="V92" i="90" s="1"/>
  <c r="T91" i="90"/>
  <c r="G91" i="90"/>
  <c r="V91" i="90" s="1"/>
  <c r="T90" i="90"/>
  <c r="G90" i="90"/>
  <c r="V90" i="90" s="1"/>
  <c r="V87" i="90"/>
  <c r="V86" i="90"/>
  <c r="V85" i="90"/>
  <c r="V83" i="90"/>
  <c r="Y81" i="90"/>
  <c r="X83" i="90" s="1"/>
  <c r="J81" i="90"/>
  <c r="Y80" i="90"/>
  <c r="V71" i="90"/>
  <c r="V70" i="90"/>
  <c r="V67" i="90"/>
  <c r="X64" i="90"/>
  <c r="X61" i="90"/>
  <c r="X58" i="90"/>
  <c r="X55" i="90"/>
  <c r="X52" i="90"/>
  <c r="T50" i="90"/>
  <c r="D50" i="90"/>
  <c r="E46" i="90" s="1"/>
  <c r="C50" i="90"/>
  <c r="I49" i="90"/>
  <c r="X49" i="90" s="1"/>
  <c r="Y49" i="90" s="1"/>
  <c r="I48" i="90"/>
  <c r="X48" i="90" s="1"/>
  <c r="Y48" i="90" s="1"/>
  <c r="I47" i="90"/>
  <c r="X47" i="90" s="1"/>
  <c r="Y47" i="90" s="1"/>
  <c r="I46" i="90"/>
  <c r="X46" i="90" s="1"/>
  <c r="Y46" i="90" s="1"/>
  <c r="I45" i="90"/>
  <c r="X45" i="90" s="1"/>
  <c r="Y45" i="90" s="1"/>
  <c r="I44" i="90"/>
  <c r="X44" i="90" s="1"/>
  <c r="Y44" i="90" s="1"/>
  <c r="I43" i="90"/>
  <c r="X43" i="90" s="1"/>
  <c r="Y43" i="90" s="1"/>
  <c r="I42" i="90"/>
  <c r="X42" i="90" s="1"/>
  <c r="Y42" i="90" s="1"/>
  <c r="I41" i="90"/>
  <c r="X41" i="90" s="1"/>
  <c r="Y41" i="90" s="1"/>
  <c r="Y37" i="90"/>
  <c r="J37" i="90"/>
  <c r="Y36" i="90"/>
  <c r="Y38" i="90" s="1"/>
  <c r="J36" i="90"/>
  <c r="G32" i="90"/>
  <c r="T31" i="90"/>
  <c r="V32" i="90" s="1"/>
  <c r="D28" i="90"/>
  <c r="E23" i="90" s="1"/>
  <c r="I23" i="90" s="1"/>
  <c r="C28" i="90"/>
  <c r="T27" i="90"/>
  <c r="X27" i="90" s="1"/>
  <c r="T26" i="90"/>
  <c r="X26" i="90" s="1"/>
  <c r="T25" i="90"/>
  <c r="X25" i="90" s="1"/>
  <c r="T24" i="90"/>
  <c r="X24" i="90" s="1"/>
  <c r="T23" i="90"/>
  <c r="X23" i="90" s="1"/>
  <c r="T22" i="90"/>
  <c r="X22" i="90" s="1"/>
  <c r="T21" i="90"/>
  <c r="X21" i="90" s="1"/>
  <c r="T20" i="90"/>
  <c r="X20" i="90" s="1"/>
  <c r="T19" i="90"/>
  <c r="X19" i="90" s="1"/>
  <c r="T18" i="90"/>
  <c r="X18" i="90" s="1"/>
  <c r="T17" i="90"/>
  <c r="X17" i="90" s="1"/>
  <c r="T16" i="90"/>
  <c r="X16" i="90" s="1"/>
  <c r="T15" i="90"/>
  <c r="X15" i="90" s="1"/>
  <c r="T14" i="90"/>
  <c r="X14" i="90" s="1"/>
  <c r="T13" i="90"/>
  <c r="X13" i="90" s="1"/>
  <c r="T12" i="90"/>
  <c r="X12" i="90" s="1"/>
  <c r="I7" i="90"/>
  <c r="T6" i="90"/>
  <c r="I6" i="90"/>
  <c r="R2" i="90"/>
  <c r="X103" i="89"/>
  <c r="I103" i="89"/>
  <c r="V102" i="89"/>
  <c r="V103" i="89" s="1"/>
  <c r="I102" i="89"/>
  <c r="I104" i="89" s="1"/>
  <c r="J104" i="89" s="1"/>
  <c r="G102" i="89"/>
  <c r="G103" i="89" s="1"/>
  <c r="X97" i="89"/>
  <c r="E98" i="89"/>
  <c r="T97" i="89"/>
  <c r="X96" i="89"/>
  <c r="T96" i="89"/>
  <c r="T92" i="89"/>
  <c r="G92" i="89"/>
  <c r="V92" i="89" s="1"/>
  <c r="T91" i="89"/>
  <c r="G91" i="89"/>
  <c r="V91" i="89" s="1"/>
  <c r="T90" i="89"/>
  <c r="G90" i="89"/>
  <c r="V90" i="89" s="1"/>
  <c r="V87" i="89"/>
  <c r="V86" i="89"/>
  <c r="V83" i="89"/>
  <c r="Y80" i="89"/>
  <c r="V70" i="89"/>
  <c r="V67" i="89"/>
  <c r="X64" i="89"/>
  <c r="X61" i="89"/>
  <c r="X58" i="89"/>
  <c r="X55" i="89"/>
  <c r="X52" i="89"/>
  <c r="T50" i="89"/>
  <c r="D50" i="89"/>
  <c r="E46" i="89" s="1"/>
  <c r="C50" i="89"/>
  <c r="I49" i="89"/>
  <c r="X49" i="89" s="1"/>
  <c r="Y49" i="89" s="1"/>
  <c r="I48" i="89"/>
  <c r="X48" i="89" s="1"/>
  <c r="Y48" i="89" s="1"/>
  <c r="I47" i="89"/>
  <c r="X47" i="89" s="1"/>
  <c r="Y47" i="89" s="1"/>
  <c r="I46" i="89"/>
  <c r="X46" i="89" s="1"/>
  <c r="Y46" i="89" s="1"/>
  <c r="I45" i="89"/>
  <c r="X45" i="89" s="1"/>
  <c r="Y45" i="89" s="1"/>
  <c r="I44" i="89"/>
  <c r="X44" i="89" s="1"/>
  <c r="Y44" i="89" s="1"/>
  <c r="I43" i="89"/>
  <c r="X43" i="89" s="1"/>
  <c r="Y43" i="89" s="1"/>
  <c r="E43" i="89"/>
  <c r="I42" i="89"/>
  <c r="X42" i="89" s="1"/>
  <c r="Y42" i="89" s="1"/>
  <c r="I41" i="89"/>
  <c r="X41" i="89" s="1"/>
  <c r="Y41" i="89" s="1"/>
  <c r="Y37" i="89"/>
  <c r="J37" i="89"/>
  <c r="Y36" i="89"/>
  <c r="J36" i="89"/>
  <c r="J38" i="89" s="1"/>
  <c r="G32" i="89"/>
  <c r="T31" i="89"/>
  <c r="V32" i="89" s="1"/>
  <c r="D28" i="89"/>
  <c r="E23" i="89" s="1"/>
  <c r="I23" i="89" s="1"/>
  <c r="C28" i="89"/>
  <c r="T27" i="89"/>
  <c r="X27" i="89" s="1"/>
  <c r="T26" i="89"/>
  <c r="X26" i="89" s="1"/>
  <c r="T25" i="89"/>
  <c r="X25" i="89" s="1"/>
  <c r="T24" i="89"/>
  <c r="X24" i="89" s="1"/>
  <c r="T23" i="89"/>
  <c r="X23" i="89" s="1"/>
  <c r="T22" i="89"/>
  <c r="X22" i="89" s="1"/>
  <c r="T21" i="89"/>
  <c r="X21" i="89" s="1"/>
  <c r="T20" i="89"/>
  <c r="X20" i="89" s="1"/>
  <c r="T19" i="89"/>
  <c r="X19" i="89" s="1"/>
  <c r="T18" i="89"/>
  <c r="X18" i="89" s="1"/>
  <c r="T17" i="89"/>
  <c r="X17" i="89" s="1"/>
  <c r="T16" i="89"/>
  <c r="X16" i="89" s="1"/>
  <c r="T15" i="89"/>
  <c r="X15" i="89" s="1"/>
  <c r="T14" i="89"/>
  <c r="X14" i="89" s="1"/>
  <c r="T13" i="89"/>
  <c r="T12" i="89"/>
  <c r="X12" i="89" s="1"/>
  <c r="I7" i="89"/>
  <c r="T6" i="89"/>
  <c r="I6" i="89"/>
  <c r="R2" i="89"/>
  <c r="X103" i="88"/>
  <c r="I103" i="88"/>
  <c r="X102" i="88"/>
  <c r="I102" i="88"/>
  <c r="G102" i="88"/>
  <c r="G103" i="88" s="1"/>
  <c r="X97" i="88"/>
  <c r="Y97" i="88" s="1"/>
  <c r="E98" i="88"/>
  <c r="T97" i="88"/>
  <c r="X96" i="88"/>
  <c r="T96" i="88"/>
  <c r="T92" i="88"/>
  <c r="G92" i="88"/>
  <c r="V92" i="88" s="1"/>
  <c r="T91" i="88"/>
  <c r="G91" i="88"/>
  <c r="V91" i="88" s="1"/>
  <c r="T90" i="88"/>
  <c r="G90" i="88"/>
  <c r="V90" i="88" s="1"/>
  <c r="V87" i="88"/>
  <c r="V86" i="88"/>
  <c r="V85" i="88"/>
  <c r="V83" i="88"/>
  <c r="Y81" i="88"/>
  <c r="Y80" i="88"/>
  <c r="V70" i="88"/>
  <c r="V67" i="88"/>
  <c r="X64" i="88"/>
  <c r="X61" i="88"/>
  <c r="X58" i="88"/>
  <c r="X55" i="88"/>
  <c r="X52" i="88"/>
  <c r="T50" i="88"/>
  <c r="D50" i="88"/>
  <c r="E46" i="88" s="1"/>
  <c r="C50" i="88"/>
  <c r="I49" i="88"/>
  <c r="X49" i="88" s="1"/>
  <c r="Y49" i="88" s="1"/>
  <c r="I48" i="88"/>
  <c r="X48" i="88" s="1"/>
  <c r="Y48" i="88" s="1"/>
  <c r="I47" i="88"/>
  <c r="X47" i="88" s="1"/>
  <c r="Y47" i="88" s="1"/>
  <c r="I46" i="88"/>
  <c r="X46" i="88" s="1"/>
  <c r="Y46" i="88" s="1"/>
  <c r="I45" i="88"/>
  <c r="X45" i="88" s="1"/>
  <c r="Y45" i="88" s="1"/>
  <c r="I44" i="88"/>
  <c r="X44" i="88" s="1"/>
  <c r="Y44" i="88" s="1"/>
  <c r="I43" i="88"/>
  <c r="X43" i="88" s="1"/>
  <c r="Y43" i="88" s="1"/>
  <c r="I42" i="88"/>
  <c r="X42" i="88" s="1"/>
  <c r="Y42" i="88" s="1"/>
  <c r="I41" i="88"/>
  <c r="X41" i="88" s="1"/>
  <c r="Y41" i="88" s="1"/>
  <c r="Y37" i="88"/>
  <c r="J37" i="88"/>
  <c r="Y36" i="88"/>
  <c r="J36" i="88"/>
  <c r="J38" i="88" s="1"/>
  <c r="G32" i="88"/>
  <c r="T31" i="88"/>
  <c r="V32" i="88" s="1"/>
  <c r="D28" i="88"/>
  <c r="E23" i="88" s="1"/>
  <c r="I23" i="88" s="1"/>
  <c r="C28" i="88"/>
  <c r="T27" i="88"/>
  <c r="X27" i="88" s="1"/>
  <c r="T26" i="88"/>
  <c r="X26" i="88" s="1"/>
  <c r="T25" i="88"/>
  <c r="X25" i="88" s="1"/>
  <c r="T24" i="88"/>
  <c r="X24" i="88" s="1"/>
  <c r="T23" i="88"/>
  <c r="X23" i="88" s="1"/>
  <c r="T22" i="88"/>
  <c r="X22" i="88" s="1"/>
  <c r="T21" i="88"/>
  <c r="X21" i="88" s="1"/>
  <c r="T20" i="88"/>
  <c r="X20" i="88" s="1"/>
  <c r="T19" i="88"/>
  <c r="X19" i="88" s="1"/>
  <c r="T18" i="88"/>
  <c r="X18" i="88" s="1"/>
  <c r="T17" i="88"/>
  <c r="X17" i="88" s="1"/>
  <c r="T16" i="88"/>
  <c r="X16" i="88" s="1"/>
  <c r="T15" i="88"/>
  <c r="X15" i="88" s="1"/>
  <c r="T14" i="88"/>
  <c r="X14" i="88" s="1"/>
  <c r="T13" i="88"/>
  <c r="T12" i="88"/>
  <c r="X12" i="88" s="1"/>
  <c r="I7" i="88"/>
  <c r="T6" i="88"/>
  <c r="I6" i="88"/>
  <c r="R2" i="88"/>
  <c r="X103" i="87"/>
  <c r="I103" i="87"/>
  <c r="X102" i="87"/>
  <c r="I102" i="87"/>
  <c r="G102" i="87"/>
  <c r="G103" i="87" s="1"/>
  <c r="E98" i="87"/>
  <c r="T97" i="87"/>
  <c r="X96" i="87"/>
  <c r="E97" i="87"/>
  <c r="T96" i="87"/>
  <c r="T92" i="87"/>
  <c r="G92" i="87"/>
  <c r="V92" i="87" s="1"/>
  <c r="T91" i="87"/>
  <c r="G91" i="87"/>
  <c r="V91" i="87" s="1"/>
  <c r="T90" i="87"/>
  <c r="G90" i="87"/>
  <c r="V90" i="87" s="1"/>
  <c r="V87" i="87"/>
  <c r="V86" i="87"/>
  <c r="Y81" i="87"/>
  <c r="J81" i="87"/>
  <c r="Y80" i="87"/>
  <c r="V71" i="87"/>
  <c r="V67" i="87"/>
  <c r="X64" i="87"/>
  <c r="X61" i="87"/>
  <c r="X58" i="87"/>
  <c r="X55" i="87"/>
  <c r="X52" i="87"/>
  <c r="T50" i="87"/>
  <c r="D50" i="87"/>
  <c r="E46" i="87" s="1"/>
  <c r="C50" i="87"/>
  <c r="I49" i="87"/>
  <c r="X49" i="87" s="1"/>
  <c r="Y49" i="87" s="1"/>
  <c r="I48" i="87"/>
  <c r="X48" i="87" s="1"/>
  <c r="Y48" i="87" s="1"/>
  <c r="I47" i="87"/>
  <c r="X47" i="87" s="1"/>
  <c r="Y47" i="87" s="1"/>
  <c r="E47" i="87"/>
  <c r="I46" i="87"/>
  <c r="X46" i="87" s="1"/>
  <c r="Y46" i="87" s="1"/>
  <c r="I45" i="87"/>
  <c r="X45" i="87" s="1"/>
  <c r="Y45" i="87" s="1"/>
  <c r="I44" i="87"/>
  <c r="X44" i="87" s="1"/>
  <c r="Y44" i="87" s="1"/>
  <c r="I43" i="87"/>
  <c r="X43" i="87" s="1"/>
  <c r="Y43" i="87" s="1"/>
  <c r="I42" i="87"/>
  <c r="X42" i="87" s="1"/>
  <c r="Y42" i="87" s="1"/>
  <c r="I41" i="87"/>
  <c r="X41" i="87" s="1"/>
  <c r="Y41" i="87" s="1"/>
  <c r="Y37" i="87"/>
  <c r="J37" i="87"/>
  <c r="Y36" i="87"/>
  <c r="Y38" i="87" s="1"/>
  <c r="J36" i="87"/>
  <c r="G32" i="87"/>
  <c r="T31" i="87"/>
  <c r="V32" i="87" s="1"/>
  <c r="D28" i="87"/>
  <c r="E23" i="87" s="1"/>
  <c r="I23" i="87" s="1"/>
  <c r="C28" i="87"/>
  <c r="T27" i="87"/>
  <c r="X27" i="87" s="1"/>
  <c r="T26" i="87"/>
  <c r="X26" i="87" s="1"/>
  <c r="T25" i="87"/>
  <c r="X25" i="87" s="1"/>
  <c r="T24" i="87"/>
  <c r="X24" i="87" s="1"/>
  <c r="T23" i="87"/>
  <c r="X23" i="87" s="1"/>
  <c r="T22" i="87"/>
  <c r="X22" i="87" s="1"/>
  <c r="T21" i="87"/>
  <c r="X21" i="87" s="1"/>
  <c r="T20" i="87"/>
  <c r="X20" i="87" s="1"/>
  <c r="T19" i="87"/>
  <c r="X19" i="87" s="1"/>
  <c r="T18" i="87"/>
  <c r="X18" i="87" s="1"/>
  <c r="T17" i="87"/>
  <c r="X17" i="87" s="1"/>
  <c r="T16" i="87"/>
  <c r="X16" i="87" s="1"/>
  <c r="T15" i="87"/>
  <c r="X15" i="87" s="1"/>
  <c r="T14" i="87"/>
  <c r="T13" i="87"/>
  <c r="X13" i="87" s="1"/>
  <c r="T12" i="87"/>
  <c r="X12" i="87" s="1"/>
  <c r="I7" i="87"/>
  <c r="T6" i="87"/>
  <c r="I6" i="87"/>
  <c r="R2" i="87"/>
  <c r="X103" i="86"/>
  <c r="I103" i="86"/>
  <c r="V102" i="86"/>
  <c r="V103" i="86" s="1"/>
  <c r="I102" i="86"/>
  <c r="G102" i="86"/>
  <c r="G103" i="86" s="1"/>
  <c r="J98" i="86"/>
  <c r="E98" i="86"/>
  <c r="T97" i="86"/>
  <c r="X96" i="86"/>
  <c r="T96" i="86"/>
  <c r="T92" i="86"/>
  <c r="G92" i="86"/>
  <c r="V92" i="86" s="1"/>
  <c r="T91" i="86"/>
  <c r="G91" i="86"/>
  <c r="V91" i="86" s="1"/>
  <c r="T90" i="86"/>
  <c r="G90" i="86"/>
  <c r="V90" i="86" s="1"/>
  <c r="V87" i="86"/>
  <c r="V86" i="86"/>
  <c r="V83" i="86"/>
  <c r="Y81" i="86"/>
  <c r="J81" i="86"/>
  <c r="Y80" i="86"/>
  <c r="V71" i="86"/>
  <c r="V70" i="86"/>
  <c r="V67" i="86"/>
  <c r="X64" i="86"/>
  <c r="X61" i="86"/>
  <c r="X58" i="86"/>
  <c r="X55" i="86"/>
  <c r="X52" i="86"/>
  <c r="T50" i="86"/>
  <c r="D50" i="86"/>
  <c r="E48" i="86" s="1"/>
  <c r="C50" i="86"/>
  <c r="I49" i="86"/>
  <c r="X49" i="86" s="1"/>
  <c r="Y49" i="86" s="1"/>
  <c r="I48" i="86"/>
  <c r="X48" i="86" s="1"/>
  <c r="Y48" i="86" s="1"/>
  <c r="I47" i="86"/>
  <c r="X47" i="86" s="1"/>
  <c r="Y47" i="86" s="1"/>
  <c r="I46" i="86"/>
  <c r="X46" i="86" s="1"/>
  <c r="Y46" i="86" s="1"/>
  <c r="I45" i="86"/>
  <c r="X45" i="86" s="1"/>
  <c r="Y45" i="86" s="1"/>
  <c r="I44" i="86"/>
  <c r="X44" i="86" s="1"/>
  <c r="Y44" i="86" s="1"/>
  <c r="I43" i="86"/>
  <c r="X43" i="86" s="1"/>
  <c r="Y43" i="86" s="1"/>
  <c r="I42" i="86"/>
  <c r="X42" i="86" s="1"/>
  <c r="Y42" i="86" s="1"/>
  <c r="I41" i="86"/>
  <c r="X41" i="86" s="1"/>
  <c r="Y41" i="86" s="1"/>
  <c r="Y37" i="86"/>
  <c r="J37" i="86"/>
  <c r="Y36" i="86"/>
  <c r="Y38" i="86" s="1"/>
  <c r="J36" i="86"/>
  <c r="J38" i="86" s="1"/>
  <c r="G32" i="86"/>
  <c r="T31" i="86"/>
  <c r="V32" i="86" s="1"/>
  <c r="D28" i="86"/>
  <c r="E25" i="86" s="1"/>
  <c r="I25" i="86" s="1"/>
  <c r="C28" i="86"/>
  <c r="T27" i="86"/>
  <c r="X27" i="86" s="1"/>
  <c r="T26" i="86"/>
  <c r="X26" i="86" s="1"/>
  <c r="T25" i="86"/>
  <c r="X25" i="86" s="1"/>
  <c r="T24" i="86"/>
  <c r="X24" i="86" s="1"/>
  <c r="T23" i="86"/>
  <c r="X23" i="86" s="1"/>
  <c r="T22" i="86"/>
  <c r="X22" i="86" s="1"/>
  <c r="T21" i="86"/>
  <c r="X21" i="86" s="1"/>
  <c r="T20" i="86"/>
  <c r="X20" i="86" s="1"/>
  <c r="T19" i="86"/>
  <c r="X19" i="86" s="1"/>
  <c r="T18" i="86"/>
  <c r="X18" i="86" s="1"/>
  <c r="T17" i="86"/>
  <c r="X17" i="86" s="1"/>
  <c r="T16" i="86"/>
  <c r="X16" i="86" s="1"/>
  <c r="T15" i="86"/>
  <c r="X15" i="86" s="1"/>
  <c r="T14" i="86"/>
  <c r="X14" i="86" s="1"/>
  <c r="T13" i="86"/>
  <c r="T12" i="86"/>
  <c r="X12" i="86" s="1"/>
  <c r="I7" i="86"/>
  <c r="T6" i="86"/>
  <c r="I6" i="86"/>
  <c r="R2" i="86"/>
  <c r="X103" i="85"/>
  <c r="I103" i="85"/>
  <c r="V102" i="85"/>
  <c r="V103" i="85" s="1"/>
  <c r="I102" i="85"/>
  <c r="I104" i="85" s="1"/>
  <c r="J104" i="85" s="1"/>
  <c r="G102" i="85"/>
  <c r="G103" i="85" s="1"/>
  <c r="E98" i="85"/>
  <c r="T97" i="85"/>
  <c r="X96" i="85"/>
  <c r="T96" i="85"/>
  <c r="T92" i="85"/>
  <c r="G92" i="85"/>
  <c r="V92" i="85" s="1"/>
  <c r="T91" i="85"/>
  <c r="G91" i="85"/>
  <c r="V91" i="85" s="1"/>
  <c r="T90" i="85"/>
  <c r="G90" i="85"/>
  <c r="V90" i="85" s="1"/>
  <c r="V87" i="85"/>
  <c r="V83" i="85"/>
  <c r="Y81" i="85"/>
  <c r="Y80" i="85"/>
  <c r="V71" i="85"/>
  <c r="V70" i="85"/>
  <c r="V67" i="85"/>
  <c r="X64" i="85"/>
  <c r="X61" i="85"/>
  <c r="X58" i="85"/>
  <c r="X55" i="85"/>
  <c r="X52" i="85"/>
  <c r="T50" i="85"/>
  <c r="D50" i="85"/>
  <c r="E46" i="85" s="1"/>
  <c r="C50" i="85"/>
  <c r="I49" i="85"/>
  <c r="X49" i="85" s="1"/>
  <c r="Y49" i="85" s="1"/>
  <c r="I48" i="85"/>
  <c r="X48" i="85" s="1"/>
  <c r="Y48" i="85" s="1"/>
  <c r="I47" i="85"/>
  <c r="X47" i="85" s="1"/>
  <c r="Y47" i="85" s="1"/>
  <c r="I46" i="85"/>
  <c r="X46" i="85" s="1"/>
  <c r="Y46" i="85" s="1"/>
  <c r="I45" i="85"/>
  <c r="X45" i="85" s="1"/>
  <c r="Y45" i="85" s="1"/>
  <c r="I44" i="85"/>
  <c r="X44" i="85" s="1"/>
  <c r="Y44" i="85" s="1"/>
  <c r="I43" i="85"/>
  <c r="X43" i="85" s="1"/>
  <c r="Y43" i="85" s="1"/>
  <c r="I42" i="85"/>
  <c r="X42" i="85" s="1"/>
  <c r="Y42" i="85" s="1"/>
  <c r="I41" i="85"/>
  <c r="X41" i="85" s="1"/>
  <c r="Y41" i="85" s="1"/>
  <c r="Y37" i="85"/>
  <c r="J37" i="85"/>
  <c r="Y36" i="85"/>
  <c r="J36" i="85"/>
  <c r="G32" i="85"/>
  <c r="T31" i="85"/>
  <c r="V32" i="85" s="1"/>
  <c r="D28" i="85"/>
  <c r="E23" i="85" s="1"/>
  <c r="I23" i="85" s="1"/>
  <c r="C28" i="85"/>
  <c r="T27" i="85"/>
  <c r="X27" i="85" s="1"/>
  <c r="T26" i="85"/>
  <c r="X26" i="85" s="1"/>
  <c r="T25" i="85"/>
  <c r="X25" i="85" s="1"/>
  <c r="T24" i="85"/>
  <c r="X24" i="85" s="1"/>
  <c r="T23" i="85"/>
  <c r="X23" i="85" s="1"/>
  <c r="T22" i="85"/>
  <c r="X22" i="85" s="1"/>
  <c r="T21" i="85"/>
  <c r="X21" i="85" s="1"/>
  <c r="T20" i="85"/>
  <c r="X20" i="85" s="1"/>
  <c r="T19" i="85"/>
  <c r="X19" i="85" s="1"/>
  <c r="T18" i="85"/>
  <c r="X18" i="85" s="1"/>
  <c r="T17" i="85"/>
  <c r="X17" i="85" s="1"/>
  <c r="T16" i="85"/>
  <c r="X16" i="85" s="1"/>
  <c r="T15" i="85"/>
  <c r="X15" i="85" s="1"/>
  <c r="T14" i="85"/>
  <c r="X14" i="85" s="1"/>
  <c r="T13" i="85"/>
  <c r="T12" i="85"/>
  <c r="X12" i="85" s="1"/>
  <c r="I7" i="85"/>
  <c r="T6" i="85"/>
  <c r="I6" i="85"/>
  <c r="R2" i="85"/>
  <c r="X103" i="84"/>
  <c r="I103" i="84"/>
  <c r="X102" i="84"/>
  <c r="I102" i="84"/>
  <c r="G102" i="84"/>
  <c r="G103" i="84" s="1"/>
  <c r="J98" i="84"/>
  <c r="E98" i="84"/>
  <c r="T97" i="84"/>
  <c r="X96" i="84"/>
  <c r="E97" i="84"/>
  <c r="T96" i="84"/>
  <c r="T92" i="84"/>
  <c r="G92" i="84"/>
  <c r="V92" i="84" s="1"/>
  <c r="T91" i="84"/>
  <c r="G91" i="84"/>
  <c r="V91" i="84" s="1"/>
  <c r="T90" i="84"/>
  <c r="G90" i="84"/>
  <c r="V90" i="84" s="1"/>
  <c r="V86" i="84"/>
  <c r="G85" i="84"/>
  <c r="G84" i="84"/>
  <c r="Y81" i="84"/>
  <c r="X83" i="84" s="1"/>
  <c r="J81" i="84"/>
  <c r="Y80" i="84"/>
  <c r="G72" i="84"/>
  <c r="V71" i="84" s="1"/>
  <c r="G71" i="84"/>
  <c r="V70" i="84" s="1"/>
  <c r="G70" i="84"/>
  <c r="V69" i="84" s="1"/>
  <c r="G68" i="84"/>
  <c r="V67" i="84" s="1"/>
  <c r="I65" i="84"/>
  <c r="X64" i="84" s="1"/>
  <c r="I62" i="84"/>
  <c r="X61" i="84" s="1"/>
  <c r="I59" i="84"/>
  <c r="X58" i="84" s="1"/>
  <c r="I56" i="84"/>
  <c r="X55" i="84" s="1"/>
  <c r="I53" i="84"/>
  <c r="X52" i="84" s="1"/>
  <c r="T50" i="84"/>
  <c r="D50" i="84"/>
  <c r="C50" i="84"/>
  <c r="I49" i="84"/>
  <c r="X49" i="84" s="1"/>
  <c r="Y49" i="84" s="1"/>
  <c r="I48" i="84"/>
  <c r="X48" i="84" s="1"/>
  <c r="Y48" i="84" s="1"/>
  <c r="I47" i="84"/>
  <c r="X47" i="84" s="1"/>
  <c r="Y47" i="84" s="1"/>
  <c r="I46" i="84"/>
  <c r="X46" i="84" s="1"/>
  <c r="Y46" i="84" s="1"/>
  <c r="I45" i="84"/>
  <c r="X45" i="84" s="1"/>
  <c r="Y45" i="84" s="1"/>
  <c r="I44" i="84"/>
  <c r="X44" i="84" s="1"/>
  <c r="Y44" i="84" s="1"/>
  <c r="I43" i="84"/>
  <c r="X43" i="84" s="1"/>
  <c r="Y43" i="84" s="1"/>
  <c r="I42" i="84"/>
  <c r="X42" i="84" s="1"/>
  <c r="Y42" i="84" s="1"/>
  <c r="I41" i="84"/>
  <c r="X41" i="84" s="1"/>
  <c r="Y41" i="84" s="1"/>
  <c r="Y37" i="84"/>
  <c r="J37" i="84"/>
  <c r="Y36" i="84"/>
  <c r="J36" i="84"/>
  <c r="G32" i="84"/>
  <c r="T31" i="84"/>
  <c r="V32" i="84" s="1"/>
  <c r="D28" i="84"/>
  <c r="E23" i="84" s="1"/>
  <c r="C28" i="84"/>
  <c r="T27" i="84"/>
  <c r="X27" i="84" s="1"/>
  <c r="E27" i="84"/>
  <c r="I27" i="84" s="1"/>
  <c r="T26" i="84"/>
  <c r="X26" i="84" s="1"/>
  <c r="T25" i="84"/>
  <c r="X25" i="84" s="1"/>
  <c r="T24" i="84"/>
  <c r="X24" i="84" s="1"/>
  <c r="E24" i="84"/>
  <c r="I24" i="84" s="1"/>
  <c r="T23" i="84"/>
  <c r="X23" i="84" s="1"/>
  <c r="I23" i="84"/>
  <c r="T22" i="84"/>
  <c r="X22" i="84" s="1"/>
  <c r="T21" i="84"/>
  <c r="X21" i="84" s="1"/>
  <c r="E21" i="84"/>
  <c r="I21" i="84" s="1"/>
  <c r="T20" i="84"/>
  <c r="X20" i="84" s="1"/>
  <c r="E20" i="84"/>
  <c r="I20" i="84" s="1"/>
  <c r="T19" i="84"/>
  <c r="X19" i="84" s="1"/>
  <c r="T18" i="84"/>
  <c r="X18" i="84" s="1"/>
  <c r="T17" i="84"/>
  <c r="X17" i="84" s="1"/>
  <c r="T16" i="84"/>
  <c r="X16" i="84" s="1"/>
  <c r="T15" i="84"/>
  <c r="X15" i="84" s="1"/>
  <c r="T14" i="84"/>
  <c r="X14" i="84" s="1"/>
  <c r="E14" i="84"/>
  <c r="I14" i="84" s="1"/>
  <c r="T13" i="84"/>
  <c r="T12" i="84"/>
  <c r="X12" i="84" s="1"/>
  <c r="I7" i="84"/>
  <c r="T6" i="84"/>
  <c r="I6" i="84"/>
  <c r="R2" i="84"/>
  <c r="X103" i="83"/>
  <c r="I103" i="83"/>
  <c r="X102" i="83"/>
  <c r="I102" i="83"/>
  <c r="I104" i="83" s="1"/>
  <c r="J104" i="83" s="1"/>
  <c r="G102" i="83"/>
  <c r="G103" i="83" s="1"/>
  <c r="X97" i="83"/>
  <c r="E98" i="83"/>
  <c r="T97" i="83"/>
  <c r="X96" i="83"/>
  <c r="E97" i="83"/>
  <c r="T96" i="83"/>
  <c r="T92" i="83"/>
  <c r="G92" i="83"/>
  <c r="V92" i="83" s="1"/>
  <c r="T91" i="83"/>
  <c r="G91" i="83"/>
  <c r="V91" i="83" s="1"/>
  <c r="T90" i="83"/>
  <c r="G90" i="83"/>
  <c r="V90" i="83" s="1"/>
  <c r="V85" i="83"/>
  <c r="V83" i="83"/>
  <c r="Y81" i="83"/>
  <c r="J81" i="83"/>
  <c r="Y80" i="83"/>
  <c r="V71" i="83"/>
  <c r="V70" i="83"/>
  <c r="G70" i="83"/>
  <c r="V67" i="83"/>
  <c r="X64" i="83"/>
  <c r="X61" i="83"/>
  <c r="X58" i="83"/>
  <c r="X55" i="83"/>
  <c r="X52" i="83"/>
  <c r="T50" i="83"/>
  <c r="D50" i="83"/>
  <c r="C50" i="83"/>
  <c r="I49" i="83"/>
  <c r="X49" i="83" s="1"/>
  <c r="Y49" i="83" s="1"/>
  <c r="I48" i="83"/>
  <c r="X48" i="83" s="1"/>
  <c r="Y48" i="83" s="1"/>
  <c r="I47" i="83"/>
  <c r="X47" i="83" s="1"/>
  <c r="Y47" i="83" s="1"/>
  <c r="E47" i="83"/>
  <c r="I46" i="83"/>
  <c r="X46" i="83" s="1"/>
  <c r="Y46" i="83" s="1"/>
  <c r="I45" i="83"/>
  <c r="X45" i="83" s="1"/>
  <c r="Y45" i="83" s="1"/>
  <c r="I44" i="83"/>
  <c r="X44" i="83" s="1"/>
  <c r="Y44" i="83" s="1"/>
  <c r="I43" i="83"/>
  <c r="X43" i="83" s="1"/>
  <c r="Y43" i="83" s="1"/>
  <c r="I42" i="83"/>
  <c r="X42" i="83" s="1"/>
  <c r="Y42" i="83" s="1"/>
  <c r="I41" i="83"/>
  <c r="X41" i="83" s="1"/>
  <c r="Y41" i="83" s="1"/>
  <c r="Y37" i="83"/>
  <c r="J37" i="83"/>
  <c r="Y36" i="83"/>
  <c r="J36" i="83"/>
  <c r="G32" i="83"/>
  <c r="T31" i="83"/>
  <c r="V32" i="83" s="1"/>
  <c r="D28" i="83"/>
  <c r="E23" i="83" s="1"/>
  <c r="I23" i="83" s="1"/>
  <c r="C28" i="83"/>
  <c r="T27" i="83"/>
  <c r="X27" i="83" s="1"/>
  <c r="T26" i="83"/>
  <c r="X26" i="83" s="1"/>
  <c r="T25" i="83"/>
  <c r="X25" i="83" s="1"/>
  <c r="T24" i="83"/>
  <c r="X24" i="83" s="1"/>
  <c r="T23" i="83"/>
  <c r="X23" i="83" s="1"/>
  <c r="T22" i="83"/>
  <c r="X22" i="83" s="1"/>
  <c r="T21" i="83"/>
  <c r="X21" i="83" s="1"/>
  <c r="T20" i="83"/>
  <c r="X20" i="83" s="1"/>
  <c r="T19" i="83"/>
  <c r="X19" i="83" s="1"/>
  <c r="T18" i="83"/>
  <c r="X18" i="83" s="1"/>
  <c r="T17" i="83"/>
  <c r="X17" i="83" s="1"/>
  <c r="T16" i="83"/>
  <c r="X16" i="83" s="1"/>
  <c r="T15" i="83"/>
  <c r="X15" i="83" s="1"/>
  <c r="T14" i="83"/>
  <c r="X14" i="83" s="1"/>
  <c r="T13" i="83"/>
  <c r="T12" i="83"/>
  <c r="X12" i="83" s="1"/>
  <c r="I7" i="83"/>
  <c r="T6" i="83"/>
  <c r="I6" i="83"/>
  <c r="D92" i="83" s="1"/>
  <c r="R2" i="83"/>
  <c r="X103" i="82"/>
  <c r="I103" i="82"/>
  <c r="V102" i="82"/>
  <c r="V103" i="82" s="1"/>
  <c r="I102" i="82"/>
  <c r="G102" i="82"/>
  <c r="G103" i="82" s="1"/>
  <c r="X97" i="82"/>
  <c r="Y97" i="82" s="1"/>
  <c r="E98" i="82"/>
  <c r="T97" i="82"/>
  <c r="X96" i="82"/>
  <c r="T96" i="82"/>
  <c r="T92" i="82"/>
  <c r="G92" i="82"/>
  <c r="V92" i="82" s="1"/>
  <c r="T91" i="82"/>
  <c r="G91" i="82"/>
  <c r="V91" i="82" s="1"/>
  <c r="T90" i="82"/>
  <c r="G90" i="82"/>
  <c r="V90" i="82" s="1"/>
  <c r="V86" i="82"/>
  <c r="V85" i="82"/>
  <c r="Y81" i="82"/>
  <c r="X83" i="82" s="1"/>
  <c r="Y80" i="82"/>
  <c r="V70" i="82"/>
  <c r="V67" i="82"/>
  <c r="X64" i="82"/>
  <c r="X61" i="82"/>
  <c r="X58" i="82"/>
  <c r="X55" i="82"/>
  <c r="X52" i="82"/>
  <c r="T50" i="82"/>
  <c r="D50" i="82"/>
  <c r="E46" i="82" s="1"/>
  <c r="C50" i="82"/>
  <c r="I49" i="82"/>
  <c r="X49" i="82" s="1"/>
  <c r="Y49" i="82" s="1"/>
  <c r="I48" i="82"/>
  <c r="X48" i="82" s="1"/>
  <c r="Y48" i="82" s="1"/>
  <c r="I47" i="82"/>
  <c r="X47" i="82" s="1"/>
  <c r="Y47" i="82" s="1"/>
  <c r="I46" i="82"/>
  <c r="X46" i="82" s="1"/>
  <c r="Y46" i="82" s="1"/>
  <c r="I45" i="82"/>
  <c r="X45" i="82" s="1"/>
  <c r="Y45" i="82" s="1"/>
  <c r="I44" i="82"/>
  <c r="X44" i="82" s="1"/>
  <c r="Y44" i="82" s="1"/>
  <c r="I43" i="82"/>
  <c r="X43" i="82" s="1"/>
  <c r="Y43" i="82" s="1"/>
  <c r="I42" i="82"/>
  <c r="X42" i="82" s="1"/>
  <c r="Y42" i="82" s="1"/>
  <c r="I41" i="82"/>
  <c r="X41" i="82" s="1"/>
  <c r="Y41" i="82" s="1"/>
  <c r="Y37" i="82"/>
  <c r="J37" i="82"/>
  <c r="Y36" i="82"/>
  <c r="Y38" i="82" s="1"/>
  <c r="J36" i="82"/>
  <c r="G32" i="82"/>
  <c r="T31" i="82"/>
  <c r="V32" i="82" s="1"/>
  <c r="D28" i="82"/>
  <c r="E23" i="82" s="1"/>
  <c r="I23" i="82" s="1"/>
  <c r="C28" i="82"/>
  <c r="T27" i="82"/>
  <c r="X27" i="82" s="1"/>
  <c r="T26" i="82"/>
  <c r="X26" i="82" s="1"/>
  <c r="T25" i="82"/>
  <c r="X25" i="82" s="1"/>
  <c r="T24" i="82"/>
  <c r="X24" i="82" s="1"/>
  <c r="T23" i="82"/>
  <c r="X23" i="82" s="1"/>
  <c r="T22" i="82"/>
  <c r="X22" i="82" s="1"/>
  <c r="T21" i="82"/>
  <c r="X21" i="82" s="1"/>
  <c r="T20" i="82"/>
  <c r="X20" i="82" s="1"/>
  <c r="T19" i="82"/>
  <c r="X19" i="82" s="1"/>
  <c r="T18" i="82"/>
  <c r="X18" i="82" s="1"/>
  <c r="T17" i="82"/>
  <c r="X17" i="82" s="1"/>
  <c r="T16" i="82"/>
  <c r="X16" i="82" s="1"/>
  <c r="T15" i="82"/>
  <c r="X15" i="82" s="1"/>
  <c r="T14" i="82"/>
  <c r="X14" i="82" s="1"/>
  <c r="T13" i="82"/>
  <c r="T12" i="82"/>
  <c r="X12" i="82" s="1"/>
  <c r="I7" i="82"/>
  <c r="T6" i="82"/>
  <c r="I6" i="82"/>
  <c r="R2" i="82"/>
  <c r="X103" i="81"/>
  <c r="I103" i="81"/>
  <c r="V102" i="81"/>
  <c r="V103" i="81" s="1"/>
  <c r="I102" i="81"/>
  <c r="I104" i="81" s="1"/>
  <c r="J104" i="81" s="1"/>
  <c r="G102" i="81"/>
  <c r="G103" i="81" s="1"/>
  <c r="J98" i="81"/>
  <c r="E98" i="81"/>
  <c r="T97" i="81"/>
  <c r="X96" i="81"/>
  <c r="T96" i="81"/>
  <c r="T92" i="81"/>
  <c r="G92" i="81"/>
  <c r="V92" i="81" s="1"/>
  <c r="T91" i="81"/>
  <c r="G91" i="81"/>
  <c r="V91" i="81" s="1"/>
  <c r="T90" i="81"/>
  <c r="G90" i="81"/>
  <c r="V90" i="81" s="1"/>
  <c r="V87" i="81"/>
  <c r="V86" i="81"/>
  <c r="Y81" i="81"/>
  <c r="Y80" i="81"/>
  <c r="V70" i="81"/>
  <c r="V67" i="81"/>
  <c r="X64" i="81"/>
  <c r="X61" i="81"/>
  <c r="X58" i="81"/>
  <c r="X55" i="81"/>
  <c r="X52" i="81"/>
  <c r="T50" i="81"/>
  <c r="D50" i="81"/>
  <c r="E46" i="81" s="1"/>
  <c r="C50" i="81"/>
  <c r="I49" i="81"/>
  <c r="X49" i="81" s="1"/>
  <c r="Y49" i="81" s="1"/>
  <c r="I48" i="81"/>
  <c r="X48" i="81" s="1"/>
  <c r="Y48" i="81" s="1"/>
  <c r="I47" i="81"/>
  <c r="X47" i="81" s="1"/>
  <c r="Y47" i="81" s="1"/>
  <c r="I46" i="81"/>
  <c r="X46" i="81" s="1"/>
  <c r="Y46" i="81" s="1"/>
  <c r="I45" i="81"/>
  <c r="X45" i="81" s="1"/>
  <c r="Y45" i="81" s="1"/>
  <c r="I44" i="81"/>
  <c r="X44" i="81" s="1"/>
  <c r="Y44" i="81" s="1"/>
  <c r="I43" i="81"/>
  <c r="X43" i="81" s="1"/>
  <c r="Y43" i="81" s="1"/>
  <c r="I42" i="81"/>
  <c r="X42" i="81" s="1"/>
  <c r="Y42" i="81" s="1"/>
  <c r="I41" i="81"/>
  <c r="X41" i="81" s="1"/>
  <c r="Y41" i="81" s="1"/>
  <c r="Y37" i="81"/>
  <c r="J37" i="81"/>
  <c r="Y36" i="81"/>
  <c r="Y38" i="81" s="1"/>
  <c r="J36" i="81"/>
  <c r="J38" i="81" s="1"/>
  <c r="G32" i="81"/>
  <c r="T31" i="81"/>
  <c r="V32" i="81" s="1"/>
  <c r="D28" i="81"/>
  <c r="E23" i="81" s="1"/>
  <c r="I23" i="81" s="1"/>
  <c r="C28" i="81"/>
  <c r="T27" i="81"/>
  <c r="X27" i="81" s="1"/>
  <c r="T26" i="81"/>
  <c r="X26" i="81" s="1"/>
  <c r="T25" i="81"/>
  <c r="X25" i="81" s="1"/>
  <c r="T24" i="81"/>
  <c r="X24" i="81" s="1"/>
  <c r="T23" i="81"/>
  <c r="X23" i="81" s="1"/>
  <c r="T22" i="81"/>
  <c r="X22" i="81" s="1"/>
  <c r="T21" i="81"/>
  <c r="X21" i="81" s="1"/>
  <c r="T20" i="81"/>
  <c r="X20" i="81" s="1"/>
  <c r="T19" i="81"/>
  <c r="X19" i="81" s="1"/>
  <c r="T18" i="81"/>
  <c r="X18" i="81" s="1"/>
  <c r="T17" i="81"/>
  <c r="X17" i="81" s="1"/>
  <c r="T16" i="81"/>
  <c r="X16" i="81" s="1"/>
  <c r="T15" i="81"/>
  <c r="X15" i="81" s="1"/>
  <c r="T14" i="81"/>
  <c r="X14" i="81" s="1"/>
  <c r="T13" i="81"/>
  <c r="T12" i="81"/>
  <c r="X12" i="81" s="1"/>
  <c r="I7" i="81"/>
  <c r="T6" i="81"/>
  <c r="I6" i="81"/>
  <c r="R2" i="81"/>
  <c r="X103" i="80"/>
  <c r="I103" i="80"/>
  <c r="X102" i="80"/>
  <c r="I102" i="80"/>
  <c r="I104" i="80" s="1"/>
  <c r="J104" i="80" s="1"/>
  <c r="G102" i="80"/>
  <c r="G103" i="80" s="1"/>
  <c r="J98" i="80"/>
  <c r="E98" i="80"/>
  <c r="T97" i="80"/>
  <c r="X96" i="80"/>
  <c r="T96" i="80"/>
  <c r="T92" i="80"/>
  <c r="G92" i="80"/>
  <c r="V92" i="80" s="1"/>
  <c r="T91" i="80"/>
  <c r="G91" i="80"/>
  <c r="V91" i="80" s="1"/>
  <c r="T90" i="80"/>
  <c r="G90" i="80"/>
  <c r="V90" i="80" s="1"/>
  <c r="V86" i="80"/>
  <c r="V85" i="80"/>
  <c r="Y81" i="80"/>
  <c r="J81" i="80"/>
  <c r="Y80" i="80"/>
  <c r="V70" i="80"/>
  <c r="V67" i="80"/>
  <c r="X64" i="80"/>
  <c r="X61" i="80"/>
  <c r="X58" i="80"/>
  <c r="X55" i="80"/>
  <c r="X52" i="80"/>
  <c r="T50" i="80"/>
  <c r="D50" i="80"/>
  <c r="E46" i="80" s="1"/>
  <c r="C50" i="80"/>
  <c r="I49" i="80"/>
  <c r="X49" i="80" s="1"/>
  <c r="Y49" i="80" s="1"/>
  <c r="I48" i="80"/>
  <c r="X48" i="80" s="1"/>
  <c r="Y48" i="80" s="1"/>
  <c r="I47" i="80"/>
  <c r="X47" i="80" s="1"/>
  <c r="Y47" i="80" s="1"/>
  <c r="I46" i="80"/>
  <c r="X46" i="80" s="1"/>
  <c r="Y46" i="80" s="1"/>
  <c r="I45" i="80"/>
  <c r="X45" i="80" s="1"/>
  <c r="Y45" i="80" s="1"/>
  <c r="I44" i="80"/>
  <c r="X44" i="80" s="1"/>
  <c r="Y44" i="80" s="1"/>
  <c r="I43" i="80"/>
  <c r="X43" i="80" s="1"/>
  <c r="Y43" i="80" s="1"/>
  <c r="I42" i="80"/>
  <c r="X42" i="80" s="1"/>
  <c r="Y42" i="80" s="1"/>
  <c r="I41" i="80"/>
  <c r="X41" i="80" s="1"/>
  <c r="Y41" i="80" s="1"/>
  <c r="Y37" i="80"/>
  <c r="J37" i="80"/>
  <c r="Y36" i="80"/>
  <c r="J36" i="80"/>
  <c r="G32" i="80"/>
  <c r="T31" i="80"/>
  <c r="V32" i="80" s="1"/>
  <c r="D28" i="80"/>
  <c r="E23" i="80" s="1"/>
  <c r="I23" i="80" s="1"/>
  <c r="C28" i="80"/>
  <c r="T27" i="80"/>
  <c r="X27" i="80" s="1"/>
  <c r="T26" i="80"/>
  <c r="X26" i="80" s="1"/>
  <c r="T25" i="80"/>
  <c r="X25" i="80" s="1"/>
  <c r="T24" i="80"/>
  <c r="X24" i="80" s="1"/>
  <c r="T23" i="80"/>
  <c r="X23" i="80" s="1"/>
  <c r="T22" i="80"/>
  <c r="X22" i="80" s="1"/>
  <c r="T21" i="80"/>
  <c r="X21" i="80" s="1"/>
  <c r="T20" i="80"/>
  <c r="X20" i="80" s="1"/>
  <c r="T19" i="80"/>
  <c r="X19" i="80" s="1"/>
  <c r="T18" i="80"/>
  <c r="X18" i="80" s="1"/>
  <c r="T17" i="80"/>
  <c r="X17" i="80" s="1"/>
  <c r="T16" i="80"/>
  <c r="X16" i="80" s="1"/>
  <c r="T15" i="80"/>
  <c r="X15" i="80" s="1"/>
  <c r="T14" i="80"/>
  <c r="X14" i="80" s="1"/>
  <c r="T13" i="80"/>
  <c r="T12" i="80"/>
  <c r="X12" i="80" s="1"/>
  <c r="I7" i="80"/>
  <c r="T6" i="80"/>
  <c r="I6" i="80"/>
  <c r="D90" i="80" s="1"/>
  <c r="R2" i="80"/>
  <c r="X103" i="79"/>
  <c r="I103" i="79"/>
  <c r="V102" i="79"/>
  <c r="V103" i="79" s="1"/>
  <c r="I102" i="79"/>
  <c r="I104" i="79" s="1"/>
  <c r="J104" i="79" s="1"/>
  <c r="G102" i="79"/>
  <c r="G103" i="79" s="1"/>
  <c r="J98" i="79"/>
  <c r="E98" i="79"/>
  <c r="T97" i="79"/>
  <c r="X96" i="79"/>
  <c r="T96" i="79"/>
  <c r="T92" i="79"/>
  <c r="G92" i="79"/>
  <c r="V92" i="79" s="1"/>
  <c r="T91" i="79"/>
  <c r="G91" i="79"/>
  <c r="V91" i="79" s="1"/>
  <c r="T90" i="79"/>
  <c r="G90" i="79"/>
  <c r="V90" i="79" s="1"/>
  <c r="V87" i="79"/>
  <c r="V86" i="79"/>
  <c r="V85" i="79"/>
  <c r="V83" i="79"/>
  <c r="Y81" i="79"/>
  <c r="X83" i="79" s="1"/>
  <c r="Y80" i="79"/>
  <c r="V71" i="79"/>
  <c r="V70" i="79"/>
  <c r="V67" i="79"/>
  <c r="X64" i="79"/>
  <c r="X61" i="79"/>
  <c r="X58" i="79"/>
  <c r="X55" i="79"/>
  <c r="X52" i="79"/>
  <c r="T50" i="79"/>
  <c r="D50" i="79"/>
  <c r="C50" i="79"/>
  <c r="I49" i="79"/>
  <c r="X49" i="79" s="1"/>
  <c r="Y49" i="79" s="1"/>
  <c r="I48" i="79"/>
  <c r="X48" i="79" s="1"/>
  <c r="Y48" i="79" s="1"/>
  <c r="I47" i="79"/>
  <c r="X47" i="79" s="1"/>
  <c r="Y47" i="79" s="1"/>
  <c r="I46" i="79"/>
  <c r="X46" i="79" s="1"/>
  <c r="Y46" i="79" s="1"/>
  <c r="I45" i="79"/>
  <c r="X45" i="79" s="1"/>
  <c r="Y45" i="79" s="1"/>
  <c r="I44" i="79"/>
  <c r="X44" i="79" s="1"/>
  <c r="Y44" i="79" s="1"/>
  <c r="I43" i="79"/>
  <c r="X43" i="79" s="1"/>
  <c r="Y43" i="79" s="1"/>
  <c r="I42" i="79"/>
  <c r="X42" i="79" s="1"/>
  <c r="Y42" i="79" s="1"/>
  <c r="I41" i="79"/>
  <c r="X41" i="79" s="1"/>
  <c r="Y41" i="79" s="1"/>
  <c r="Y37" i="79"/>
  <c r="J37" i="79"/>
  <c r="Y36" i="79"/>
  <c r="Y38" i="79" s="1"/>
  <c r="J36" i="79"/>
  <c r="G32" i="79"/>
  <c r="T31" i="79"/>
  <c r="V32" i="79" s="1"/>
  <c r="D28" i="79"/>
  <c r="E23" i="79" s="1"/>
  <c r="I23" i="79" s="1"/>
  <c r="C28" i="79"/>
  <c r="T27" i="79"/>
  <c r="X27" i="79" s="1"/>
  <c r="T26" i="79"/>
  <c r="X26" i="79" s="1"/>
  <c r="T25" i="79"/>
  <c r="X25" i="79" s="1"/>
  <c r="T24" i="79"/>
  <c r="X24" i="79" s="1"/>
  <c r="T23" i="79"/>
  <c r="X23" i="79" s="1"/>
  <c r="T22" i="79"/>
  <c r="X22" i="79" s="1"/>
  <c r="T21" i="79"/>
  <c r="X21" i="79" s="1"/>
  <c r="T20" i="79"/>
  <c r="X20" i="79" s="1"/>
  <c r="T19" i="79"/>
  <c r="X19" i="79" s="1"/>
  <c r="T18" i="79"/>
  <c r="X18" i="79" s="1"/>
  <c r="T17" i="79"/>
  <c r="X17" i="79" s="1"/>
  <c r="T16" i="79"/>
  <c r="X16" i="79" s="1"/>
  <c r="T15" i="79"/>
  <c r="X15" i="79" s="1"/>
  <c r="T14" i="79"/>
  <c r="X14" i="79" s="1"/>
  <c r="T13" i="79"/>
  <c r="T12" i="79"/>
  <c r="X12" i="79" s="1"/>
  <c r="I7" i="79"/>
  <c r="T6" i="79"/>
  <c r="I6" i="79"/>
  <c r="R2" i="79"/>
  <c r="X103" i="78"/>
  <c r="I103" i="78"/>
  <c r="V102" i="78"/>
  <c r="V103" i="78" s="1"/>
  <c r="I102" i="78"/>
  <c r="G102" i="78"/>
  <c r="G103" i="78" s="1"/>
  <c r="E98" i="78"/>
  <c r="T97" i="78"/>
  <c r="X96" i="78"/>
  <c r="E97" i="78"/>
  <c r="T96" i="78"/>
  <c r="T92" i="78"/>
  <c r="G92" i="78"/>
  <c r="V92" i="78" s="1"/>
  <c r="T91" i="78"/>
  <c r="G91" i="78"/>
  <c r="V91" i="78" s="1"/>
  <c r="T90" i="78"/>
  <c r="G90" i="78"/>
  <c r="V90" i="78" s="1"/>
  <c r="V86" i="78"/>
  <c r="V85" i="78"/>
  <c r="V83" i="78"/>
  <c r="Y81" i="78"/>
  <c r="X83" i="78" s="1"/>
  <c r="J81" i="78"/>
  <c r="Y80" i="78"/>
  <c r="V70" i="78"/>
  <c r="V67" i="78"/>
  <c r="X64" i="78"/>
  <c r="X61" i="78"/>
  <c r="X58" i="78"/>
  <c r="X55" i="78"/>
  <c r="X52" i="78"/>
  <c r="T50" i="78"/>
  <c r="D50" i="78"/>
  <c r="E46" i="78" s="1"/>
  <c r="C50" i="78"/>
  <c r="I49" i="78"/>
  <c r="X49" i="78" s="1"/>
  <c r="Y49" i="78" s="1"/>
  <c r="I48" i="78"/>
  <c r="X48" i="78" s="1"/>
  <c r="Y48" i="78" s="1"/>
  <c r="I47" i="78"/>
  <c r="X47" i="78" s="1"/>
  <c r="Y47" i="78" s="1"/>
  <c r="I46" i="78"/>
  <c r="X46" i="78" s="1"/>
  <c r="Y46" i="78" s="1"/>
  <c r="I45" i="78"/>
  <c r="X45" i="78" s="1"/>
  <c r="Y45" i="78" s="1"/>
  <c r="I44" i="78"/>
  <c r="X44" i="78" s="1"/>
  <c r="Y44" i="78" s="1"/>
  <c r="I43" i="78"/>
  <c r="X43" i="78" s="1"/>
  <c r="Y43" i="78" s="1"/>
  <c r="I42" i="78"/>
  <c r="X42" i="78" s="1"/>
  <c r="Y42" i="78" s="1"/>
  <c r="I41" i="78"/>
  <c r="X41" i="78" s="1"/>
  <c r="Y41" i="78" s="1"/>
  <c r="Y37" i="78"/>
  <c r="J37" i="78"/>
  <c r="Y36" i="78"/>
  <c r="Y38" i="78" s="1"/>
  <c r="J36" i="78"/>
  <c r="J38" i="78" s="1"/>
  <c r="G32" i="78"/>
  <c r="T31" i="78"/>
  <c r="V32" i="78" s="1"/>
  <c r="D28" i="78"/>
  <c r="E23" i="78" s="1"/>
  <c r="I23" i="78" s="1"/>
  <c r="C28" i="78"/>
  <c r="T27" i="78"/>
  <c r="X27" i="78" s="1"/>
  <c r="T26" i="78"/>
  <c r="X26" i="78" s="1"/>
  <c r="T25" i="78"/>
  <c r="X25" i="78" s="1"/>
  <c r="T24" i="78"/>
  <c r="X24" i="78" s="1"/>
  <c r="T23" i="78"/>
  <c r="X23" i="78" s="1"/>
  <c r="T22" i="78"/>
  <c r="X22" i="78" s="1"/>
  <c r="T21" i="78"/>
  <c r="X21" i="78" s="1"/>
  <c r="T20" i="78"/>
  <c r="X20" i="78" s="1"/>
  <c r="T19" i="78"/>
  <c r="X19" i="78" s="1"/>
  <c r="T18" i="78"/>
  <c r="X18" i="78" s="1"/>
  <c r="T17" i="78"/>
  <c r="X17" i="78" s="1"/>
  <c r="T16" i="78"/>
  <c r="X16" i="78" s="1"/>
  <c r="T15" i="78"/>
  <c r="X15" i="78" s="1"/>
  <c r="T14" i="78"/>
  <c r="X14" i="78" s="1"/>
  <c r="T13" i="78"/>
  <c r="X13" i="78" s="1"/>
  <c r="T12" i="78"/>
  <c r="X12" i="78" s="1"/>
  <c r="I7" i="78"/>
  <c r="T6" i="78"/>
  <c r="I6" i="78"/>
  <c r="D92" i="78" s="1"/>
  <c r="R2" i="78"/>
  <c r="X103" i="77"/>
  <c r="I103" i="77"/>
  <c r="X102" i="77"/>
  <c r="I102" i="77"/>
  <c r="I104" i="77" s="1"/>
  <c r="J104" i="77" s="1"/>
  <c r="G102" i="77"/>
  <c r="G103" i="77" s="1"/>
  <c r="J98" i="77"/>
  <c r="E98" i="77"/>
  <c r="T97" i="77"/>
  <c r="X96" i="77"/>
  <c r="T92" i="77"/>
  <c r="G92" i="77"/>
  <c r="V92" i="77" s="1"/>
  <c r="T91" i="77"/>
  <c r="G91" i="77"/>
  <c r="V91" i="77" s="1"/>
  <c r="T90" i="77"/>
  <c r="G90" i="77"/>
  <c r="V90" i="77" s="1"/>
  <c r="V87" i="77"/>
  <c r="V86" i="77"/>
  <c r="V85" i="77"/>
  <c r="Y81" i="77"/>
  <c r="X83" i="77" s="1"/>
  <c r="Y80" i="77"/>
  <c r="V71" i="77"/>
  <c r="V67" i="77"/>
  <c r="X64" i="77"/>
  <c r="X61" i="77"/>
  <c r="X58" i="77"/>
  <c r="X55" i="77"/>
  <c r="X52" i="77"/>
  <c r="T50" i="77"/>
  <c r="D50" i="77"/>
  <c r="E46" i="77" s="1"/>
  <c r="C50" i="77"/>
  <c r="I49" i="77"/>
  <c r="X49" i="77" s="1"/>
  <c r="Y49" i="77" s="1"/>
  <c r="I48" i="77"/>
  <c r="X48" i="77" s="1"/>
  <c r="Y48" i="77" s="1"/>
  <c r="I47" i="77"/>
  <c r="X47" i="77" s="1"/>
  <c r="Y47" i="77" s="1"/>
  <c r="I46" i="77"/>
  <c r="X46" i="77" s="1"/>
  <c r="Y46" i="77" s="1"/>
  <c r="I45" i="77"/>
  <c r="X45" i="77" s="1"/>
  <c r="Y45" i="77" s="1"/>
  <c r="I44" i="77"/>
  <c r="X44" i="77" s="1"/>
  <c r="Y44" i="77" s="1"/>
  <c r="I43" i="77"/>
  <c r="X43" i="77" s="1"/>
  <c r="Y43" i="77" s="1"/>
  <c r="I42" i="77"/>
  <c r="X42" i="77" s="1"/>
  <c r="Y42" i="77" s="1"/>
  <c r="I41" i="77"/>
  <c r="X41" i="77" s="1"/>
  <c r="Y41" i="77" s="1"/>
  <c r="Y37" i="77"/>
  <c r="J37" i="77"/>
  <c r="Y36" i="77"/>
  <c r="J36" i="77"/>
  <c r="G32" i="77"/>
  <c r="T31" i="77"/>
  <c r="V32" i="77" s="1"/>
  <c r="D28" i="77"/>
  <c r="E23" i="77" s="1"/>
  <c r="C28" i="77"/>
  <c r="I7" i="77"/>
  <c r="T6" i="77"/>
  <c r="I6" i="77"/>
  <c r="R2" i="77"/>
  <c r="X103" i="76"/>
  <c r="I103" i="76"/>
  <c r="V102" i="76"/>
  <c r="V103" i="76" s="1"/>
  <c r="I102" i="76"/>
  <c r="I104" i="76" s="1"/>
  <c r="J104" i="76" s="1"/>
  <c r="G102" i="76"/>
  <c r="G103" i="76" s="1"/>
  <c r="J98" i="76"/>
  <c r="E98" i="76"/>
  <c r="T97" i="76"/>
  <c r="X96" i="76"/>
  <c r="T96" i="76"/>
  <c r="T92" i="76"/>
  <c r="G92" i="76"/>
  <c r="V92" i="76" s="1"/>
  <c r="T91" i="76"/>
  <c r="G91" i="76"/>
  <c r="V91" i="76" s="1"/>
  <c r="T90" i="76"/>
  <c r="G90" i="76"/>
  <c r="V90" i="76" s="1"/>
  <c r="V87" i="76"/>
  <c r="V86" i="76"/>
  <c r="V83" i="76"/>
  <c r="Y81" i="76"/>
  <c r="X83" i="76" s="1"/>
  <c r="J81" i="76"/>
  <c r="Y80" i="76"/>
  <c r="V67" i="76"/>
  <c r="X64" i="76"/>
  <c r="X61" i="76"/>
  <c r="X58" i="76"/>
  <c r="X55" i="76"/>
  <c r="X52" i="76"/>
  <c r="T50" i="76"/>
  <c r="D50" i="76"/>
  <c r="E46" i="76" s="1"/>
  <c r="I49" i="76"/>
  <c r="X49" i="76" s="1"/>
  <c r="Y49" i="76" s="1"/>
  <c r="I48" i="76"/>
  <c r="X48" i="76" s="1"/>
  <c r="Y48" i="76" s="1"/>
  <c r="I47" i="76"/>
  <c r="X47" i="76" s="1"/>
  <c r="Y47" i="76" s="1"/>
  <c r="I46" i="76"/>
  <c r="X46" i="76" s="1"/>
  <c r="Y46" i="76" s="1"/>
  <c r="I45" i="76"/>
  <c r="X45" i="76" s="1"/>
  <c r="Y45" i="76" s="1"/>
  <c r="I44" i="76"/>
  <c r="X44" i="76" s="1"/>
  <c r="Y44" i="76" s="1"/>
  <c r="I43" i="76"/>
  <c r="X43" i="76" s="1"/>
  <c r="Y43" i="76" s="1"/>
  <c r="I42" i="76"/>
  <c r="X42" i="76" s="1"/>
  <c r="Y42" i="76" s="1"/>
  <c r="I41" i="76"/>
  <c r="X41" i="76" s="1"/>
  <c r="Y41" i="76" s="1"/>
  <c r="Y38" i="76"/>
  <c r="J36" i="76"/>
  <c r="J38" i="76" s="1"/>
  <c r="G32" i="76"/>
  <c r="T31" i="76"/>
  <c r="V32" i="76" s="1"/>
  <c r="D28" i="76"/>
  <c r="E23" i="76" s="1"/>
  <c r="I23" i="76" s="1"/>
  <c r="C28" i="76"/>
  <c r="I7" i="76"/>
  <c r="T6" i="76"/>
  <c r="I6" i="76"/>
  <c r="R2" i="76"/>
  <c r="X103" i="75"/>
  <c r="I103" i="75"/>
  <c r="V102" i="75"/>
  <c r="V103" i="75" s="1"/>
  <c r="I102" i="75"/>
  <c r="G102" i="75"/>
  <c r="G103" i="75" s="1"/>
  <c r="X97" i="75"/>
  <c r="E98" i="75"/>
  <c r="T97" i="75"/>
  <c r="X96" i="75"/>
  <c r="T96" i="75"/>
  <c r="T92" i="75"/>
  <c r="G92" i="75"/>
  <c r="V92" i="75" s="1"/>
  <c r="T91" i="75"/>
  <c r="G91" i="75"/>
  <c r="V91" i="75" s="1"/>
  <c r="T90" i="75"/>
  <c r="G90" i="75"/>
  <c r="V90" i="75" s="1"/>
  <c r="V86" i="75"/>
  <c r="J81" i="75"/>
  <c r="Y80" i="75"/>
  <c r="V67" i="75"/>
  <c r="X64" i="75"/>
  <c r="X61" i="75"/>
  <c r="X58" i="75"/>
  <c r="X55" i="75"/>
  <c r="X52" i="75"/>
  <c r="T50" i="75"/>
  <c r="D50" i="75"/>
  <c r="E46" i="75" s="1"/>
  <c r="C50" i="75"/>
  <c r="I49" i="75"/>
  <c r="X49" i="75" s="1"/>
  <c r="Y49" i="75" s="1"/>
  <c r="I48" i="75"/>
  <c r="X48" i="75" s="1"/>
  <c r="Y48" i="75" s="1"/>
  <c r="I47" i="75"/>
  <c r="X47" i="75" s="1"/>
  <c r="Y47" i="75" s="1"/>
  <c r="I46" i="75"/>
  <c r="X46" i="75" s="1"/>
  <c r="Y46" i="75" s="1"/>
  <c r="I45" i="75"/>
  <c r="X45" i="75" s="1"/>
  <c r="Y45" i="75" s="1"/>
  <c r="I44" i="75"/>
  <c r="X44" i="75" s="1"/>
  <c r="Y44" i="75" s="1"/>
  <c r="I43" i="75"/>
  <c r="X43" i="75" s="1"/>
  <c r="Y43" i="75" s="1"/>
  <c r="I42" i="75"/>
  <c r="X42" i="75" s="1"/>
  <c r="Y42" i="75" s="1"/>
  <c r="I41" i="75"/>
  <c r="X41" i="75" s="1"/>
  <c r="Y41" i="75" s="1"/>
  <c r="Y37" i="75"/>
  <c r="J37" i="75"/>
  <c r="Y36" i="75"/>
  <c r="Y38" i="75" s="1"/>
  <c r="J36" i="75"/>
  <c r="J38" i="75" s="1"/>
  <c r="G32" i="75"/>
  <c r="T31" i="75"/>
  <c r="V32" i="75" s="1"/>
  <c r="D28" i="75"/>
  <c r="E23" i="75" s="1"/>
  <c r="I23" i="75" s="1"/>
  <c r="C28" i="75"/>
  <c r="T27" i="75"/>
  <c r="X27" i="75" s="1"/>
  <c r="T26" i="75"/>
  <c r="X26" i="75" s="1"/>
  <c r="T25" i="75"/>
  <c r="X25" i="75" s="1"/>
  <c r="T24" i="75"/>
  <c r="X24" i="75" s="1"/>
  <c r="T23" i="75"/>
  <c r="X23" i="75" s="1"/>
  <c r="T22" i="75"/>
  <c r="X22" i="75" s="1"/>
  <c r="T21" i="75"/>
  <c r="X21" i="75" s="1"/>
  <c r="T20" i="75"/>
  <c r="X20" i="75" s="1"/>
  <c r="T19" i="75"/>
  <c r="X19" i="75" s="1"/>
  <c r="T18" i="75"/>
  <c r="X18" i="75" s="1"/>
  <c r="T17" i="75"/>
  <c r="X17" i="75" s="1"/>
  <c r="T16" i="75"/>
  <c r="X16" i="75" s="1"/>
  <c r="T15" i="75"/>
  <c r="X15" i="75" s="1"/>
  <c r="T14" i="75"/>
  <c r="X14" i="75" s="1"/>
  <c r="T13" i="75"/>
  <c r="T12" i="75"/>
  <c r="X12" i="75" s="1"/>
  <c r="I7" i="75"/>
  <c r="T6" i="75"/>
  <c r="I6" i="75"/>
  <c r="R2" i="75"/>
  <c r="X103" i="74"/>
  <c r="I103" i="74"/>
  <c r="X102" i="74"/>
  <c r="I102" i="74"/>
  <c r="I104" i="74" s="1"/>
  <c r="J104" i="74" s="1"/>
  <c r="G102" i="74"/>
  <c r="G103" i="74" s="1"/>
  <c r="X97" i="74"/>
  <c r="Y97" i="74" s="1"/>
  <c r="E98" i="74"/>
  <c r="T97" i="74"/>
  <c r="X96" i="74"/>
  <c r="T96" i="74"/>
  <c r="T92" i="74"/>
  <c r="G92" i="74"/>
  <c r="V92" i="74" s="1"/>
  <c r="T91" i="74"/>
  <c r="G91" i="74"/>
  <c r="V91" i="74" s="1"/>
  <c r="T90" i="74"/>
  <c r="G90" i="74"/>
  <c r="V90" i="74" s="1"/>
  <c r="V86" i="74"/>
  <c r="V85" i="74"/>
  <c r="Y81" i="74"/>
  <c r="Y80" i="74"/>
  <c r="V67" i="74"/>
  <c r="X64" i="74"/>
  <c r="X61" i="74"/>
  <c r="X58" i="74"/>
  <c r="X55" i="74"/>
  <c r="X52" i="74"/>
  <c r="T50" i="74"/>
  <c r="D50" i="74"/>
  <c r="E46" i="74" s="1"/>
  <c r="C50" i="74"/>
  <c r="I49" i="74"/>
  <c r="X49" i="74" s="1"/>
  <c r="Y49" i="74" s="1"/>
  <c r="I48" i="74"/>
  <c r="X48" i="74" s="1"/>
  <c r="Y48" i="74" s="1"/>
  <c r="I47" i="74"/>
  <c r="X47" i="74" s="1"/>
  <c r="Y47" i="74" s="1"/>
  <c r="I46" i="74"/>
  <c r="X46" i="74" s="1"/>
  <c r="Y46" i="74" s="1"/>
  <c r="I45" i="74"/>
  <c r="X45" i="74" s="1"/>
  <c r="Y45" i="74" s="1"/>
  <c r="I44" i="74"/>
  <c r="X44" i="74" s="1"/>
  <c r="Y44" i="74" s="1"/>
  <c r="I43" i="74"/>
  <c r="X43" i="74" s="1"/>
  <c r="Y43" i="74" s="1"/>
  <c r="I42" i="74"/>
  <c r="X42" i="74" s="1"/>
  <c r="Y42" i="74" s="1"/>
  <c r="I41" i="74"/>
  <c r="X41" i="74" s="1"/>
  <c r="Y41" i="74" s="1"/>
  <c r="Y37" i="74"/>
  <c r="J37" i="74"/>
  <c r="Y36" i="74"/>
  <c r="J36" i="74"/>
  <c r="G32" i="74"/>
  <c r="T31" i="74"/>
  <c r="V32" i="74" s="1"/>
  <c r="D28" i="74"/>
  <c r="E23" i="74" s="1"/>
  <c r="I23" i="74" s="1"/>
  <c r="C28" i="74"/>
  <c r="T27" i="74"/>
  <c r="X27" i="74" s="1"/>
  <c r="T26" i="74"/>
  <c r="X26" i="74" s="1"/>
  <c r="T25" i="74"/>
  <c r="X25" i="74" s="1"/>
  <c r="T24" i="74"/>
  <c r="X24" i="74" s="1"/>
  <c r="T23" i="74"/>
  <c r="X23" i="74" s="1"/>
  <c r="T22" i="74"/>
  <c r="X22" i="74" s="1"/>
  <c r="T21" i="74"/>
  <c r="X21" i="74" s="1"/>
  <c r="T20" i="74"/>
  <c r="X20" i="74" s="1"/>
  <c r="T19" i="74"/>
  <c r="X19" i="74" s="1"/>
  <c r="T18" i="74"/>
  <c r="X18" i="74" s="1"/>
  <c r="T17" i="74"/>
  <c r="X17" i="74" s="1"/>
  <c r="T16" i="74"/>
  <c r="X16" i="74" s="1"/>
  <c r="T15" i="74"/>
  <c r="X15" i="74" s="1"/>
  <c r="T14" i="74"/>
  <c r="X14" i="74" s="1"/>
  <c r="T13" i="74"/>
  <c r="T12" i="74"/>
  <c r="X12" i="74" s="1"/>
  <c r="I7" i="74"/>
  <c r="T6" i="74"/>
  <c r="I6" i="74"/>
  <c r="R2" i="74"/>
  <c r="X103" i="73"/>
  <c r="I103" i="73"/>
  <c r="V102" i="73"/>
  <c r="V103" i="73" s="1"/>
  <c r="I102" i="73"/>
  <c r="I104" i="73" s="1"/>
  <c r="J104" i="73" s="1"/>
  <c r="G102" i="73"/>
  <c r="G103" i="73" s="1"/>
  <c r="J98" i="73"/>
  <c r="E98" i="73"/>
  <c r="T97" i="73"/>
  <c r="X96" i="73"/>
  <c r="T96" i="73"/>
  <c r="T92" i="73"/>
  <c r="G92" i="73"/>
  <c r="V92" i="73" s="1"/>
  <c r="T91" i="73"/>
  <c r="G91" i="73"/>
  <c r="V91" i="73" s="1"/>
  <c r="T90" i="73"/>
  <c r="G90" i="73"/>
  <c r="V90" i="73" s="1"/>
  <c r="V87" i="73"/>
  <c r="V85" i="73"/>
  <c r="Y81" i="73"/>
  <c r="J81" i="73"/>
  <c r="Y80" i="73"/>
  <c r="V67" i="73"/>
  <c r="X64" i="73"/>
  <c r="X61" i="73"/>
  <c r="X58" i="73"/>
  <c r="X55" i="73"/>
  <c r="X52" i="73"/>
  <c r="T50" i="73"/>
  <c r="D50" i="73"/>
  <c r="E46" i="73" s="1"/>
  <c r="C50" i="73"/>
  <c r="I49" i="73"/>
  <c r="X49" i="73" s="1"/>
  <c r="Y49" i="73" s="1"/>
  <c r="I48" i="73"/>
  <c r="X48" i="73" s="1"/>
  <c r="Y48" i="73" s="1"/>
  <c r="I47" i="73"/>
  <c r="X47" i="73" s="1"/>
  <c r="Y47" i="73" s="1"/>
  <c r="I46" i="73"/>
  <c r="X46" i="73" s="1"/>
  <c r="Y46" i="73" s="1"/>
  <c r="I45" i="73"/>
  <c r="X45" i="73" s="1"/>
  <c r="Y45" i="73" s="1"/>
  <c r="I44" i="73"/>
  <c r="X44" i="73" s="1"/>
  <c r="Y44" i="73" s="1"/>
  <c r="I43" i="73"/>
  <c r="X43" i="73" s="1"/>
  <c r="Y43" i="73" s="1"/>
  <c r="I42" i="73"/>
  <c r="X42" i="73" s="1"/>
  <c r="Y42" i="73" s="1"/>
  <c r="I41" i="73"/>
  <c r="X41" i="73" s="1"/>
  <c r="Y41" i="73" s="1"/>
  <c r="Y37" i="73"/>
  <c r="J37" i="73"/>
  <c r="Y36" i="73"/>
  <c r="Y38" i="73" s="1"/>
  <c r="J36" i="73"/>
  <c r="G32" i="73"/>
  <c r="T31" i="73"/>
  <c r="V32" i="73" s="1"/>
  <c r="D28" i="73"/>
  <c r="E23" i="73" s="1"/>
  <c r="I23" i="73" s="1"/>
  <c r="C28" i="73"/>
  <c r="T27" i="73"/>
  <c r="X27" i="73" s="1"/>
  <c r="T26" i="73"/>
  <c r="X26" i="73" s="1"/>
  <c r="T25" i="73"/>
  <c r="X25" i="73" s="1"/>
  <c r="T24" i="73"/>
  <c r="X24" i="73" s="1"/>
  <c r="T23" i="73"/>
  <c r="X23" i="73" s="1"/>
  <c r="T22" i="73"/>
  <c r="X22" i="73" s="1"/>
  <c r="T21" i="73"/>
  <c r="X21" i="73" s="1"/>
  <c r="T20" i="73"/>
  <c r="X20" i="73" s="1"/>
  <c r="T19" i="73"/>
  <c r="X19" i="73" s="1"/>
  <c r="T18" i="73"/>
  <c r="X18" i="73" s="1"/>
  <c r="T17" i="73"/>
  <c r="X17" i="73" s="1"/>
  <c r="T16" i="73"/>
  <c r="X16" i="73" s="1"/>
  <c r="T15" i="73"/>
  <c r="T14" i="73"/>
  <c r="X14" i="73" s="1"/>
  <c r="T13" i="73"/>
  <c r="X13" i="73" s="1"/>
  <c r="T12" i="73"/>
  <c r="X12" i="73" s="1"/>
  <c r="I7" i="73"/>
  <c r="T6" i="73"/>
  <c r="I6" i="73"/>
  <c r="R2" i="73"/>
  <c r="X103" i="72"/>
  <c r="I103" i="72"/>
  <c r="V102" i="72"/>
  <c r="V103" i="72" s="1"/>
  <c r="I102" i="72"/>
  <c r="I104" i="72" s="1"/>
  <c r="J104" i="72" s="1"/>
  <c r="G102" i="72"/>
  <c r="G103" i="72" s="1"/>
  <c r="X97" i="72"/>
  <c r="Y97" i="72" s="1"/>
  <c r="E98" i="72"/>
  <c r="T97" i="72"/>
  <c r="X96" i="72"/>
  <c r="T96" i="72"/>
  <c r="T92" i="72"/>
  <c r="G92" i="72"/>
  <c r="V92" i="72" s="1"/>
  <c r="T91" i="72"/>
  <c r="G91" i="72"/>
  <c r="V91" i="72" s="1"/>
  <c r="T90" i="72"/>
  <c r="G90" i="72"/>
  <c r="V90" i="72" s="1"/>
  <c r="V86" i="72"/>
  <c r="V83" i="72"/>
  <c r="Y81" i="72"/>
  <c r="J81" i="72"/>
  <c r="Y80" i="72"/>
  <c r="V70" i="72"/>
  <c r="V67" i="72"/>
  <c r="X64" i="72"/>
  <c r="X61" i="72"/>
  <c r="X58" i="72"/>
  <c r="X55" i="72"/>
  <c r="X52" i="72"/>
  <c r="T50" i="72"/>
  <c r="D50" i="72"/>
  <c r="E46" i="72" s="1"/>
  <c r="C50" i="72"/>
  <c r="I49" i="72"/>
  <c r="X49" i="72" s="1"/>
  <c r="Y49" i="72" s="1"/>
  <c r="I48" i="72"/>
  <c r="X48" i="72" s="1"/>
  <c r="Y48" i="72" s="1"/>
  <c r="I47" i="72"/>
  <c r="X47" i="72" s="1"/>
  <c r="Y47" i="72" s="1"/>
  <c r="I46" i="72"/>
  <c r="X46" i="72" s="1"/>
  <c r="Y46" i="72" s="1"/>
  <c r="I45" i="72"/>
  <c r="X45" i="72" s="1"/>
  <c r="Y45" i="72" s="1"/>
  <c r="I44" i="72"/>
  <c r="X44" i="72" s="1"/>
  <c r="Y44" i="72" s="1"/>
  <c r="I43" i="72"/>
  <c r="X43" i="72" s="1"/>
  <c r="Y43" i="72" s="1"/>
  <c r="I42" i="72"/>
  <c r="X42" i="72" s="1"/>
  <c r="Y42" i="72" s="1"/>
  <c r="I41" i="72"/>
  <c r="X41" i="72" s="1"/>
  <c r="Y41" i="72" s="1"/>
  <c r="Y37" i="72"/>
  <c r="J37" i="72"/>
  <c r="Y36" i="72"/>
  <c r="Y38" i="72" s="1"/>
  <c r="J36" i="72"/>
  <c r="J38" i="72" s="1"/>
  <c r="G32" i="72"/>
  <c r="T31" i="72"/>
  <c r="V32" i="72" s="1"/>
  <c r="D28" i="72"/>
  <c r="E23" i="72" s="1"/>
  <c r="I23" i="72" s="1"/>
  <c r="C28" i="72"/>
  <c r="T27" i="72"/>
  <c r="X27" i="72" s="1"/>
  <c r="T26" i="72"/>
  <c r="X26" i="72" s="1"/>
  <c r="T25" i="72"/>
  <c r="X25" i="72" s="1"/>
  <c r="T24" i="72"/>
  <c r="X24" i="72" s="1"/>
  <c r="T23" i="72"/>
  <c r="X23" i="72" s="1"/>
  <c r="T22" i="72"/>
  <c r="X22" i="72" s="1"/>
  <c r="T21" i="72"/>
  <c r="X21" i="72" s="1"/>
  <c r="T20" i="72"/>
  <c r="X20" i="72" s="1"/>
  <c r="T19" i="72"/>
  <c r="X19" i="72" s="1"/>
  <c r="T18" i="72"/>
  <c r="X18" i="72" s="1"/>
  <c r="T17" i="72"/>
  <c r="X17" i="72" s="1"/>
  <c r="T16" i="72"/>
  <c r="X16" i="72" s="1"/>
  <c r="T15" i="72"/>
  <c r="X15" i="72" s="1"/>
  <c r="T14" i="72"/>
  <c r="X14" i="72" s="1"/>
  <c r="T13" i="72"/>
  <c r="T12" i="72"/>
  <c r="X12" i="72" s="1"/>
  <c r="I7" i="72"/>
  <c r="T6" i="72"/>
  <c r="I6" i="72"/>
  <c r="R2" i="72"/>
  <c r="X103" i="71"/>
  <c r="I103" i="71"/>
  <c r="V102" i="71"/>
  <c r="V103" i="71" s="1"/>
  <c r="I102" i="71"/>
  <c r="I104" i="71" s="1"/>
  <c r="J104" i="71" s="1"/>
  <c r="G102" i="71"/>
  <c r="G103" i="71" s="1"/>
  <c r="X97" i="71"/>
  <c r="E98" i="71"/>
  <c r="T97" i="71"/>
  <c r="X96" i="71"/>
  <c r="E97" i="71"/>
  <c r="T96" i="71"/>
  <c r="T92" i="71"/>
  <c r="G92" i="71"/>
  <c r="V92" i="71" s="1"/>
  <c r="T91" i="71"/>
  <c r="G91" i="71"/>
  <c r="V91" i="71" s="1"/>
  <c r="T90" i="71"/>
  <c r="G90" i="71"/>
  <c r="V90" i="71" s="1"/>
  <c r="V86" i="71"/>
  <c r="V83" i="71"/>
  <c r="Y81" i="71"/>
  <c r="X83" i="71" s="1"/>
  <c r="J81" i="71"/>
  <c r="Y80" i="71"/>
  <c r="V71" i="71"/>
  <c r="V70" i="71"/>
  <c r="V67" i="71"/>
  <c r="X64" i="71"/>
  <c r="X61" i="71"/>
  <c r="X58" i="71"/>
  <c r="X55" i="71"/>
  <c r="X52" i="71"/>
  <c r="T50" i="71"/>
  <c r="D50" i="71"/>
  <c r="C50" i="71"/>
  <c r="I49" i="71"/>
  <c r="X49" i="71" s="1"/>
  <c r="Y49" i="71" s="1"/>
  <c r="I48" i="71"/>
  <c r="X48" i="71" s="1"/>
  <c r="Y48" i="71" s="1"/>
  <c r="I47" i="71"/>
  <c r="X47" i="71" s="1"/>
  <c r="Y47" i="71" s="1"/>
  <c r="I46" i="71"/>
  <c r="X46" i="71" s="1"/>
  <c r="Y46" i="71" s="1"/>
  <c r="I45" i="71"/>
  <c r="X45" i="71" s="1"/>
  <c r="Y45" i="71" s="1"/>
  <c r="I44" i="71"/>
  <c r="X44" i="71" s="1"/>
  <c r="Y44" i="71" s="1"/>
  <c r="I43" i="71"/>
  <c r="X43" i="71" s="1"/>
  <c r="Y43" i="71" s="1"/>
  <c r="I42" i="71"/>
  <c r="X42" i="71" s="1"/>
  <c r="Y42" i="71" s="1"/>
  <c r="I41" i="71"/>
  <c r="X41" i="71" s="1"/>
  <c r="Y41" i="71" s="1"/>
  <c r="Y37" i="71"/>
  <c r="J37" i="71"/>
  <c r="Y36" i="71"/>
  <c r="Y38" i="71" s="1"/>
  <c r="J36" i="71"/>
  <c r="G32" i="71"/>
  <c r="T31" i="71"/>
  <c r="V32" i="71" s="1"/>
  <c r="D28" i="71"/>
  <c r="E23" i="71" s="1"/>
  <c r="I23" i="71" s="1"/>
  <c r="C28" i="71"/>
  <c r="T27" i="71"/>
  <c r="X27" i="71" s="1"/>
  <c r="T26" i="71"/>
  <c r="X26" i="71" s="1"/>
  <c r="T25" i="71"/>
  <c r="X25" i="71" s="1"/>
  <c r="T24" i="71"/>
  <c r="X24" i="71" s="1"/>
  <c r="T23" i="71"/>
  <c r="X23" i="71" s="1"/>
  <c r="T22" i="71"/>
  <c r="X22" i="71" s="1"/>
  <c r="T21" i="71"/>
  <c r="X21" i="71" s="1"/>
  <c r="T20" i="71"/>
  <c r="X20" i="71" s="1"/>
  <c r="T19" i="71"/>
  <c r="X19" i="71" s="1"/>
  <c r="T18" i="71"/>
  <c r="X18" i="71" s="1"/>
  <c r="T17" i="71"/>
  <c r="X17" i="71" s="1"/>
  <c r="E17" i="71"/>
  <c r="I17" i="71" s="1"/>
  <c r="T16" i="71"/>
  <c r="X16" i="71" s="1"/>
  <c r="T15" i="71"/>
  <c r="X15" i="71" s="1"/>
  <c r="T14" i="71"/>
  <c r="X14" i="71" s="1"/>
  <c r="T13" i="71"/>
  <c r="T12" i="71"/>
  <c r="X12" i="71" s="1"/>
  <c r="I7" i="71"/>
  <c r="T6" i="71"/>
  <c r="I6" i="71"/>
  <c r="D92" i="71" s="1"/>
  <c r="R2" i="71"/>
  <c r="X103" i="70"/>
  <c r="I103" i="70"/>
  <c r="X102" i="70"/>
  <c r="I102" i="70"/>
  <c r="I104" i="70" s="1"/>
  <c r="J104" i="70" s="1"/>
  <c r="G102" i="70"/>
  <c r="G103" i="70" s="1"/>
  <c r="J98" i="70"/>
  <c r="E98" i="70"/>
  <c r="T97" i="70"/>
  <c r="X96" i="70"/>
  <c r="T96" i="70"/>
  <c r="T92" i="70"/>
  <c r="G92" i="70"/>
  <c r="V92" i="70" s="1"/>
  <c r="T91" i="70"/>
  <c r="G91" i="70"/>
  <c r="V91" i="70" s="1"/>
  <c r="T90" i="70"/>
  <c r="G90" i="70"/>
  <c r="V90" i="70" s="1"/>
  <c r="V86" i="70"/>
  <c r="V83" i="70"/>
  <c r="Y81" i="70"/>
  <c r="J81" i="70"/>
  <c r="Y80" i="70"/>
  <c r="V70" i="70"/>
  <c r="V67" i="70"/>
  <c r="X64" i="70"/>
  <c r="X61" i="70"/>
  <c r="X58" i="70"/>
  <c r="X55" i="70"/>
  <c r="X52" i="70"/>
  <c r="T50" i="70"/>
  <c r="D50" i="70"/>
  <c r="E46" i="70" s="1"/>
  <c r="C50" i="70"/>
  <c r="I49" i="70"/>
  <c r="X49" i="70" s="1"/>
  <c r="Y49" i="70" s="1"/>
  <c r="I48" i="70"/>
  <c r="X48" i="70" s="1"/>
  <c r="Y48" i="70" s="1"/>
  <c r="I47" i="70"/>
  <c r="X47" i="70" s="1"/>
  <c r="Y47" i="70" s="1"/>
  <c r="I46" i="70"/>
  <c r="X46" i="70" s="1"/>
  <c r="Y46" i="70" s="1"/>
  <c r="I45" i="70"/>
  <c r="X45" i="70" s="1"/>
  <c r="Y45" i="70" s="1"/>
  <c r="I44" i="70"/>
  <c r="X44" i="70" s="1"/>
  <c r="Y44" i="70" s="1"/>
  <c r="I43" i="70"/>
  <c r="X43" i="70" s="1"/>
  <c r="Y43" i="70" s="1"/>
  <c r="I42" i="70"/>
  <c r="X42" i="70" s="1"/>
  <c r="Y42" i="70" s="1"/>
  <c r="I41" i="70"/>
  <c r="X41" i="70" s="1"/>
  <c r="Y41" i="70" s="1"/>
  <c r="Y37" i="70"/>
  <c r="J37" i="70"/>
  <c r="Y36" i="70"/>
  <c r="J36" i="70"/>
  <c r="G32" i="70"/>
  <c r="T31" i="70"/>
  <c r="V32" i="70" s="1"/>
  <c r="D28" i="70"/>
  <c r="E23" i="70" s="1"/>
  <c r="I23" i="70" s="1"/>
  <c r="C28" i="70"/>
  <c r="T27" i="70"/>
  <c r="X27" i="70" s="1"/>
  <c r="T26" i="70"/>
  <c r="X26" i="70" s="1"/>
  <c r="T25" i="70"/>
  <c r="X25" i="70" s="1"/>
  <c r="T24" i="70"/>
  <c r="X24" i="70" s="1"/>
  <c r="T23" i="70"/>
  <c r="X23" i="70" s="1"/>
  <c r="T22" i="70"/>
  <c r="X22" i="70" s="1"/>
  <c r="T21" i="70"/>
  <c r="X21" i="70" s="1"/>
  <c r="T20" i="70"/>
  <c r="X20" i="70" s="1"/>
  <c r="T19" i="70"/>
  <c r="X19" i="70" s="1"/>
  <c r="T18" i="70"/>
  <c r="X18" i="70" s="1"/>
  <c r="T17" i="70"/>
  <c r="X17" i="70" s="1"/>
  <c r="T16" i="70"/>
  <c r="X16" i="70" s="1"/>
  <c r="T15" i="70"/>
  <c r="X15" i="70" s="1"/>
  <c r="T14" i="70"/>
  <c r="X14" i="70" s="1"/>
  <c r="T13" i="70"/>
  <c r="T12" i="70"/>
  <c r="X12" i="70" s="1"/>
  <c r="I7" i="70"/>
  <c r="T6" i="70"/>
  <c r="I6" i="70"/>
  <c r="R2" i="70"/>
  <c r="X103" i="69"/>
  <c r="I103" i="69"/>
  <c r="V102" i="69"/>
  <c r="V103" i="69" s="1"/>
  <c r="X102" i="69"/>
  <c r="I102" i="69"/>
  <c r="I104" i="69" s="1"/>
  <c r="J104" i="69" s="1"/>
  <c r="G102" i="69"/>
  <c r="G103" i="69" s="1"/>
  <c r="X97" i="69"/>
  <c r="Y97" i="69" s="1"/>
  <c r="E98" i="69"/>
  <c r="T97" i="69"/>
  <c r="X96" i="69"/>
  <c r="T96" i="69"/>
  <c r="T92" i="69"/>
  <c r="G92" i="69"/>
  <c r="V92" i="69" s="1"/>
  <c r="T91" i="69"/>
  <c r="G91" i="69"/>
  <c r="V91" i="69" s="1"/>
  <c r="T90" i="69"/>
  <c r="G90" i="69"/>
  <c r="V90" i="69" s="1"/>
  <c r="V86" i="69"/>
  <c r="V83" i="69"/>
  <c r="Y81" i="69"/>
  <c r="X83" i="69" s="1"/>
  <c r="J81" i="69"/>
  <c r="Y80" i="69"/>
  <c r="V71" i="69"/>
  <c r="V70" i="69"/>
  <c r="V67" i="69"/>
  <c r="X64" i="69"/>
  <c r="X61" i="69"/>
  <c r="X58" i="69"/>
  <c r="X55" i="69"/>
  <c r="X52" i="69"/>
  <c r="T50" i="69"/>
  <c r="D50" i="69"/>
  <c r="C50" i="69"/>
  <c r="I49" i="69"/>
  <c r="X49" i="69" s="1"/>
  <c r="Y49" i="69" s="1"/>
  <c r="I48" i="69"/>
  <c r="X48" i="69" s="1"/>
  <c r="Y48" i="69" s="1"/>
  <c r="I47" i="69"/>
  <c r="X47" i="69" s="1"/>
  <c r="Y47" i="69" s="1"/>
  <c r="I46" i="69"/>
  <c r="X46" i="69" s="1"/>
  <c r="Y46" i="69" s="1"/>
  <c r="I45" i="69"/>
  <c r="X45" i="69" s="1"/>
  <c r="Y45" i="69" s="1"/>
  <c r="I44" i="69"/>
  <c r="X44" i="69" s="1"/>
  <c r="Y44" i="69" s="1"/>
  <c r="I43" i="69"/>
  <c r="X43" i="69" s="1"/>
  <c r="Y43" i="69" s="1"/>
  <c r="I42" i="69"/>
  <c r="X42" i="69" s="1"/>
  <c r="Y42" i="69" s="1"/>
  <c r="I41" i="69"/>
  <c r="X41" i="69" s="1"/>
  <c r="Y41" i="69" s="1"/>
  <c r="Y37" i="69"/>
  <c r="J37" i="69"/>
  <c r="Y36" i="69"/>
  <c r="Y38" i="69" s="1"/>
  <c r="J36" i="69"/>
  <c r="G32" i="69"/>
  <c r="T31" i="69"/>
  <c r="V32" i="69" s="1"/>
  <c r="D28" i="69"/>
  <c r="E23" i="69" s="1"/>
  <c r="T23" i="69" s="1"/>
  <c r="X23" i="69" s="1"/>
  <c r="C28" i="69"/>
  <c r="E27" i="69"/>
  <c r="T27" i="69" s="1"/>
  <c r="X27" i="69" s="1"/>
  <c r="E21" i="69"/>
  <c r="I21" i="69" s="1"/>
  <c r="I7" i="69"/>
  <c r="T6" i="69"/>
  <c r="I6" i="69"/>
  <c r="R2" i="69"/>
  <c r="X103" i="68"/>
  <c r="I103" i="68"/>
  <c r="X102" i="68"/>
  <c r="I102" i="68"/>
  <c r="I104" i="68" s="1"/>
  <c r="J104" i="68" s="1"/>
  <c r="G102" i="68"/>
  <c r="G103" i="68" s="1"/>
  <c r="X97" i="68"/>
  <c r="Y97" i="68" s="1"/>
  <c r="E98" i="68"/>
  <c r="X96" i="68"/>
  <c r="T96" i="68"/>
  <c r="T92" i="68"/>
  <c r="G92" i="68"/>
  <c r="V92" i="68" s="1"/>
  <c r="T91" i="68"/>
  <c r="G91" i="68"/>
  <c r="V91" i="68" s="1"/>
  <c r="T90" i="68"/>
  <c r="G90" i="68"/>
  <c r="V90" i="68" s="1"/>
  <c r="V86" i="68"/>
  <c r="V85" i="68"/>
  <c r="Y81" i="68"/>
  <c r="X83" i="68" s="1"/>
  <c r="J81" i="68"/>
  <c r="Y80" i="68"/>
  <c r="V67" i="68"/>
  <c r="X64" i="68"/>
  <c r="X61" i="68"/>
  <c r="X58" i="68"/>
  <c r="X55" i="68"/>
  <c r="X52" i="68"/>
  <c r="T50" i="68"/>
  <c r="D50" i="68"/>
  <c r="E46" i="68" s="1"/>
  <c r="C50" i="68"/>
  <c r="I49" i="68"/>
  <c r="X49" i="68" s="1"/>
  <c r="Y49" i="68" s="1"/>
  <c r="I48" i="68"/>
  <c r="X48" i="68" s="1"/>
  <c r="Y48" i="68" s="1"/>
  <c r="I47" i="68"/>
  <c r="X47" i="68" s="1"/>
  <c r="Y47" i="68" s="1"/>
  <c r="I46" i="68"/>
  <c r="X46" i="68" s="1"/>
  <c r="Y46" i="68" s="1"/>
  <c r="I45" i="68"/>
  <c r="X45" i="68" s="1"/>
  <c r="Y45" i="68" s="1"/>
  <c r="I44" i="68"/>
  <c r="X44" i="68" s="1"/>
  <c r="Y44" i="68" s="1"/>
  <c r="I43" i="68"/>
  <c r="X43" i="68" s="1"/>
  <c r="Y43" i="68" s="1"/>
  <c r="I42" i="68"/>
  <c r="X42" i="68" s="1"/>
  <c r="Y42" i="68" s="1"/>
  <c r="I41" i="68"/>
  <c r="X41" i="68" s="1"/>
  <c r="Y41" i="68" s="1"/>
  <c r="J37" i="68"/>
  <c r="Y38" i="68"/>
  <c r="J36" i="68"/>
  <c r="J38" i="68" s="1"/>
  <c r="G32" i="68"/>
  <c r="T31" i="68"/>
  <c r="V32" i="68" s="1"/>
  <c r="D28" i="68"/>
  <c r="E23" i="68" s="1"/>
  <c r="C28" i="68"/>
  <c r="I7" i="68"/>
  <c r="T6" i="68"/>
  <c r="I6" i="68"/>
  <c r="R2" i="68"/>
  <c r="X103" i="67"/>
  <c r="I103" i="67"/>
  <c r="X102" i="67"/>
  <c r="I102" i="67"/>
  <c r="I104" i="67" s="1"/>
  <c r="J104" i="67" s="1"/>
  <c r="G102" i="67"/>
  <c r="G103" i="67" s="1"/>
  <c r="X97" i="67"/>
  <c r="X96" i="67"/>
  <c r="T96" i="67"/>
  <c r="T92" i="67"/>
  <c r="G92" i="67"/>
  <c r="V92" i="67" s="1"/>
  <c r="T91" i="67"/>
  <c r="G91" i="67"/>
  <c r="V91" i="67" s="1"/>
  <c r="T90" i="67"/>
  <c r="G90" i="67"/>
  <c r="V90" i="67" s="1"/>
  <c r="V87" i="67"/>
  <c r="V86" i="67"/>
  <c r="V83" i="67"/>
  <c r="Y81" i="67"/>
  <c r="X83" i="67" s="1"/>
  <c r="J81" i="67"/>
  <c r="Y80" i="67"/>
  <c r="V71" i="67"/>
  <c r="V70" i="67"/>
  <c r="V67" i="67"/>
  <c r="X64" i="67"/>
  <c r="X61" i="67"/>
  <c r="X58" i="67"/>
  <c r="X55" i="67"/>
  <c r="X52" i="67"/>
  <c r="T50" i="67"/>
  <c r="D50" i="67"/>
  <c r="C50" i="67"/>
  <c r="I49" i="67"/>
  <c r="X49" i="67" s="1"/>
  <c r="Y49" i="67" s="1"/>
  <c r="I48" i="67"/>
  <c r="X48" i="67" s="1"/>
  <c r="Y48" i="67" s="1"/>
  <c r="I47" i="67"/>
  <c r="X47" i="67" s="1"/>
  <c r="Y47" i="67" s="1"/>
  <c r="I46" i="67"/>
  <c r="X46" i="67" s="1"/>
  <c r="Y46" i="67" s="1"/>
  <c r="I45" i="67"/>
  <c r="X45" i="67" s="1"/>
  <c r="Y45" i="67" s="1"/>
  <c r="I44" i="67"/>
  <c r="X44" i="67" s="1"/>
  <c r="Y44" i="67" s="1"/>
  <c r="I43" i="67"/>
  <c r="X43" i="67" s="1"/>
  <c r="Y43" i="67" s="1"/>
  <c r="I42" i="67"/>
  <c r="X42" i="67" s="1"/>
  <c r="Y42" i="67" s="1"/>
  <c r="I41" i="67"/>
  <c r="X41" i="67" s="1"/>
  <c r="Y41" i="67" s="1"/>
  <c r="J37" i="67"/>
  <c r="Y38" i="67"/>
  <c r="J36" i="67"/>
  <c r="J38" i="67" s="1"/>
  <c r="G32" i="67"/>
  <c r="T31" i="67"/>
  <c r="V32" i="67" s="1"/>
  <c r="D28" i="67"/>
  <c r="E23" i="67" s="1"/>
  <c r="T23" i="67" s="1"/>
  <c r="X23" i="67" s="1"/>
  <c r="C28" i="67"/>
  <c r="I7" i="67"/>
  <c r="T6" i="67"/>
  <c r="I6" i="67"/>
  <c r="D90" i="67" s="1"/>
  <c r="R2" i="67"/>
  <c r="X103" i="66"/>
  <c r="I103" i="66"/>
  <c r="X102" i="66"/>
  <c r="I102" i="66"/>
  <c r="G102" i="66"/>
  <c r="G103" i="66" s="1"/>
  <c r="X97" i="66"/>
  <c r="X96" i="66"/>
  <c r="T92" i="66"/>
  <c r="G92" i="66"/>
  <c r="V92" i="66" s="1"/>
  <c r="T91" i="66"/>
  <c r="G91" i="66"/>
  <c r="V91" i="66" s="1"/>
  <c r="T90" i="66"/>
  <c r="G90" i="66"/>
  <c r="V90" i="66" s="1"/>
  <c r="V85" i="66"/>
  <c r="V83" i="66"/>
  <c r="Y81" i="66"/>
  <c r="X83" i="66" s="1"/>
  <c r="J81" i="66"/>
  <c r="Y80" i="66"/>
  <c r="V71" i="66"/>
  <c r="V70" i="66"/>
  <c r="V67" i="66"/>
  <c r="X64" i="66"/>
  <c r="X61" i="66"/>
  <c r="X58" i="66"/>
  <c r="X55" i="66"/>
  <c r="X52" i="66"/>
  <c r="T50" i="66"/>
  <c r="D50" i="66"/>
  <c r="C50" i="66"/>
  <c r="I49" i="66"/>
  <c r="X49" i="66" s="1"/>
  <c r="Y49" i="66" s="1"/>
  <c r="I48" i="66"/>
  <c r="X48" i="66" s="1"/>
  <c r="Y48" i="66" s="1"/>
  <c r="I47" i="66"/>
  <c r="X47" i="66" s="1"/>
  <c r="Y47" i="66" s="1"/>
  <c r="I46" i="66"/>
  <c r="X46" i="66" s="1"/>
  <c r="Y46" i="66" s="1"/>
  <c r="I45" i="66"/>
  <c r="X45" i="66" s="1"/>
  <c r="Y45" i="66" s="1"/>
  <c r="I44" i="66"/>
  <c r="X44" i="66" s="1"/>
  <c r="Y44" i="66" s="1"/>
  <c r="I43" i="66"/>
  <c r="X43" i="66" s="1"/>
  <c r="Y43" i="66" s="1"/>
  <c r="I42" i="66"/>
  <c r="X42" i="66" s="1"/>
  <c r="Y42" i="66" s="1"/>
  <c r="I41" i="66"/>
  <c r="X41" i="66" s="1"/>
  <c r="Y41" i="66" s="1"/>
  <c r="J37" i="66"/>
  <c r="J36" i="66"/>
  <c r="J38" i="66" s="1"/>
  <c r="G32" i="66"/>
  <c r="T31" i="66"/>
  <c r="V32" i="66" s="1"/>
  <c r="D28" i="66"/>
  <c r="E23" i="66" s="1"/>
  <c r="I23" i="66" s="1"/>
  <c r="C28" i="66"/>
  <c r="I7" i="66"/>
  <c r="T6" i="66"/>
  <c r="I6" i="66"/>
  <c r="D92" i="66" s="1"/>
  <c r="R2" i="66"/>
  <c r="E98" i="65"/>
  <c r="X103" i="65"/>
  <c r="I103" i="65"/>
  <c r="V102" i="65"/>
  <c r="V103" i="65" s="1"/>
  <c r="I102" i="65"/>
  <c r="G102" i="65"/>
  <c r="G103" i="65" s="1"/>
  <c r="X97" i="65"/>
  <c r="T97" i="65"/>
  <c r="X96" i="65"/>
  <c r="E97" i="65"/>
  <c r="T96" i="65"/>
  <c r="T92" i="65"/>
  <c r="G92" i="65"/>
  <c r="V92" i="65" s="1"/>
  <c r="T91" i="65"/>
  <c r="G91" i="65"/>
  <c r="V91" i="65" s="1"/>
  <c r="T90" i="65"/>
  <c r="G90" i="65"/>
  <c r="V90" i="65" s="1"/>
  <c r="V86" i="65"/>
  <c r="V83" i="65"/>
  <c r="Y81" i="65"/>
  <c r="J81" i="65"/>
  <c r="Y80" i="65"/>
  <c r="V71" i="65"/>
  <c r="V70" i="65"/>
  <c r="V67" i="65"/>
  <c r="X64" i="65"/>
  <c r="X61" i="65"/>
  <c r="X58" i="65"/>
  <c r="X55" i="65"/>
  <c r="X52" i="65"/>
  <c r="T50" i="65"/>
  <c r="D50" i="65"/>
  <c r="E46" i="65" s="1"/>
  <c r="C50" i="65"/>
  <c r="I49" i="65"/>
  <c r="X49" i="65" s="1"/>
  <c r="Y49" i="65" s="1"/>
  <c r="I48" i="65"/>
  <c r="X48" i="65" s="1"/>
  <c r="Y48" i="65" s="1"/>
  <c r="I47" i="65"/>
  <c r="X47" i="65" s="1"/>
  <c r="Y47" i="65" s="1"/>
  <c r="I46" i="65"/>
  <c r="X46" i="65" s="1"/>
  <c r="Y46" i="65" s="1"/>
  <c r="I45" i="65"/>
  <c r="X45" i="65" s="1"/>
  <c r="Y45" i="65" s="1"/>
  <c r="I44" i="65"/>
  <c r="X44" i="65" s="1"/>
  <c r="Y44" i="65" s="1"/>
  <c r="I43" i="65"/>
  <c r="X43" i="65" s="1"/>
  <c r="Y43" i="65" s="1"/>
  <c r="I42" i="65"/>
  <c r="X42" i="65" s="1"/>
  <c r="Y42" i="65" s="1"/>
  <c r="I41" i="65"/>
  <c r="X41" i="65" s="1"/>
  <c r="Y41" i="65" s="1"/>
  <c r="Y37" i="65"/>
  <c r="J37" i="65"/>
  <c r="Y36" i="65"/>
  <c r="Y38" i="65" s="1"/>
  <c r="J36" i="65"/>
  <c r="G32" i="65"/>
  <c r="T31" i="65"/>
  <c r="V32" i="65" s="1"/>
  <c r="D28" i="65"/>
  <c r="E23" i="65" s="1"/>
  <c r="I23" i="65" s="1"/>
  <c r="C28" i="65"/>
  <c r="T27" i="65"/>
  <c r="X27" i="65" s="1"/>
  <c r="T26" i="65"/>
  <c r="X26" i="65" s="1"/>
  <c r="T25" i="65"/>
  <c r="X25" i="65" s="1"/>
  <c r="T24" i="65"/>
  <c r="X24" i="65" s="1"/>
  <c r="T23" i="65"/>
  <c r="X23" i="65" s="1"/>
  <c r="T22" i="65"/>
  <c r="X22" i="65" s="1"/>
  <c r="T21" i="65"/>
  <c r="X21" i="65" s="1"/>
  <c r="T20" i="65"/>
  <c r="X20" i="65" s="1"/>
  <c r="T19" i="65"/>
  <c r="X19" i="65" s="1"/>
  <c r="T18" i="65"/>
  <c r="X18" i="65" s="1"/>
  <c r="T17" i="65"/>
  <c r="X17" i="65" s="1"/>
  <c r="T16" i="65"/>
  <c r="X16" i="65" s="1"/>
  <c r="T15" i="65"/>
  <c r="X15" i="65" s="1"/>
  <c r="T14" i="65"/>
  <c r="X14" i="65" s="1"/>
  <c r="T13" i="65"/>
  <c r="T12" i="65"/>
  <c r="X12" i="65" s="1"/>
  <c r="I7" i="65"/>
  <c r="T6" i="65"/>
  <c r="I6" i="65"/>
  <c r="R2" i="65"/>
  <c r="X103" i="64"/>
  <c r="I103" i="64"/>
  <c r="V102" i="64"/>
  <c r="V103" i="64" s="1"/>
  <c r="I102" i="64"/>
  <c r="I104" i="64" s="1"/>
  <c r="J104" i="64" s="1"/>
  <c r="G102" i="64"/>
  <c r="G103" i="64" s="1"/>
  <c r="X97" i="64"/>
  <c r="Y97" i="64" s="1"/>
  <c r="E98" i="64"/>
  <c r="T97" i="64"/>
  <c r="X96" i="64"/>
  <c r="T96" i="64"/>
  <c r="T92" i="64"/>
  <c r="G92" i="64"/>
  <c r="V92" i="64" s="1"/>
  <c r="T91" i="64"/>
  <c r="G91" i="64"/>
  <c r="V91" i="64" s="1"/>
  <c r="T90" i="64"/>
  <c r="G90" i="64"/>
  <c r="V90" i="64" s="1"/>
  <c r="V87" i="64"/>
  <c r="V86" i="64"/>
  <c r="Y81" i="64"/>
  <c r="X83" i="64" s="1"/>
  <c r="J81" i="64"/>
  <c r="Y80" i="64"/>
  <c r="V67" i="64"/>
  <c r="X64" i="64"/>
  <c r="X61" i="64"/>
  <c r="X58" i="64"/>
  <c r="X55" i="64"/>
  <c r="X52" i="64"/>
  <c r="T50" i="64"/>
  <c r="D50" i="64"/>
  <c r="E46" i="64" s="1"/>
  <c r="I49" i="64"/>
  <c r="X49" i="64" s="1"/>
  <c r="Y49" i="64" s="1"/>
  <c r="I48" i="64"/>
  <c r="X48" i="64" s="1"/>
  <c r="Y48" i="64" s="1"/>
  <c r="I47" i="64"/>
  <c r="X47" i="64" s="1"/>
  <c r="Y47" i="64" s="1"/>
  <c r="I46" i="64"/>
  <c r="X46" i="64" s="1"/>
  <c r="Y46" i="64" s="1"/>
  <c r="I45" i="64"/>
  <c r="X45" i="64" s="1"/>
  <c r="Y45" i="64" s="1"/>
  <c r="I44" i="64"/>
  <c r="X44" i="64" s="1"/>
  <c r="Y44" i="64" s="1"/>
  <c r="I43" i="64"/>
  <c r="X43" i="64" s="1"/>
  <c r="Y43" i="64" s="1"/>
  <c r="I42" i="64"/>
  <c r="X42" i="64" s="1"/>
  <c r="Y42" i="64" s="1"/>
  <c r="I41" i="64"/>
  <c r="X41" i="64" s="1"/>
  <c r="Y41" i="64" s="1"/>
  <c r="Y37" i="64"/>
  <c r="J37" i="64"/>
  <c r="Y36" i="64"/>
  <c r="J36" i="64"/>
  <c r="G32" i="64"/>
  <c r="T31" i="64"/>
  <c r="V32" i="64" s="1"/>
  <c r="D28" i="64"/>
  <c r="E23" i="64" s="1"/>
  <c r="C28" i="64"/>
  <c r="I7" i="64"/>
  <c r="T6" i="64"/>
  <c r="I6" i="64"/>
  <c r="R2" i="64"/>
  <c r="T96" i="63"/>
  <c r="X103" i="63"/>
  <c r="I103" i="63"/>
  <c r="X102" i="63"/>
  <c r="I102" i="63"/>
  <c r="I104" i="63" s="1"/>
  <c r="J104" i="63" s="1"/>
  <c r="G102" i="63"/>
  <c r="G103" i="63" s="1"/>
  <c r="X97" i="63"/>
  <c r="E98" i="63"/>
  <c r="T97" i="63"/>
  <c r="X96" i="63"/>
  <c r="E97" i="63"/>
  <c r="T92" i="63"/>
  <c r="G92" i="63"/>
  <c r="V92" i="63" s="1"/>
  <c r="T91" i="63"/>
  <c r="G91" i="63"/>
  <c r="V91" i="63" s="1"/>
  <c r="T90" i="63"/>
  <c r="G90" i="63"/>
  <c r="V90" i="63" s="1"/>
  <c r="V85" i="63"/>
  <c r="V83" i="63"/>
  <c r="Y81" i="63"/>
  <c r="X83" i="63" s="1"/>
  <c r="J81" i="63"/>
  <c r="Y80" i="63"/>
  <c r="V71" i="63"/>
  <c r="V67" i="63"/>
  <c r="X64" i="63"/>
  <c r="X61" i="63"/>
  <c r="X58" i="63"/>
  <c r="X55" i="63"/>
  <c r="X52" i="63"/>
  <c r="T50" i="63"/>
  <c r="D50" i="63"/>
  <c r="C50" i="63"/>
  <c r="I49" i="63"/>
  <c r="X49" i="63" s="1"/>
  <c r="Y49" i="63" s="1"/>
  <c r="I48" i="63"/>
  <c r="X48" i="63" s="1"/>
  <c r="Y48" i="63" s="1"/>
  <c r="I47" i="63"/>
  <c r="X47" i="63" s="1"/>
  <c r="Y47" i="63" s="1"/>
  <c r="I46" i="63"/>
  <c r="X46" i="63" s="1"/>
  <c r="Y46" i="63" s="1"/>
  <c r="I45" i="63"/>
  <c r="X45" i="63" s="1"/>
  <c r="Y45" i="63" s="1"/>
  <c r="I44" i="63"/>
  <c r="X44" i="63" s="1"/>
  <c r="Y44" i="63" s="1"/>
  <c r="I43" i="63"/>
  <c r="X43" i="63" s="1"/>
  <c r="Y43" i="63" s="1"/>
  <c r="I42" i="63"/>
  <c r="X42" i="63" s="1"/>
  <c r="Y42" i="63" s="1"/>
  <c r="I41" i="63"/>
  <c r="X41" i="63" s="1"/>
  <c r="Y41" i="63" s="1"/>
  <c r="J37" i="63"/>
  <c r="J38" i="63" s="1"/>
  <c r="J36" i="63"/>
  <c r="G32" i="63"/>
  <c r="T31" i="63"/>
  <c r="V32" i="63" s="1"/>
  <c r="D28" i="63"/>
  <c r="E23" i="63" s="1"/>
  <c r="T23" i="63" s="1"/>
  <c r="X23" i="63" s="1"/>
  <c r="C28" i="63"/>
  <c r="I7" i="63"/>
  <c r="T6" i="63"/>
  <c r="I6" i="63"/>
  <c r="R2" i="63"/>
  <c r="X103" i="62"/>
  <c r="I103" i="62"/>
  <c r="X102" i="62"/>
  <c r="I102" i="62"/>
  <c r="I104" i="62" s="1"/>
  <c r="J104" i="62" s="1"/>
  <c r="G102" i="62"/>
  <c r="G103" i="62" s="1"/>
  <c r="X97" i="62"/>
  <c r="X96" i="62"/>
  <c r="T96" i="62"/>
  <c r="T92" i="62"/>
  <c r="G92" i="62"/>
  <c r="V92" i="62" s="1"/>
  <c r="T91" i="62"/>
  <c r="G91" i="62"/>
  <c r="V91" i="62" s="1"/>
  <c r="T90" i="62"/>
  <c r="G90" i="62"/>
  <c r="V90" i="62" s="1"/>
  <c r="V86" i="62"/>
  <c r="V83" i="62"/>
  <c r="Y81" i="62"/>
  <c r="X83" i="62" s="1"/>
  <c r="J81" i="62"/>
  <c r="Y80" i="62"/>
  <c r="V71" i="62"/>
  <c r="V70" i="62"/>
  <c r="V67" i="62"/>
  <c r="X64" i="62"/>
  <c r="X61" i="62"/>
  <c r="X58" i="62"/>
  <c r="X55" i="62"/>
  <c r="X52" i="62"/>
  <c r="T50" i="62"/>
  <c r="D50" i="62"/>
  <c r="C50" i="62"/>
  <c r="I49" i="62"/>
  <c r="X49" i="62" s="1"/>
  <c r="Y49" i="62" s="1"/>
  <c r="I48" i="62"/>
  <c r="X48" i="62" s="1"/>
  <c r="Y48" i="62" s="1"/>
  <c r="I47" i="62"/>
  <c r="X47" i="62" s="1"/>
  <c r="Y47" i="62" s="1"/>
  <c r="I46" i="62"/>
  <c r="X46" i="62" s="1"/>
  <c r="Y46" i="62" s="1"/>
  <c r="I45" i="62"/>
  <c r="X45" i="62" s="1"/>
  <c r="Y45" i="62" s="1"/>
  <c r="I44" i="62"/>
  <c r="X44" i="62" s="1"/>
  <c r="Y44" i="62" s="1"/>
  <c r="I43" i="62"/>
  <c r="X43" i="62" s="1"/>
  <c r="Y43" i="62" s="1"/>
  <c r="I42" i="62"/>
  <c r="X42" i="62" s="1"/>
  <c r="Y42" i="62" s="1"/>
  <c r="I41" i="62"/>
  <c r="X41" i="62" s="1"/>
  <c r="Y41" i="62" s="1"/>
  <c r="J37" i="62"/>
  <c r="J36" i="62"/>
  <c r="J38" i="62" s="1"/>
  <c r="G32" i="62"/>
  <c r="T31" i="62"/>
  <c r="V32" i="62" s="1"/>
  <c r="D28" i="62"/>
  <c r="E23" i="62" s="1"/>
  <c r="T23" i="62" s="1"/>
  <c r="X23" i="62" s="1"/>
  <c r="C28" i="62"/>
  <c r="I7" i="62"/>
  <c r="T6" i="62"/>
  <c r="I6" i="62"/>
  <c r="R2" i="62"/>
  <c r="T97" i="2"/>
  <c r="T96" i="2"/>
  <c r="T97" i="58"/>
  <c r="T97" i="59"/>
  <c r="T96" i="59"/>
  <c r="T97" i="60"/>
  <c r="T96" i="60"/>
  <c r="T96" i="61"/>
  <c r="T97" i="61"/>
  <c r="X103" i="61"/>
  <c r="I103" i="61"/>
  <c r="V102" i="61"/>
  <c r="V103" i="61" s="1"/>
  <c r="I102" i="61"/>
  <c r="G102" i="61"/>
  <c r="G103" i="61" s="1"/>
  <c r="J98" i="61"/>
  <c r="E98" i="61"/>
  <c r="X96" i="61"/>
  <c r="T92" i="61"/>
  <c r="G92" i="61"/>
  <c r="V92" i="61" s="1"/>
  <c r="T91" i="61"/>
  <c r="G91" i="61"/>
  <c r="V91" i="61" s="1"/>
  <c r="T90" i="61"/>
  <c r="G90" i="61"/>
  <c r="V90" i="61" s="1"/>
  <c r="V87" i="61"/>
  <c r="V86" i="61"/>
  <c r="Y81" i="61"/>
  <c r="J81" i="61"/>
  <c r="Y80" i="61"/>
  <c r="V71" i="61"/>
  <c r="V70" i="61"/>
  <c r="V67" i="61"/>
  <c r="X64" i="61"/>
  <c r="X61" i="61"/>
  <c r="X58" i="61"/>
  <c r="X55" i="61"/>
  <c r="X52" i="61"/>
  <c r="T50" i="61"/>
  <c r="D50" i="61"/>
  <c r="E46" i="61" s="1"/>
  <c r="C50" i="61"/>
  <c r="I49" i="61"/>
  <c r="X49" i="61" s="1"/>
  <c r="Y49" i="61" s="1"/>
  <c r="I48" i="61"/>
  <c r="X48" i="61" s="1"/>
  <c r="Y48" i="61" s="1"/>
  <c r="I47" i="61"/>
  <c r="X47" i="61" s="1"/>
  <c r="Y47" i="61" s="1"/>
  <c r="I46" i="61"/>
  <c r="X46" i="61" s="1"/>
  <c r="Y46" i="61" s="1"/>
  <c r="I45" i="61"/>
  <c r="X45" i="61" s="1"/>
  <c r="Y45" i="61" s="1"/>
  <c r="I44" i="61"/>
  <c r="X44" i="61" s="1"/>
  <c r="Y44" i="61" s="1"/>
  <c r="I43" i="61"/>
  <c r="X43" i="61" s="1"/>
  <c r="Y43" i="61" s="1"/>
  <c r="I42" i="61"/>
  <c r="X42" i="61" s="1"/>
  <c r="Y42" i="61" s="1"/>
  <c r="I41" i="61"/>
  <c r="X41" i="61" s="1"/>
  <c r="Y41" i="61" s="1"/>
  <c r="J37" i="61"/>
  <c r="Y38" i="61"/>
  <c r="J36" i="61"/>
  <c r="J38" i="61" s="1"/>
  <c r="G32" i="61"/>
  <c r="T31" i="61"/>
  <c r="V32" i="61" s="1"/>
  <c r="D28" i="61"/>
  <c r="E23" i="61" s="1"/>
  <c r="I23" i="61" s="1"/>
  <c r="C28" i="61"/>
  <c r="E24" i="61"/>
  <c r="I24" i="61" s="1"/>
  <c r="I7" i="61"/>
  <c r="T6" i="61"/>
  <c r="I6" i="61"/>
  <c r="R2" i="61"/>
  <c r="X103" i="60"/>
  <c r="I103" i="60"/>
  <c r="V102" i="60"/>
  <c r="V103" i="60" s="1"/>
  <c r="I102" i="60"/>
  <c r="G102" i="60"/>
  <c r="G103" i="60" s="1"/>
  <c r="E98" i="60"/>
  <c r="T92" i="60"/>
  <c r="G92" i="60"/>
  <c r="V92" i="60" s="1"/>
  <c r="T91" i="60"/>
  <c r="G91" i="60"/>
  <c r="V91" i="60" s="1"/>
  <c r="T90" i="60"/>
  <c r="G90" i="60"/>
  <c r="V90" i="60" s="1"/>
  <c r="V87" i="60"/>
  <c r="V86" i="60"/>
  <c r="V85" i="60"/>
  <c r="V83" i="60"/>
  <c r="Y81" i="60"/>
  <c r="J81" i="60"/>
  <c r="Y80" i="60"/>
  <c r="V70" i="60"/>
  <c r="V67" i="60"/>
  <c r="X64" i="60"/>
  <c r="X61" i="60"/>
  <c r="X58" i="60"/>
  <c r="X55" i="60"/>
  <c r="X52" i="60"/>
  <c r="T50" i="60"/>
  <c r="D50" i="60"/>
  <c r="E46" i="60" s="1"/>
  <c r="C50" i="60"/>
  <c r="I49" i="60"/>
  <c r="X49" i="60" s="1"/>
  <c r="Y49" i="60" s="1"/>
  <c r="I48" i="60"/>
  <c r="X48" i="60" s="1"/>
  <c r="Y48" i="60" s="1"/>
  <c r="I47" i="60"/>
  <c r="X47" i="60" s="1"/>
  <c r="Y47" i="60" s="1"/>
  <c r="I46" i="60"/>
  <c r="X46" i="60" s="1"/>
  <c r="Y46" i="60" s="1"/>
  <c r="I45" i="60"/>
  <c r="X45" i="60" s="1"/>
  <c r="Y45" i="60" s="1"/>
  <c r="I44" i="60"/>
  <c r="X44" i="60" s="1"/>
  <c r="Y44" i="60" s="1"/>
  <c r="I43" i="60"/>
  <c r="X43" i="60" s="1"/>
  <c r="Y43" i="60" s="1"/>
  <c r="I42" i="60"/>
  <c r="X42" i="60" s="1"/>
  <c r="Y42" i="60" s="1"/>
  <c r="I41" i="60"/>
  <c r="X41" i="60" s="1"/>
  <c r="Y41" i="60" s="1"/>
  <c r="Y37" i="60"/>
  <c r="J37" i="60"/>
  <c r="Y36" i="60"/>
  <c r="Y38" i="60" s="1"/>
  <c r="J36" i="60"/>
  <c r="J38" i="60" s="1"/>
  <c r="G32" i="60"/>
  <c r="T31" i="60"/>
  <c r="V32" i="60" s="1"/>
  <c r="D28" i="60"/>
  <c r="E23" i="60" s="1"/>
  <c r="I23" i="60" s="1"/>
  <c r="C28" i="60"/>
  <c r="T27" i="60"/>
  <c r="X27" i="60" s="1"/>
  <c r="T26" i="60"/>
  <c r="X26" i="60" s="1"/>
  <c r="T25" i="60"/>
  <c r="X25" i="60" s="1"/>
  <c r="T24" i="60"/>
  <c r="X24" i="60" s="1"/>
  <c r="T23" i="60"/>
  <c r="X23" i="60" s="1"/>
  <c r="T22" i="60"/>
  <c r="X22" i="60" s="1"/>
  <c r="T21" i="60"/>
  <c r="X21" i="60" s="1"/>
  <c r="T20" i="60"/>
  <c r="X20" i="60" s="1"/>
  <c r="T19" i="60"/>
  <c r="X19" i="60" s="1"/>
  <c r="T18" i="60"/>
  <c r="X18" i="60" s="1"/>
  <c r="T17" i="60"/>
  <c r="X17" i="60" s="1"/>
  <c r="T16" i="60"/>
  <c r="X16" i="60" s="1"/>
  <c r="T15" i="60"/>
  <c r="X15" i="60" s="1"/>
  <c r="T14" i="60"/>
  <c r="X14" i="60" s="1"/>
  <c r="T13" i="60"/>
  <c r="T12" i="60"/>
  <c r="X12" i="60" s="1"/>
  <c r="I7" i="60"/>
  <c r="T6" i="60"/>
  <c r="I6" i="60"/>
  <c r="R2" i="60"/>
  <c r="X103" i="59"/>
  <c r="I103" i="59"/>
  <c r="X102" i="59"/>
  <c r="I102" i="59"/>
  <c r="G102" i="59"/>
  <c r="G103" i="59" s="1"/>
  <c r="J98" i="59"/>
  <c r="E98" i="59"/>
  <c r="X96" i="59"/>
  <c r="T92" i="59"/>
  <c r="G92" i="59"/>
  <c r="V92" i="59" s="1"/>
  <c r="T91" i="59"/>
  <c r="G91" i="59"/>
  <c r="V91" i="59" s="1"/>
  <c r="T90" i="59"/>
  <c r="G90" i="59"/>
  <c r="V90" i="59" s="1"/>
  <c r="V87" i="59"/>
  <c r="V85" i="59"/>
  <c r="V83" i="59"/>
  <c r="Y81" i="59"/>
  <c r="X83" i="59" s="1"/>
  <c r="J81" i="59"/>
  <c r="Y80" i="59"/>
  <c r="V71" i="59"/>
  <c r="V70" i="59"/>
  <c r="V67" i="59"/>
  <c r="X64" i="59"/>
  <c r="X61" i="59"/>
  <c r="X58" i="59"/>
  <c r="X55" i="59"/>
  <c r="X52" i="59"/>
  <c r="T50" i="59"/>
  <c r="D50" i="59"/>
  <c r="C50" i="59"/>
  <c r="I49" i="59"/>
  <c r="X49" i="59" s="1"/>
  <c r="Y49" i="59" s="1"/>
  <c r="I48" i="59"/>
  <c r="X48" i="59" s="1"/>
  <c r="Y48" i="59" s="1"/>
  <c r="I47" i="59"/>
  <c r="X47" i="59" s="1"/>
  <c r="Y47" i="59" s="1"/>
  <c r="I46" i="59"/>
  <c r="X46" i="59" s="1"/>
  <c r="Y46" i="59" s="1"/>
  <c r="I45" i="59"/>
  <c r="X45" i="59" s="1"/>
  <c r="Y45" i="59" s="1"/>
  <c r="I44" i="59"/>
  <c r="X44" i="59" s="1"/>
  <c r="Y44" i="59" s="1"/>
  <c r="I43" i="59"/>
  <c r="X43" i="59" s="1"/>
  <c r="Y43" i="59" s="1"/>
  <c r="I42" i="59"/>
  <c r="X42" i="59" s="1"/>
  <c r="Y42" i="59" s="1"/>
  <c r="I41" i="59"/>
  <c r="X41" i="59" s="1"/>
  <c r="Y41" i="59" s="1"/>
  <c r="Y37" i="59"/>
  <c r="J37" i="59"/>
  <c r="Y36" i="59"/>
  <c r="J36" i="59"/>
  <c r="J38" i="59" s="1"/>
  <c r="G32" i="59"/>
  <c r="T31" i="59"/>
  <c r="V32" i="59" s="1"/>
  <c r="D28" i="59"/>
  <c r="E23" i="59" s="1"/>
  <c r="T23" i="59" s="1"/>
  <c r="X23" i="59" s="1"/>
  <c r="C28" i="59"/>
  <c r="I7" i="59"/>
  <c r="T6" i="59"/>
  <c r="I6" i="59"/>
  <c r="R2" i="59"/>
  <c r="X103" i="58"/>
  <c r="I103" i="58"/>
  <c r="V102" i="58"/>
  <c r="V103" i="58" s="1"/>
  <c r="I102" i="58"/>
  <c r="I104" i="58" s="1"/>
  <c r="J104" i="58" s="1"/>
  <c r="G102" i="58"/>
  <c r="G103" i="58" s="1"/>
  <c r="X97" i="58"/>
  <c r="Y97" i="58" s="1"/>
  <c r="E98" i="58"/>
  <c r="X96" i="58"/>
  <c r="E97" i="58"/>
  <c r="T92" i="58"/>
  <c r="G92" i="58"/>
  <c r="V92" i="58" s="1"/>
  <c r="T91" i="58"/>
  <c r="G91" i="58"/>
  <c r="V91" i="58" s="1"/>
  <c r="T90" i="58"/>
  <c r="G90" i="58"/>
  <c r="V90" i="58" s="1"/>
  <c r="V87" i="58"/>
  <c r="V86" i="58"/>
  <c r="V85" i="58"/>
  <c r="V83" i="58"/>
  <c r="Y81" i="58"/>
  <c r="J81" i="58"/>
  <c r="Y80" i="58"/>
  <c r="V70" i="58"/>
  <c r="V67" i="58"/>
  <c r="X64" i="58"/>
  <c r="X61" i="58"/>
  <c r="X58" i="58"/>
  <c r="X55" i="58"/>
  <c r="X52" i="58"/>
  <c r="T50" i="58"/>
  <c r="D50" i="58"/>
  <c r="E46" i="58" s="1"/>
  <c r="C50" i="58"/>
  <c r="I49" i="58"/>
  <c r="X49" i="58" s="1"/>
  <c r="Y49" i="58" s="1"/>
  <c r="I48" i="58"/>
  <c r="X48" i="58" s="1"/>
  <c r="Y48" i="58" s="1"/>
  <c r="I47" i="58"/>
  <c r="X47" i="58" s="1"/>
  <c r="Y47" i="58" s="1"/>
  <c r="I46" i="58"/>
  <c r="X46" i="58" s="1"/>
  <c r="Y46" i="58" s="1"/>
  <c r="I45" i="58"/>
  <c r="X45" i="58" s="1"/>
  <c r="Y45" i="58" s="1"/>
  <c r="I44" i="58"/>
  <c r="X44" i="58" s="1"/>
  <c r="Y44" i="58" s="1"/>
  <c r="I43" i="58"/>
  <c r="X43" i="58" s="1"/>
  <c r="Y43" i="58" s="1"/>
  <c r="I42" i="58"/>
  <c r="X42" i="58" s="1"/>
  <c r="Y42" i="58" s="1"/>
  <c r="I41" i="58"/>
  <c r="X41" i="58" s="1"/>
  <c r="Y41" i="58" s="1"/>
  <c r="J37" i="58"/>
  <c r="J36" i="58"/>
  <c r="G32" i="58"/>
  <c r="T31" i="58"/>
  <c r="V32" i="58" s="1"/>
  <c r="D28" i="58"/>
  <c r="E20" i="58" s="1"/>
  <c r="I20" i="58" s="1"/>
  <c r="C28" i="58"/>
  <c r="I7" i="58"/>
  <c r="T6" i="58"/>
  <c r="I6" i="58"/>
  <c r="R2" i="58"/>
  <c r="P126" i="57"/>
  <c r="O126" i="57"/>
  <c r="N126" i="57"/>
  <c r="M126" i="57"/>
  <c r="L126" i="57"/>
  <c r="K126" i="57"/>
  <c r="J126" i="57"/>
  <c r="I126" i="57"/>
  <c r="E126" i="57"/>
  <c r="D126" i="57"/>
  <c r="Q122" i="57"/>
  <c r="Q121" i="57"/>
  <c r="Q120" i="57"/>
  <c r="Q119" i="57"/>
  <c r="Q118" i="57"/>
  <c r="Q117" i="57"/>
  <c r="Q116" i="57"/>
  <c r="Q115" i="57"/>
  <c r="Q113" i="57"/>
  <c r="Q112" i="57"/>
  <c r="Q111" i="57"/>
  <c r="Q110" i="57"/>
  <c r="Q109" i="57"/>
  <c r="Q108" i="57"/>
  <c r="Q107" i="57"/>
  <c r="Q106" i="57"/>
  <c r="Q105" i="57"/>
  <c r="Q104" i="57"/>
  <c r="Q103" i="57"/>
  <c r="Q102" i="57"/>
  <c r="Q101" i="57"/>
  <c r="Q100" i="57"/>
  <c r="Q99" i="57"/>
  <c r="Q98" i="57"/>
  <c r="Q97" i="57"/>
  <c r="Q96" i="57"/>
  <c r="Q95" i="57"/>
  <c r="Q94" i="57"/>
  <c r="Q93" i="57"/>
  <c r="Q92" i="57"/>
  <c r="Q91" i="57"/>
  <c r="Q90" i="57"/>
  <c r="Q89" i="57"/>
  <c r="Q88" i="57"/>
  <c r="Q87" i="57"/>
  <c r="Q86" i="57"/>
  <c r="Q84" i="57"/>
  <c r="Q83" i="57"/>
  <c r="Q82" i="57"/>
  <c r="Q81" i="57"/>
  <c r="Q80" i="57"/>
  <c r="Q79" i="57"/>
  <c r="Q78" i="57"/>
  <c r="Q77" i="57"/>
  <c r="Q76" i="57"/>
  <c r="Q75" i="57"/>
  <c r="Q74" i="57"/>
  <c r="R126" i="57"/>
  <c r="P57" i="57"/>
  <c r="O57" i="57"/>
  <c r="N57" i="57"/>
  <c r="M57" i="57"/>
  <c r="L57" i="57"/>
  <c r="J62" i="57" s="1"/>
  <c r="J63" i="57" s="1"/>
  <c r="F57" i="57"/>
  <c r="E57" i="57"/>
  <c r="E128" i="57" s="1"/>
  <c r="R56" i="57"/>
  <c r="Q55" i="57"/>
  <c r="Q54" i="57"/>
  <c r="Q53" i="57"/>
  <c r="Q52" i="57"/>
  <c r="Q51" i="57"/>
  <c r="Q50" i="57"/>
  <c r="Q49" i="57"/>
  <c r="Q48" i="57"/>
  <c r="Q47" i="57"/>
  <c r="Q46" i="57"/>
  <c r="Q45" i="57"/>
  <c r="Q44" i="57"/>
  <c r="Q43" i="57"/>
  <c r="Q42" i="57"/>
  <c r="Q41" i="57"/>
  <c r="Q40" i="57"/>
  <c r="Q39" i="57"/>
  <c r="Q38" i="57"/>
  <c r="Q37" i="57"/>
  <c r="Q36" i="57"/>
  <c r="Q35" i="57"/>
  <c r="Q34" i="57"/>
  <c r="Q33" i="57"/>
  <c r="Q32" i="57"/>
  <c r="Q31" i="57"/>
  <c r="Q30" i="57"/>
  <c r="Q29" i="57"/>
  <c r="Q28" i="57"/>
  <c r="Q27" i="57"/>
  <c r="Q26" i="57"/>
  <c r="Q25" i="57"/>
  <c r="Q24" i="57"/>
  <c r="Q23" i="57"/>
  <c r="Q22" i="57"/>
  <c r="Q21" i="57"/>
  <c r="Q20" i="57"/>
  <c r="Q19" i="57"/>
  <c r="Q17" i="57"/>
  <c r="Q16" i="57"/>
  <c r="Q15" i="57"/>
  <c r="Q14" i="57"/>
  <c r="Q13" i="57"/>
  <c r="Q12" i="57"/>
  <c r="Q11" i="57"/>
  <c r="Q10" i="57"/>
  <c r="Q9" i="57"/>
  <c r="Q8" i="57"/>
  <c r="Q7" i="57"/>
  <c r="I140" i="56"/>
  <c r="H137" i="56"/>
  <c r="E137" i="56"/>
  <c r="H136" i="56"/>
  <c r="F136" i="56"/>
  <c r="H135" i="56"/>
  <c r="D133" i="56"/>
  <c r="C133" i="56"/>
  <c r="D118" i="56"/>
  <c r="F112" i="56"/>
  <c r="F110" i="56"/>
  <c r="K92" i="56"/>
  <c r="L92" i="56" s="1"/>
  <c r="K54" i="56"/>
  <c r="D44" i="56"/>
  <c r="C44" i="56"/>
  <c r="D43" i="56"/>
  <c r="C43" i="56"/>
  <c r="D42" i="56"/>
  <c r="C42" i="56"/>
  <c r="D41" i="56"/>
  <c r="C41" i="56"/>
  <c r="D40" i="56"/>
  <c r="C40" i="56"/>
  <c r="D39" i="56"/>
  <c r="C39" i="56"/>
  <c r="I31" i="56"/>
  <c r="E135" i="56"/>
  <c r="I135" i="56" s="1"/>
  <c r="D58" i="56"/>
  <c r="C58" i="56"/>
  <c r="D37" i="56"/>
  <c r="C37" i="56"/>
  <c r="I10" i="56"/>
  <c r="H9" i="56"/>
  <c r="H8" i="56"/>
  <c r="C8" i="56"/>
  <c r="V56" i="54"/>
  <c r="U56" i="54"/>
  <c r="V55" i="54"/>
  <c r="U55" i="54"/>
  <c r="V54" i="54"/>
  <c r="U54" i="54"/>
  <c r="V53" i="54"/>
  <c r="U53" i="54"/>
  <c r="W53" i="54" s="1"/>
  <c r="U52" i="54"/>
  <c r="U51" i="54"/>
  <c r="V51" i="54"/>
  <c r="V50" i="54"/>
  <c r="U50" i="54"/>
  <c r="V49" i="54"/>
  <c r="U49" i="54"/>
  <c r="V47" i="54"/>
  <c r="U47" i="54"/>
  <c r="V46" i="54"/>
  <c r="U46" i="54"/>
  <c r="V45" i="54"/>
  <c r="U45" i="54"/>
  <c r="V44" i="54"/>
  <c r="V43" i="54"/>
  <c r="U43" i="54"/>
  <c r="V42" i="54"/>
  <c r="U42" i="54"/>
  <c r="V41" i="54"/>
  <c r="U41" i="54"/>
  <c r="V40" i="54"/>
  <c r="V39" i="54"/>
  <c r="V38" i="54"/>
  <c r="U38" i="54"/>
  <c r="U37" i="54"/>
  <c r="V37" i="54"/>
  <c r="V36" i="54"/>
  <c r="U36" i="54"/>
  <c r="V34" i="54"/>
  <c r="V33" i="54"/>
  <c r="U33" i="54"/>
  <c r="V32" i="54"/>
  <c r="V31" i="54"/>
  <c r="V30" i="54"/>
  <c r="U30" i="54"/>
  <c r="V29" i="54"/>
  <c r="V28" i="54"/>
  <c r="U28" i="54"/>
  <c r="U27" i="54"/>
  <c r="V26" i="54"/>
  <c r="U26" i="54"/>
  <c r="V25" i="54"/>
  <c r="V24" i="54"/>
  <c r="U24" i="54"/>
  <c r="V23" i="54"/>
  <c r="U23" i="54"/>
  <c r="V21" i="54"/>
  <c r="U21" i="54"/>
  <c r="V20" i="54"/>
  <c r="U18" i="54"/>
  <c r="U17" i="54"/>
  <c r="U16" i="54"/>
  <c r="V15" i="54"/>
  <c r="V14" i="54"/>
  <c r="U14" i="54"/>
  <c r="U13" i="54"/>
  <c r="U12" i="54"/>
  <c r="U11" i="54"/>
  <c r="V10" i="54"/>
  <c r="V9" i="54"/>
  <c r="U8" i="54"/>
  <c r="V6" i="54"/>
  <c r="U6" i="54"/>
  <c r="Y81" i="2"/>
  <c r="E20" i="104" l="1"/>
  <c r="I20" i="104" s="1"/>
  <c r="E21" i="104"/>
  <c r="I21" i="104" s="1"/>
  <c r="E12" i="103"/>
  <c r="I12" i="103" s="1"/>
  <c r="E14" i="103"/>
  <c r="I14" i="103" s="1"/>
  <c r="E27" i="103"/>
  <c r="I27" i="103" s="1"/>
  <c r="E24" i="102"/>
  <c r="I24" i="102" s="1"/>
  <c r="E27" i="102"/>
  <c r="I27" i="102" s="1"/>
  <c r="E27" i="100"/>
  <c r="I27" i="100" s="1"/>
  <c r="E25" i="98"/>
  <c r="I25" i="98" s="1"/>
  <c r="E24" i="98"/>
  <c r="I24" i="98" s="1"/>
  <c r="E47" i="95"/>
  <c r="J47" i="95" s="1"/>
  <c r="E24" i="95"/>
  <c r="I24" i="95" s="1"/>
  <c r="J24" i="95" s="1"/>
  <c r="E27" i="95"/>
  <c r="I27" i="95" s="1"/>
  <c r="E20" i="95"/>
  <c r="I20" i="95" s="1"/>
  <c r="J20" i="95" s="1"/>
  <c r="E20" i="94"/>
  <c r="I20" i="94" s="1"/>
  <c r="E21" i="94"/>
  <c r="I21" i="94" s="1"/>
  <c r="E24" i="94"/>
  <c r="I24" i="94" s="1"/>
  <c r="J24" i="94" s="1"/>
  <c r="E43" i="93"/>
  <c r="E20" i="93"/>
  <c r="I20" i="93" s="1"/>
  <c r="E42" i="91"/>
  <c r="J42" i="91" s="1"/>
  <c r="E27" i="91"/>
  <c r="I27" i="91" s="1"/>
  <c r="E20" i="91"/>
  <c r="I20" i="91" s="1"/>
  <c r="E14" i="91"/>
  <c r="I14" i="91" s="1"/>
  <c r="J14" i="91" s="1"/>
  <c r="E27" i="90"/>
  <c r="I27" i="90" s="1"/>
  <c r="E47" i="89"/>
  <c r="J47" i="89" s="1"/>
  <c r="E14" i="89"/>
  <c r="I14" i="89" s="1"/>
  <c r="E27" i="89"/>
  <c r="I27" i="89" s="1"/>
  <c r="E21" i="89"/>
  <c r="I21" i="89" s="1"/>
  <c r="J21" i="89" s="1"/>
  <c r="E24" i="89"/>
  <c r="I24" i="89" s="1"/>
  <c r="E21" i="88"/>
  <c r="I21" i="88" s="1"/>
  <c r="E20" i="88"/>
  <c r="I20" i="88" s="1"/>
  <c r="E24" i="87"/>
  <c r="I24" i="87" s="1"/>
  <c r="J24" i="87" s="1"/>
  <c r="E42" i="86"/>
  <c r="J42" i="86" s="1"/>
  <c r="E21" i="86"/>
  <c r="I21" i="86" s="1"/>
  <c r="J21" i="86" s="1"/>
  <c r="E27" i="83"/>
  <c r="I27" i="83" s="1"/>
  <c r="E27" i="79"/>
  <c r="I27" i="79" s="1"/>
  <c r="J27" i="79" s="1"/>
  <c r="E18" i="78"/>
  <c r="I18" i="78" s="1"/>
  <c r="J18" i="78" s="1"/>
  <c r="E20" i="78"/>
  <c r="I20" i="78" s="1"/>
  <c r="E21" i="78"/>
  <c r="I21" i="78" s="1"/>
  <c r="J21" i="78" s="1"/>
  <c r="E24" i="77"/>
  <c r="T24" i="77" s="1"/>
  <c r="X24" i="77" s="1"/>
  <c r="E43" i="75"/>
  <c r="J43" i="75" s="1"/>
  <c r="E20" i="75"/>
  <c r="I20" i="75" s="1"/>
  <c r="J20" i="75" s="1"/>
  <c r="E20" i="74"/>
  <c r="I20" i="74" s="1"/>
  <c r="J20" i="74" s="1"/>
  <c r="E24" i="73"/>
  <c r="I24" i="73" s="1"/>
  <c r="J24" i="73" s="1"/>
  <c r="E24" i="72"/>
  <c r="I24" i="72" s="1"/>
  <c r="E27" i="72"/>
  <c r="I27" i="72" s="1"/>
  <c r="J27" i="72" s="1"/>
  <c r="E21" i="72"/>
  <c r="I21" i="72" s="1"/>
  <c r="J21" i="72" s="1"/>
  <c r="E20" i="70"/>
  <c r="I20" i="70" s="1"/>
  <c r="E21" i="70"/>
  <c r="I21" i="70" s="1"/>
  <c r="J21" i="70" s="1"/>
  <c r="E24" i="70"/>
  <c r="I24" i="70" s="1"/>
  <c r="E14" i="70"/>
  <c r="I14" i="70" s="1"/>
  <c r="J14" i="70" s="1"/>
  <c r="E17" i="69"/>
  <c r="T17" i="69" s="1"/>
  <c r="X17" i="69" s="1"/>
  <c r="E20" i="69"/>
  <c r="E24" i="69"/>
  <c r="T24" i="69" s="1"/>
  <c r="X24" i="69" s="1"/>
  <c r="Y24" i="69" s="1"/>
  <c r="E14" i="69"/>
  <c r="T14" i="69" s="1"/>
  <c r="X14" i="69" s="1"/>
  <c r="E14" i="66"/>
  <c r="I14" i="66" s="1"/>
  <c r="E27" i="66"/>
  <c r="I27" i="66" s="1"/>
  <c r="J27" i="66" s="1"/>
  <c r="E27" i="65"/>
  <c r="I27" i="65" s="1"/>
  <c r="J27" i="65" s="1"/>
  <c r="E17" i="63"/>
  <c r="I17" i="63" s="1"/>
  <c r="J17" i="63" s="1"/>
  <c r="E27" i="63"/>
  <c r="I27" i="63" s="1"/>
  <c r="J27" i="63" s="1"/>
  <c r="E14" i="61"/>
  <c r="I14" i="61" s="1"/>
  <c r="T23" i="61"/>
  <c r="X23" i="61" s="1"/>
  <c r="Y23" i="61" s="1"/>
  <c r="X96" i="60"/>
  <c r="Y96" i="60" s="1"/>
  <c r="J97" i="60"/>
  <c r="J31" i="70"/>
  <c r="J31" i="63"/>
  <c r="Y31" i="63" s="1"/>
  <c r="Y32" i="63" s="1"/>
  <c r="J97" i="70"/>
  <c r="J97" i="67"/>
  <c r="J102" i="101"/>
  <c r="Y50" i="96"/>
  <c r="Y103" i="65"/>
  <c r="I84" i="65"/>
  <c r="J31" i="59"/>
  <c r="Y31" i="59" s="1"/>
  <c r="Y32" i="59" s="1"/>
  <c r="X83" i="61"/>
  <c r="J31" i="73"/>
  <c r="Y31" i="73" s="1"/>
  <c r="Y32" i="73" s="1"/>
  <c r="Y23" i="75"/>
  <c r="J31" i="65"/>
  <c r="Y31" i="65" s="1"/>
  <c r="Y32" i="65" s="1"/>
  <c r="Y24" i="99"/>
  <c r="J97" i="101"/>
  <c r="J31" i="74"/>
  <c r="J31" i="99"/>
  <c r="Y31" i="99" s="1"/>
  <c r="Y32" i="99" s="1"/>
  <c r="X97" i="98"/>
  <c r="Y97" i="98" s="1"/>
  <c r="J31" i="105"/>
  <c r="Y31" i="105" s="1"/>
  <c r="Y32" i="105" s="1"/>
  <c r="I84" i="80"/>
  <c r="J84" i="80" s="1"/>
  <c r="I84" i="86"/>
  <c r="J84" i="86" s="1"/>
  <c r="D92" i="67"/>
  <c r="Y23" i="74"/>
  <c r="Y26" i="79"/>
  <c r="J31" i="92"/>
  <c r="Y31" i="92" s="1"/>
  <c r="Y32" i="92" s="1"/>
  <c r="Y24" i="74"/>
  <c r="I84" i="103"/>
  <c r="J84" i="103" s="1"/>
  <c r="J97" i="100"/>
  <c r="Y21" i="72"/>
  <c r="Y22" i="72"/>
  <c r="J31" i="91"/>
  <c r="J32" i="91" s="1"/>
  <c r="Y24" i="93"/>
  <c r="J97" i="98"/>
  <c r="J31" i="94"/>
  <c r="J32" i="94" s="1"/>
  <c r="J20" i="104"/>
  <c r="Y20" i="70"/>
  <c r="Y20" i="104"/>
  <c r="J47" i="105"/>
  <c r="J31" i="58"/>
  <c r="Y21" i="70"/>
  <c r="Y17" i="71"/>
  <c r="J97" i="69"/>
  <c r="E12" i="66"/>
  <c r="I12" i="66" s="1"/>
  <c r="J12" i="66" s="1"/>
  <c r="T20" i="58"/>
  <c r="X20" i="58" s="1"/>
  <c r="Y20" i="58" s="1"/>
  <c r="X83" i="58"/>
  <c r="I84" i="68"/>
  <c r="J84" i="68" s="1"/>
  <c r="I84" i="70"/>
  <c r="J84" i="70" s="1"/>
  <c r="J97" i="80"/>
  <c r="J31" i="60"/>
  <c r="J32" i="60" s="1"/>
  <c r="Y26" i="71"/>
  <c r="J20" i="84"/>
  <c r="J31" i="86"/>
  <c r="Y23" i="91"/>
  <c r="J31" i="104"/>
  <c r="Y31" i="104" s="1"/>
  <c r="Y32" i="104" s="1"/>
  <c r="J26" i="100"/>
  <c r="Y18" i="73"/>
  <c r="Y20" i="84"/>
  <c r="Y24" i="91"/>
  <c r="D92" i="100"/>
  <c r="Y19" i="73"/>
  <c r="Y22" i="84"/>
  <c r="Y24" i="78"/>
  <c r="Y22" i="73"/>
  <c r="J103" i="83"/>
  <c r="J23" i="84"/>
  <c r="Y21" i="65"/>
  <c r="Y23" i="73"/>
  <c r="J46" i="68"/>
  <c r="Y22" i="83"/>
  <c r="Y24" i="89"/>
  <c r="Y26" i="100"/>
  <c r="J24" i="89"/>
  <c r="Y50" i="60"/>
  <c r="Y22" i="65"/>
  <c r="Y15" i="71"/>
  <c r="J97" i="76"/>
  <c r="Y23" i="83"/>
  <c r="J21" i="88"/>
  <c r="J31" i="90"/>
  <c r="Y31" i="90" s="1"/>
  <c r="Y32" i="90" s="1"/>
  <c r="J43" i="93"/>
  <c r="J27" i="100"/>
  <c r="J46" i="100"/>
  <c r="Y50" i="65"/>
  <c r="Y103" i="64"/>
  <c r="Y21" i="88"/>
  <c r="Y19" i="71"/>
  <c r="D90" i="98"/>
  <c r="Y22" i="86"/>
  <c r="Y21" i="71"/>
  <c r="Y23" i="86"/>
  <c r="X97" i="90"/>
  <c r="Y97" i="90" s="1"/>
  <c r="Y22" i="104"/>
  <c r="J97" i="65"/>
  <c r="Y22" i="71"/>
  <c r="Y26" i="87"/>
  <c r="Y15" i="100"/>
  <c r="Y23" i="82"/>
  <c r="J46" i="87"/>
  <c r="Y19" i="103"/>
  <c r="J102" i="86"/>
  <c r="J46" i="61"/>
  <c r="Y19" i="70"/>
  <c r="Y23" i="71"/>
  <c r="J31" i="72"/>
  <c r="Y31" i="72" s="1"/>
  <c r="Y32" i="72" s="1"/>
  <c r="Y50" i="81"/>
  <c r="J20" i="70"/>
  <c r="Y24" i="71"/>
  <c r="J31" i="75"/>
  <c r="Y31" i="75" s="1"/>
  <c r="Y32" i="75" s="1"/>
  <c r="J23" i="80"/>
  <c r="J31" i="87"/>
  <c r="Y31" i="87" s="1"/>
  <c r="Y32" i="87" s="1"/>
  <c r="J31" i="93"/>
  <c r="Y31" i="93" s="1"/>
  <c r="Y32" i="93" s="1"/>
  <c r="Y17" i="100"/>
  <c r="Y20" i="103"/>
  <c r="Y103" i="91"/>
  <c r="Y102" i="69"/>
  <c r="Y19" i="97"/>
  <c r="Y23" i="60"/>
  <c r="J31" i="61"/>
  <c r="J32" i="61" s="1"/>
  <c r="Y27" i="80"/>
  <c r="J31" i="81"/>
  <c r="Y20" i="83"/>
  <c r="X83" i="87"/>
  <c r="Y22" i="89"/>
  <c r="Y25" i="96"/>
  <c r="J31" i="98"/>
  <c r="Y31" i="98" s="1"/>
  <c r="Y32" i="98" s="1"/>
  <c r="Y22" i="99"/>
  <c r="Y17" i="103"/>
  <c r="Y18" i="104"/>
  <c r="D90" i="59"/>
  <c r="Y103" i="71"/>
  <c r="Y20" i="81"/>
  <c r="Y17" i="94"/>
  <c r="Y24" i="60"/>
  <c r="J31" i="64"/>
  <c r="Y31" i="64" s="1"/>
  <c r="Y32" i="64" s="1"/>
  <c r="Y21" i="75"/>
  <c r="Y21" i="87"/>
  <c r="J20" i="88"/>
  <c r="Y21" i="91"/>
  <c r="X83" i="91"/>
  <c r="Y23" i="95"/>
  <c r="Y23" i="67"/>
  <c r="J31" i="68"/>
  <c r="D90" i="68"/>
  <c r="J17" i="71"/>
  <c r="Y17" i="73"/>
  <c r="Y22" i="75"/>
  <c r="Y21" i="83"/>
  <c r="J97" i="84"/>
  <c r="Y21" i="86"/>
  <c r="Y103" i="86"/>
  <c r="I84" i="87"/>
  <c r="J84" i="87" s="1"/>
  <c r="Y20" i="88"/>
  <c r="Y23" i="89"/>
  <c r="Y22" i="91"/>
  <c r="I84" i="91"/>
  <c r="J84" i="91" s="1"/>
  <c r="Y26" i="96"/>
  <c r="J31" i="97"/>
  <c r="J32" i="97" s="1"/>
  <c r="J23" i="97"/>
  <c r="Y23" i="99"/>
  <c r="Y25" i="100"/>
  <c r="Y18" i="103"/>
  <c r="Y19" i="104"/>
  <c r="Y50" i="104"/>
  <c r="D92" i="80"/>
  <c r="J31" i="69"/>
  <c r="Y31" i="69" s="1"/>
  <c r="Y32" i="69" s="1"/>
  <c r="Y20" i="73"/>
  <c r="X83" i="73"/>
  <c r="J31" i="78"/>
  <c r="Y31" i="78" s="1"/>
  <c r="Y32" i="78" s="1"/>
  <c r="Y24" i="83"/>
  <c r="J21" i="84"/>
  <c r="Y24" i="86"/>
  <c r="Y24" i="87"/>
  <c r="Y22" i="88"/>
  <c r="Y26" i="90"/>
  <c r="J31" i="96"/>
  <c r="J32" i="96" s="1"/>
  <c r="J23" i="96"/>
  <c r="Y27" i="100"/>
  <c r="Y21" i="103"/>
  <c r="V102" i="103"/>
  <c r="V103" i="103" s="1"/>
  <c r="Y103" i="103" s="1"/>
  <c r="J21" i="104"/>
  <c r="Y50" i="70"/>
  <c r="Y21" i="73"/>
  <c r="J31" i="76"/>
  <c r="J32" i="76" s="1"/>
  <c r="J46" i="76"/>
  <c r="J31" i="77"/>
  <c r="J31" i="79"/>
  <c r="Y31" i="79" s="1"/>
  <c r="Y32" i="79" s="1"/>
  <c r="Y21" i="84"/>
  <c r="Y25" i="86"/>
  <c r="Y25" i="87"/>
  <c r="Y23" i="88"/>
  <c r="J31" i="89"/>
  <c r="Y31" i="89" s="1"/>
  <c r="Y32" i="89" s="1"/>
  <c r="J46" i="90"/>
  <c r="Y26" i="91"/>
  <c r="J31" i="95"/>
  <c r="Y31" i="95" s="1"/>
  <c r="Y32" i="95" s="1"/>
  <c r="Y13" i="97"/>
  <c r="J31" i="100"/>
  <c r="Y31" i="100" s="1"/>
  <c r="Y32" i="100" s="1"/>
  <c r="J31" i="101"/>
  <c r="J32" i="101" s="1"/>
  <c r="Y22" i="103"/>
  <c r="Y21" i="104"/>
  <c r="Y15" i="97"/>
  <c r="Y23" i="104"/>
  <c r="Y103" i="69"/>
  <c r="J31" i="83"/>
  <c r="Y31" i="83" s="1"/>
  <c r="Y32" i="83" s="1"/>
  <c r="J31" i="88"/>
  <c r="Y31" i="88" s="1"/>
  <c r="Y32" i="88" s="1"/>
  <c r="Y17" i="97"/>
  <c r="Y18" i="98"/>
  <c r="J31" i="62"/>
  <c r="J32" i="62" s="1"/>
  <c r="J102" i="63"/>
  <c r="Y20" i="65"/>
  <c r="Y22" i="70"/>
  <c r="Y25" i="71"/>
  <c r="Y23" i="72"/>
  <c r="Y17" i="80"/>
  <c r="J31" i="84"/>
  <c r="Y31" i="84" s="1"/>
  <c r="Y32" i="84" s="1"/>
  <c r="D92" i="86"/>
  <c r="Y15" i="96"/>
  <c r="Y18" i="97"/>
  <c r="Y19" i="98"/>
  <c r="J31" i="103"/>
  <c r="Y31" i="103" s="1"/>
  <c r="Y32" i="103" s="1"/>
  <c r="Y17" i="78"/>
  <c r="Y17" i="96"/>
  <c r="Y17" i="60"/>
  <c r="Y23" i="65"/>
  <c r="Y21" i="97"/>
  <c r="D92" i="60"/>
  <c r="J24" i="61"/>
  <c r="J103" i="62"/>
  <c r="Y20" i="98"/>
  <c r="Y19" i="80"/>
  <c r="Y18" i="60"/>
  <c r="J20" i="94"/>
  <c r="Y50" i="94"/>
  <c r="Y19" i="96"/>
  <c r="Y22" i="97"/>
  <c r="J103" i="97"/>
  <c r="Y23" i="98"/>
  <c r="Y18" i="100"/>
  <c r="D92" i="104"/>
  <c r="D90" i="87"/>
  <c r="Y17" i="98"/>
  <c r="Y15" i="60"/>
  <c r="D92" i="91"/>
  <c r="Y23" i="81"/>
  <c r="Y17" i="75"/>
  <c r="Y50" i="75"/>
  <c r="Y19" i="78"/>
  <c r="Y50" i="78"/>
  <c r="Y22" i="80"/>
  <c r="J31" i="82"/>
  <c r="Y31" i="82" s="1"/>
  <c r="Y32" i="82" s="1"/>
  <c r="Y17" i="91"/>
  <c r="Y20" i="94"/>
  <c r="Y20" i="96"/>
  <c r="Y23" i="97"/>
  <c r="J24" i="98"/>
  <c r="Y19" i="100"/>
  <c r="Y15" i="80"/>
  <c r="Y21" i="81"/>
  <c r="J102" i="97"/>
  <c r="Y21" i="98"/>
  <c r="Y15" i="75"/>
  <c r="Y20" i="80"/>
  <c r="Y15" i="91"/>
  <c r="Y18" i="96"/>
  <c r="Y15" i="87"/>
  <c r="X102" i="61"/>
  <c r="X104" i="61" s="1"/>
  <c r="Y104" i="61" s="1"/>
  <c r="Y25" i="65"/>
  <c r="J102" i="68"/>
  <c r="D92" i="73"/>
  <c r="Y20" i="60"/>
  <c r="Y18" i="75"/>
  <c r="J20" i="78"/>
  <c r="Y23" i="80"/>
  <c r="Y17" i="86"/>
  <c r="Y17" i="87"/>
  <c r="J97" i="87"/>
  <c r="Y18" i="91"/>
  <c r="J21" i="94"/>
  <c r="Y21" i="96"/>
  <c r="Y24" i="97"/>
  <c r="I104" i="97"/>
  <c r="J104" i="97" s="1"/>
  <c r="Y24" i="98"/>
  <c r="Y20" i="100"/>
  <c r="I84" i="100"/>
  <c r="J84" i="100" s="1"/>
  <c r="Y50" i="101"/>
  <c r="Y20" i="78"/>
  <c r="D92" i="84"/>
  <c r="Y18" i="86"/>
  <c r="Y50" i="86"/>
  <c r="Y18" i="87"/>
  <c r="Y19" i="91"/>
  <c r="Y50" i="91"/>
  <c r="Y21" i="94"/>
  <c r="Y20" i="95"/>
  <c r="Y22" i="96"/>
  <c r="D90" i="97"/>
  <c r="Y19" i="99"/>
  <c r="Y21" i="100"/>
  <c r="J102" i="62"/>
  <c r="D92" i="75"/>
  <c r="Y18" i="94"/>
  <c r="Y20" i="97"/>
  <c r="Y22" i="81"/>
  <c r="Y19" i="94"/>
  <c r="Y22" i="98"/>
  <c r="Y24" i="65"/>
  <c r="J23" i="71"/>
  <c r="Y18" i="78"/>
  <c r="Y21" i="80"/>
  <c r="Y15" i="86"/>
  <c r="Y19" i="60"/>
  <c r="Y21" i="60"/>
  <c r="J31" i="67"/>
  <c r="Y31" i="67" s="1"/>
  <c r="Y32" i="67" s="1"/>
  <c r="Y19" i="75"/>
  <c r="Y22" i="60"/>
  <c r="J102" i="75"/>
  <c r="J102" i="78"/>
  <c r="Y19" i="86"/>
  <c r="Y19" i="87"/>
  <c r="Y50" i="88"/>
  <c r="J20" i="91"/>
  <c r="J103" i="92"/>
  <c r="Y22" i="94"/>
  <c r="Y21" i="95"/>
  <c r="Y23" i="96"/>
  <c r="Y20" i="99"/>
  <c r="I84" i="99"/>
  <c r="J84" i="99" s="1"/>
  <c r="Y22" i="100"/>
  <c r="D92" i="94"/>
  <c r="J103" i="74"/>
  <c r="Y20" i="75"/>
  <c r="Y21" i="78"/>
  <c r="Y26" i="80"/>
  <c r="J46" i="80"/>
  <c r="Y20" i="86"/>
  <c r="Y20" i="87"/>
  <c r="Y21" i="89"/>
  <c r="I84" i="90"/>
  <c r="J84" i="90" s="1"/>
  <c r="Y20" i="91"/>
  <c r="Y23" i="94"/>
  <c r="Y22" i="95"/>
  <c r="Y24" i="96"/>
  <c r="Y21" i="99"/>
  <c r="E24" i="104"/>
  <c r="I24" i="104" s="1"/>
  <c r="E27" i="104"/>
  <c r="I27" i="104" s="1"/>
  <c r="J27" i="104" s="1"/>
  <c r="E14" i="104"/>
  <c r="I14" i="104" s="1"/>
  <c r="J14" i="104" s="1"/>
  <c r="E18" i="104"/>
  <c r="I18" i="104" s="1"/>
  <c r="J18" i="104" s="1"/>
  <c r="E19" i="104"/>
  <c r="I19" i="104" s="1"/>
  <c r="J19" i="104" s="1"/>
  <c r="E15" i="103"/>
  <c r="I15" i="103" s="1"/>
  <c r="J15" i="103" s="1"/>
  <c r="E17" i="103"/>
  <c r="I17" i="103" s="1"/>
  <c r="J17" i="103" s="1"/>
  <c r="E22" i="103"/>
  <c r="I22" i="103" s="1"/>
  <c r="J22" i="103" s="1"/>
  <c r="E25" i="103"/>
  <c r="I25" i="103" s="1"/>
  <c r="J25" i="103" s="1"/>
  <c r="E14" i="102"/>
  <c r="I14" i="102" s="1"/>
  <c r="J14" i="102" s="1"/>
  <c r="E17" i="102"/>
  <c r="I17" i="102" s="1"/>
  <c r="J17" i="102" s="1"/>
  <c r="E18" i="102"/>
  <c r="T18" i="102" s="1"/>
  <c r="X18" i="102" s="1"/>
  <c r="Y18" i="102" s="1"/>
  <c r="E20" i="102"/>
  <c r="T20" i="102" s="1"/>
  <c r="X20" i="102" s="1"/>
  <c r="E21" i="102"/>
  <c r="T21" i="102" s="1"/>
  <c r="X21" i="102" s="1"/>
  <c r="Y21" i="102" s="1"/>
  <c r="E14" i="101"/>
  <c r="I14" i="101" s="1"/>
  <c r="J14" i="101" s="1"/>
  <c r="E20" i="101"/>
  <c r="I20" i="101" s="1"/>
  <c r="J20" i="101" s="1"/>
  <c r="E21" i="101"/>
  <c r="I21" i="101" s="1"/>
  <c r="J21" i="101" s="1"/>
  <c r="E24" i="101"/>
  <c r="I24" i="101" s="1"/>
  <c r="J24" i="101" s="1"/>
  <c r="T23" i="101"/>
  <c r="X23" i="101" s="1"/>
  <c r="Y23" i="101" s="1"/>
  <c r="E13" i="100"/>
  <c r="I13" i="100" s="1"/>
  <c r="J13" i="100" s="1"/>
  <c r="E14" i="100"/>
  <c r="I14" i="100" s="1"/>
  <c r="E14" i="99"/>
  <c r="I14" i="99" s="1"/>
  <c r="J14" i="99" s="1"/>
  <c r="E18" i="99"/>
  <c r="I18" i="99" s="1"/>
  <c r="J18" i="99" s="1"/>
  <c r="E20" i="99"/>
  <c r="I20" i="99" s="1"/>
  <c r="J20" i="99" s="1"/>
  <c r="E21" i="99"/>
  <c r="I21" i="99" s="1"/>
  <c r="J21" i="99" s="1"/>
  <c r="E14" i="98"/>
  <c r="I14" i="98" s="1"/>
  <c r="J14" i="98" s="1"/>
  <c r="E17" i="98"/>
  <c r="I17" i="98" s="1"/>
  <c r="J17" i="98" s="1"/>
  <c r="E24" i="96"/>
  <c r="I24" i="96" s="1"/>
  <c r="J24" i="96" s="1"/>
  <c r="E14" i="96"/>
  <c r="I14" i="96" s="1"/>
  <c r="J14" i="96" s="1"/>
  <c r="E14" i="95"/>
  <c r="I14" i="95" s="1"/>
  <c r="J14" i="95" s="1"/>
  <c r="E27" i="94"/>
  <c r="I27" i="94" s="1"/>
  <c r="J27" i="94" s="1"/>
  <c r="E18" i="94"/>
  <c r="I18" i="94" s="1"/>
  <c r="J18" i="94" s="1"/>
  <c r="E24" i="93"/>
  <c r="I24" i="93" s="1"/>
  <c r="J24" i="93" s="1"/>
  <c r="E27" i="93"/>
  <c r="I27" i="93" s="1"/>
  <c r="J27" i="93" s="1"/>
  <c r="E14" i="93"/>
  <c r="I14" i="93" s="1"/>
  <c r="J14" i="93" s="1"/>
  <c r="E20" i="89"/>
  <c r="I20" i="89" s="1"/>
  <c r="J20" i="89" s="1"/>
  <c r="E24" i="88"/>
  <c r="I24" i="88" s="1"/>
  <c r="E17" i="86"/>
  <c r="I17" i="86" s="1"/>
  <c r="J17" i="86" s="1"/>
  <c r="E14" i="83"/>
  <c r="I14" i="83" s="1"/>
  <c r="J14" i="83" s="1"/>
  <c r="E20" i="83"/>
  <c r="I20" i="83" s="1"/>
  <c r="J20" i="83" s="1"/>
  <c r="E21" i="83"/>
  <c r="I21" i="83" s="1"/>
  <c r="J21" i="83" s="1"/>
  <c r="E24" i="82"/>
  <c r="I24" i="82" s="1"/>
  <c r="J24" i="82" s="1"/>
  <c r="E14" i="82"/>
  <c r="I14" i="82" s="1"/>
  <c r="J14" i="82" s="1"/>
  <c r="E21" i="81"/>
  <c r="I21" i="81" s="1"/>
  <c r="J21" i="81" s="1"/>
  <c r="E27" i="81"/>
  <c r="I27" i="81" s="1"/>
  <c r="E14" i="81"/>
  <c r="I14" i="81" s="1"/>
  <c r="J14" i="81" s="1"/>
  <c r="E18" i="81"/>
  <c r="I18" i="81" s="1"/>
  <c r="J18" i="81" s="1"/>
  <c r="E24" i="81"/>
  <c r="I24" i="81" s="1"/>
  <c r="J24" i="81" s="1"/>
  <c r="E27" i="80"/>
  <c r="I27" i="80" s="1"/>
  <c r="J27" i="80" s="1"/>
  <c r="E14" i="80"/>
  <c r="I14" i="80" s="1"/>
  <c r="J14" i="80" s="1"/>
  <c r="E14" i="78"/>
  <c r="I14" i="78" s="1"/>
  <c r="J14" i="78" s="1"/>
  <c r="E47" i="75"/>
  <c r="J47" i="75" s="1"/>
  <c r="E27" i="75"/>
  <c r="I27" i="75" s="1"/>
  <c r="J27" i="75" s="1"/>
  <c r="E24" i="75"/>
  <c r="I24" i="75" s="1"/>
  <c r="J24" i="75" s="1"/>
  <c r="E14" i="75"/>
  <c r="I14" i="75" s="1"/>
  <c r="J14" i="75" s="1"/>
  <c r="E17" i="75"/>
  <c r="I17" i="75" s="1"/>
  <c r="J17" i="75" s="1"/>
  <c r="E18" i="75"/>
  <c r="I18" i="75" s="1"/>
  <c r="J18" i="75" s="1"/>
  <c r="E24" i="74"/>
  <c r="I24" i="74" s="1"/>
  <c r="J24" i="74" s="1"/>
  <c r="E14" i="73"/>
  <c r="I14" i="73" s="1"/>
  <c r="J14" i="73" s="1"/>
  <c r="E43" i="72"/>
  <c r="J43" i="72" s="1"/>
  <c r="E14" i="72"/>
  <c r="I14" i="72" s="1"/>
  <c r="J14" i="72" s="1"/>
  <c r="E27" i="70"/>
  <c r="I27" i="70" s="1"/>
  <c r="J27" i="70" s="1"/>
  <c r="E17" i="68"/>
  <c r="T17" i="68" s="1"/>
  <c r="X17" i="68" s="1"/>
  <c r="Y17" i="68" s="1"/>
  <c r="E18" i="68"/>
  <c r="T18" i="68" s="1"/>
  <c r="X18" i="68" s="1"/>
  <c r="Y18" i="68" s="1"/>
  <c r="E19" i="68"/>
  <c r="T19" i="68" s="1"/>
  <c r="X19" i="68" s="1"/>
  <c r="Y19" i="68" s="1"/>
  <c r="E14" i="67"/>
  <c r="I14" i="67" s="1"/>
  <c r="J14" i="67" s="1"/>
  <c r="E17" i="67"/>
  <c r="T17" i="67" s="1"/>
  <c r="X17" i="67" s="1"/>
  <c r="Y17" i="67" s="1"/>
  <c r="E18" i="67"/>
  <c r="T18" i="67" s="1"/>
  <c r="X18" i="67" s="1"/>
  <c r="Y18" i="67" s="1"/>
  <c r="E20" i="67"/>
  <c r="T20" i="67" s="1"/>
  <c r="X20" i="67" s="1"/>
  <c r="Y20" i="67" s="1"/>
  <c r="E20" i="65"/>
  <c r="I20" i="65" s="1"/>
  <c r="J20" i="65" s="1"/>
  <c r="E21" i="65"/>
  <c r="I21" i="65" s="1"/>
  <c r="J21" i="65" s="1"/>
  <c r="E14" i="62"/>
  <c r="I14" i="62" s="1"/>
  <c r="J14" i="62" s="1"/>
  <c r="E18" i="62"/>
  <c r="T18" i="62" s="1"/>
  <c r="X18" i="62" s="1"/>
  <c r="Y18" i="62" s="1"/>
  <c r="E20" i="62"/>
  <c r="I20" i="62" s="1"/>
  <c r="E21" i="62"/>
  <c r="T21" i="62" s="1"/>
  <c r="X21" i="62" s="1"/>
  <c r="E24" i="62"/>
  <c r="I24" i="62" s="1"/>
  <c r="J24" i="62" s="1"/>
  <c r="I23" i="62"/>
  <c r="J23" i="62" s="1"/>
  <c r="E47" i="61"/>
  <c r="E14" i="60"/>
  <c r="I14" i="60" s="1"/>
  <c r="J14" i="60" s="1"/>
  <c r="E18" i="60"/>
  <c r="I18" i="60" s="1"/>
  <c r="J18" i="60" s="1"/>
  <c r="E21" i="60"/>
  <c r="I21" i="60" s="1"/>
  <c r="J21" i="60" s="1"/>
  <c r="E20" i="60"/>
  <c r="I20" i="60" s="1"/>
  <c r="J20" i="60" s="1"/>
  <c r="I153" i="56"/>
  <c r="E27" i="82"/>
  <c r="I27" i="82" s="1"/>
  <c r="J27" i="82" s="1"/>
  <c r="D90" i="82"/>
  <c r="Y27" i="82"/>
  <c r="J46" i="82"/>
  <c r="D92" i="82"/>
  <c r="J102" i="82"/>
  <c r="Y24" i="82"/>
  <c r="Y17" i="82"/>
  <c r="E18" i="82"/>
  <c r="I18" i="82" s="1"/>
  <c r="J18" i="82" s="1"/>
  <c r="Y18" i="82"/>
  <c r="Y19" i="82"/>
  <c r="E20" i="82"/>
  <c r="I20" i="82" s="1"/>
  <c r="J20" i="82" s="1"/>
  <c r="J97" i="82"/>
  <c r="X102" i="82"/>
  <c r="X104" i="82" s="1"/>
  <c r="Y104" i="82" s="1"/>
  <c r="Y26" i="82"/>
  <c r="I104" i="82"/>
  <c r="J104" i="82" s="1"/>
  <c r="Y15" i="82"/>
  <c r="Y20" i="82"/>
  <c r="Y103" i="82"/>
  <c r="Y25" i="82"/>
  <c r="J23" i="82"/>
  <c r="Y50" i="82"/>
  <c r="E21" i="82"/>
  <c r="I21" i="82" s="1"/>
  <c r="J21" i="82" s="1"/>
  <c r="Y21" i="82"/>
  <c r="Y22" i="82"/>
  <c r="I84" i="82"/>
  <c r="J84" i="82" s="1"/>
  <c r="Y25" i="85"/>
  <c r="Y26" i="85"/>
  <c r="Y27" i="85"/>
  <c r="J31" i="85"/>
  <c r="J32" i="85" s="1"/>
  <c r="J97" i="88"/>
  <c r="I84" i="88"/>
  <c r="J84" i="88" s="1"/>
  <c r="J102" i="88"/>
  <c r="Y24" i="88"/>
  <c r="Y26" i="88"/>
  <c r="E27" i="88"/>
  <c r="I27" i="88" s="1"/>
  <c r="J27" i="88" s="1"/>
  <c r="D90" i="88"/>
  <c r="I104" i="88"/>
  <c r="J104" i="88" s="1"/>
  <c r="E14" i="88"/>
  <c r="I14" i="88" s="1"/>
  <c r="J14" i="88" s="1"/>
  <c r="Y27" i="88"/>
  <c r="J46" i="88"/>
  <c r="Y25" i="88"/>
  <c r="E17" i="88"/>
  <c r="I17" i="88" s="1"/>
  <c r="J17" i="88" s="1"/>
  <c r="X83" i="88"/>
  <c r="Y83" i="88" s="1"/>
  <c r="J24" i="88"/>
  <c r="D92" i="88"/>
  <c r="Y18" i="88"/>
  <c r="Y38" i="88"/>
  <c r="Y15" i="88"/>
  <c r="J23" i="88"/>
  <c r="Y17" i="88"/>
  <c r="E18" i="88"/>
  <c r="I18" i="88" s="1"/>
  <c r="J18" i="88" s="1"/>
  <c r="Y19" i="88"/>
  <c r="Y26" i="89"/>
  <c r="J98" i="89"/>
  <c r="D90" i="89"/>
  <c r="X102" i="89"/>
  <c r="J23" i="89"/>
  <c r="J46" i="89"/>
  <c r="Y15" i="89"/>
  <c r="J43" i="89"/>
  <c r="J102" i="89"/>
  <c r="Y17" i="89"/>
  <c r="Y18" i="89"/>
  <c r="Y38" i="89"/>
  <c r="Y19" i="89"/>
  <c r="Y27" i="89"/>
  <c r="D92" i="89"/>
  <c r="Y97" i="89"/>
  <c r="Y25" i="89"/>
  <c r="J27" i="89"/>
  <c r="Y20" i="89"/>
  <c r="Y50" i="89"/>
  <c r="J102" i="103"/>
  <c r="Y38" i="103"/>
  <c r="J103" i="103"/>
  <c r="E24" i="103"/>
  <c r="I24" i="103" s="1"/>
  <c r="J24" i="103" s="1"/>
  <c r="D92" i="103"/>
  <c r="I104" i="103"/>
  <c r="J104" i="103" s="1"/>
  <c r="X97" i="103"/>
  <c r="Y97" i="103" s="1"/>
  <c r="Y26" i="103"/>
  <c r="Y23" i="103"/>
  <c r="J27" i="103"/>
  <c r="X96" i="103"/>
  <c r="Y96" i="103" s="1"/>
  <c r="Y25" i="103"/>
  <c r="Y27" i="103"/>
  <c r="Y24" i="103"/>
  <c r="Y15" i="103"/>
  <c r="J23" i="103"/>
  <c r="J46" i="103"/>
  <c r="J97" i="104"/>
  <c r="X83" i="104"/>
  <c r="Y83" i="104" s="1"/>
  <c r="V102" i="104"/>
  <c r="V103" i="104" s="1"/>
  <c r="Y103" i="104" s="1"/>
  <c r="D90" i="104"/>
  <c r="Y15" i="104"/>
  <c r="J23" i="104"/>
  <c r="Y96" i="104"/>
  <c r="J24" i="104"/>
  <c r="Y27" i="104"/>
  <c r="I84" i="104"/>
  <c r="J84" i="104" s="1"/>
  <c r="Y24" i="104"/>
  <c r="Y97" i="104"/>
  <c r="Y25" i="104"/>
  <c r="Y26" i="104"/>
  <c r="J102" i="104"/>
  <c r="Y13" i="104"/>
  <c r="J46" i="104"/>
  <c r="Y17" i="104"/>
  <c r="Y15" i="105"/>
  <c r="J98" i="105"/>
  <c r="D90" i="105"/>
  <c r="Y18" i="105"/>
  <c r="X102" i="105"/>
  <c r="Y103" i="105"/>
  <c r="J23" i="105"/>
  <c r="J97" i="105"/>
  <c r="Y97" i="105"/>
  <c r="Y21" i="105"/>
  <c r="Y23" i="105"/>
  <c r="D92" i="105"/>
  <c r="Y27" i="105"/>
  <c r="E18" i="105"/>
  <c r="I18" i="105" s="1"/>
  <c r="J18" i="105" s="1"/>
  <c r="J102" i="105"/>
  <c r="E19" i="105"/>
  <c r="I19" i="105" s="1"/>
  <c r="J19" i="105" s="1"/>
  <c r="Y19" i="105"/>
  <c r="Y20" i="105"/>
  <c r="Y22" i="105"/>
  <c r="Y24" i="105"/>
  <c r="Y25" i="105"/>
  <c r="J27" i="105"/>
  <c r="Y17" i="105"/>
  <c r="Y26" i="105"/>
  <c r="X104" i="102"/>
  <c r="Y104" i="102" s="1"/>
  <c r="Y20" i="102"/>
  <c r="J97" i="102"/>
  <c r="J102" i="102"/>
  <c r="V102" i="102"/>
  <c r="V103" i="102" s="1"/>
  <c r="Y103" i="102" s="1"/>
  <c r="J27" i="102"/>
  <c r="X97" i="102"/>
  <c r="Y97" i="102" s="1"/>
  <c r="Y23" i="102"/>
  <c r="J24" i="102"/>
  <c r="I104" i="102"/>
  <c r="J104" i="102" s="1"/>
  <c r="J23" i="102"/>
  <c r="Y38" i="102"/>
  <c r="J31" i="102"/>
  <c r="D92" i="102"/>
  <c r="X83" i="101"/>
  <c r="Y83" i="101" s="1"/>
  <c r="J98" i="101"/>
  <c r="E27" i="101"/>
  <c r="I84" i="101"/>
  <c r="J84" i="101" s="1"/>
  <c r="Y97" i="101"/>
  <c r="J46" i="101"/>
  <c r="J23" i="101"/>
  <c r="D90" i="101"/>
  <c r="I104" i="101"/>
  <c r="J104" i="101" s="1"/>
  <c r="E19" i="100"/>
  <c r="I19" i="100" s="1"/>
  <c r="J19" i="100" s="1"/>
  <c r="Y23" i="100"/>
  <c r="Y97" i="100"/>
  <c r="E17" i="100"/>
  <c r="I17" i="100" s="1"/>
  <c r="J17" i="100" s="1"/>
  <c r="E21" i="100"/>
  <c r="I21" i="100" s="1"/>
  <c r="J21" i="100" s="1"/>
  <c r="E23" i="100"/>
  <c r="I23" i="100" s="1"/>
  <c r="J23" i="100" s="1"/>
  <c r="E24" i="100"/>
  <c r="I24" i="100" s="1"/>
  <c r="J24" i="100" s="1"/>
  <c r="X83" i="100"/>
  <c r="Y83" i="100" s="1"/>
  <c r="V102" i="100"/>
  <c r="V103" i="100" s="1"/>
  <c r="Y103" i="100" s="1"/>
  <c r="E20" i="100"/>
  <c r="I20" i="100" s="1"/>
  <c r="J20" i="100" s="1"/>
  <c r="Y50" i="100"/>
  <c r="Y24" i="100"/>
  <c r="J102" i="100"/>
  <c r="X83" i="99"/>
  <c r="Y83" i="99" s="1"/>
  <c r="Y97" i="99"/>
  <c r="Y50" i="99"/>
  <c r="J27" i="99"/>
  <c r="Y27" i="99"/>
  <c r="J46" i="99"/>
  <c r="Y13" i="99"/>
  <c r="D90" i="99"/>
  <c r="J23" i="99"/>
  <c r="J97" i="99"/>
  <c r="J102" i="99"/>
  <c r="Y15" i="99"/>
  <c r="Y25" i="99"/>
  <c r="Y26" i="99"/>
  <c r="Y17" i="99"/>
  <c r="Y38" i="99"/>
  <c r="D92" i="99"/>
  <c r="Y18" i="99"/>
  <c r="Y25" i="98"/>
  <c r="Y102" i="98"/>
  <c r="X104" i="98"/>
  <c r="Y104" i="98" s="1"/>
  <c r="J46" i="98"/>
  <c r="E15" i="98"/>
  <c r="I15" i="98" s="1"/>
  <c r="J15" i="98" s="1"/>
  <c r="J102" i="98"/>
  <c r="J25" i="98"/>
  <c r="Y26" i="98"/>
  <c r="J27" i="98"/>
  <c r="I84" i="98"/>
  <c r="J84" i="98" s="1"/>
  <c r="Y13" i="98"/>
  <c r="Y27" i="98"/>
  <c r="J23" i="98"/>
  <c r="Y15" i="98"/>
  <c r="J46" i="97"/>
  <c r="E14" i="97"/>
  <c r="I14" i="97" s="1"/>
  <c r="E21" i="97"/>
  <c r="I21" i="97" s="1"/>
  <c r="J21" i="97" s="1"/>
  <c r="J97" i="97"/>
  <c r="E24" i="97"/>
  <c r="I24" i="97" s="1"/>
  <c r="J24" i="97" s="1"/>
  <c r="Y25" i="97"/>
  <c r="I84" i="97"/>
  <c r="J84" i="97" s="1"/>
  <c r="X97" i="97"/>
  <c r="Y97" i="97" s="1"/>
  <c r="X102" i="97"/>
  <c r="X104" i="97" s="1"/>
  <c r="Y104" i="97" s="1"/>
  <c r="Y26" i="97"/>
  <c r="E27" i="97"/>
  <c r="I27" i="97" s="1"/>
  <c r="J27" i="97" s="1"/>
  <c r="Y27" i="97"/>
  <c r="I84" i="96"/>
  <c r="J84" i="96" s="1"/>
  <c r="J98" i="96"/>
  <c r="E27" i="96"/>
  <c r="I27" i="96" s="1"/>
  <c r="J27" i="96" s="1"/>
  <c r="D90" i="96"/>
  <c r="J97" i="96"/>
  <c r="Y27" i="96"/>
  <c r="J46" i="96"/>
  <c r="J102" i="96"/>
  <c r="D92" i="96"/>
  <c r="J38" i="96"/>
  <c r="X83" i="95"/>
  <c r="Y83" i="95" s="1"/>
  <c r="Y27" i="95"/>
  <c r="J46" i="95"/>
  <c r="J23" i="95"/>
  <c r="Y15" i="95"/>
  <c r="Y17" i="95"/>
  <c r="E18" i="95"/>
  <c r="I18" i="95" s="1"/>
  <c r="J18" i="95" s="1"/>
  <c r="Y25" i="95"/>
  <c r="J27" i="95"/>
  <c r="D90" i="95"/>
  <c r="E17" i="95"/>
  <c r="I17" i="95" s="1"/>
  <c r="J17" i="95" s="1"/>
  <c r="D92" i="95"/>
  <c r="Y18" i="95"/>
  <c r="Y26" i="95"/>
  <c r="Y19" i="95"/>
  <c r="J102" i="95"/>
  <c r="Y24" i="95"/>
  <c r="Y50" i="95"/>
  <c r="I84" i="94"/>
  <c r="J84" i="94" s="1"/>
  <c r="Y25" i="94"/>
  <c r="E14" i="94"/>
  <c r="I14" i="94" s="1"/>
  <c r="J14" i="94" s="1"/>
  <c r="J102" i="94"/>
  <c r="J97" i="94"/>
  <c r="Y24" i="94"/>
  <c r="X83" i="94"/>
  <c r="Y83" i="94" s="1"/>
  <c r="Y97" i="94"/>
  <c r="Y26" i="94"/>
  <c r="J98" i="94"/>
  <c r="Y27" i="94"/>
  <c r="J46" i="94"/>
  <c r="J23" i="94"/>
  <c r="Y96" i="94"/>
  <c r="Y15" i="94"/>
  <c r="D90" i="94"/>
  <c r="X104" i="93"/>
  <c r="Y104" i="93" s="1"/>
  <c r="V102" i="93"/>
  <c r="V103" i="93" s="1"/>
  <c r="Y103" i="93" s="1"/>
  <c r="Y27" i="93"/>
  <c r="J46" i="93"/>
  <c r="D90" i="93"/>
  <c r="Y13" i="93"/>
  <c r="J23" i="93"/>
  <c r="Y25" i="93"/>
  <c r="J102" i="93"/>
  <c r="D92" i="93"/>
  <c r="Y26" i="93"/>
  <c r="I104" i="93"/>
  <c r="J104" i="93" s="1"/>
  <c r="Y15" i="93"/>
  <c r="Y17" i="93"/>
  <c r="Y18" i="93"/>
  <c r="Y19" i="93"/>
  <c r="J20" i="93"/>
  <c r="Y22" i="93"/>
  <c r="Y50" i="93"/>
  <c r="Y20" i="93"/>
  <c r="Y21" i="93"/>
  <c r="Y23" i="93"/>
  <c r="I84" i="93"/>
  <c r="J84" i="93" s="1"/>
  <c r="Y15" i="92"/>
  <c r="Y96" i="92"/>
  <c r="Y17" i="92"/>
  <c r="Y50" i="92"/>
  <c r="J97" i="92"/>
  <c r="D92" i="92"/>
  <c r="Y18" i="92"/>
  <c r="Y19" i="92"/>
  <c r="I84" i="92"/>
  <c r="J84" i="92" s="1"/>
  <c r="Y20" i="92"/>
  <c r="Y21" i="92"/>
  <c r="Y22" i="92"/>
  <c r="J102" i="92"/>
  <c r="Y23" i="92"/>
  <c r="D90" i="92"/>
  <c r="Y26" i="92"/>
  <c r="I104" i="92"/>
  <c r="J104" i="92" s="1"/>
  <c r="J23" i="92"/>
  <c r="Y24" i="92"/>
  <c r="Y25" i="92"/>
  <c r="Y27" i="92"/>
  <c r="J46" i="92"/>
  <c r="J98" i="91"/>
  <c r="Y25" i="91"/>
  <c r="J47" i="91"/>
  <c r="J102" i="91"/>
  <c r="J26" i="91"/>
  <c r="J49" i="91"/>
  <c r="J27" i="91"/>
  <c r="D90" i="91"/>
  <c r="Y27" i="91"/>
  <c r="J27" i="90"/>
  <c r="E14" i="90"/>
  <c r="I14" i="90" s="1"/>
  <c r="J14" i="90" s="1"/>
  <c r="Y17" i="90"/>
  <c r="Y18" i="90"/>
  <c r="Y19" i="90"/>
  <c r="Y22" i="90"/>
  <c r="E24" i="90"/>
  <c r="I24" i="90" s="1"/>
  <c r="J24" i="90" s="1"/>
  <c r="J97" i="90"/>
  <c r="J23" i="90"/>
  <c r="X102" i="90"/>
  <c r="X104" i="90" s="1"/>
  <c r="Y104" i="90" s="1"/>
  <c r="D92" i="90"/>
  <c r="Y21" i="90"/>
  <c r="Y23" i="90"/>
  <c r="Y24" i="90"/>
  <c r="Y27" i="90"/>
  <c r="J102" i="90"/>
  <c r="Y13" i="90"/>
  <c r="D90" i="90"/>
  <c r="Y15" i="90"/>
  <c r="Y20" i="90"/>
  <c r="Y25" i="90"/>
  <c r="X104" i="87"/>
  <c r="Y104" i="87" s="1"/>
  <c r="J47" i="87"/>
  <c r="Y27" i="87"/>
  <c r="J98" i="87"/>
  <c r="J23" i="87"/>
  <c r="V102" i="87"/>
  <c r="V103" i="87" s="1"/>
  <c r="Y103" i="87" s="1"/>
  <c r="J102" i="87"/>
  <c r="Y13" i="87"/>
  <c r="E14" i="87"/>
  <c r="I14" i="87" s="1"/>
  <c r="J14" i="87" s="1"/>
  <c r="J38" i="87"/>
  <c r="D92" i="87"/>
  <c r="Y22" i="87"/>
  <c r="Y23" i="87"/>
  <c r="I104" i="86"/>
  <c r="J104" i="86" s="1"/>
  <c r="E23" i="86"/>
  <c r="I23" i="86" s="1"/>
  <c r="J23" i="86" s="1"/>
  <c r="X83" i="86"/>
  <c r="Y83" i="86" s="1"/>
  <c r="X97" i="86"/>
  <c r="Y97" i="86" s="1"/>
  <c r="J48" i="86"/>
  <c r="Y26" i="86"/>
  <c r="Y27" i="86"/>
  <c r="J25" i="86"/>
  <c r="D90" i="86"/>
  <c r="J98" i="85"/>
  <c r="X83" i="85"/>
  <c r="Y83" i="85" s="1"/>
  <c r="Y103" i="85"/>
  <c r="J46" i="85"/>
  <c r="X102" i="85"/>
  <c r="D90" i="85"/>
  <c r="J103" i="85"/>
  <c r="Y38" i="85"/>
  <c r="Y15" i="85"/>
  <c r="Y19" i="85"/>
  <c r="Y21" i="85"/>
  <c r="J97" i="85"/>
  <c r="D92" i="85"/>
  <c r="Y18" i="85"/>
  <c r="J102" i="85"/>
  <c r="J23" i="85"/>
  <c r="Y23" i="85"/>
  <c r="Y17" i="85"/>
  <c r="Y20" i="85"/>
  <c r="Y22" i="85"/>
  <c r="Y24" i="85"/>
  <c r="I84" i="85"/>
  <c r="J84" i="85" s="1"/>
  <c r="X104" i="84"/>
  <c r="Y104" i="84" s="1"/>
  <c r="J24" i="84"/>
  <c r="Y24" i="84"/>
  <c r="Y25" i="84"/>
  <c r="X97" i="84"/>
  <c r="Y97" i="84" s="1"/>
  <c r="Y26" i="84"/>
  <c r="Y27" i="84"/>
  <c r="Y15" i="84"/>
  <c r="J102" i="84"/>
  <c r="V102" i="84"/>
  <c r="V103" i="84" s="1"/>
  <c r="Y103" i="84" s="1"/>
  <c r="D90" i="84"/>
  <c r="Y23" i="84"/>
  <c r="Y17" i="84"/>
  <c r="E18" i="84"/>
  <c r="I18" i="84" s="1"/>
  <c r="J18" i="84" s="1"/>
  <c r="Y18" i="84"/>
  <c r="J38" i="84"/>
  <c r="J27" i="84"/>
  <c r="E17" i="84"/>
  <c r="I17" i="84" s="1"/>
  <c r="J17" i="84" s="1"/>
  <c r="Y19" i="84"/>
  <c r="Y38" i="84"/>
  <c r="I104" i="84"/>
  <c r="J104" i="84" s="1"/>
  <c r="Y26" i="83"/>
  <c r="J27" i="83"/>
  <c r="J47" i="83"/>
  <c r="Y27" i="83"/>
  <c r="E17" i="83"/>
  <c r="I17" i="83" s="1"/>
  <c r="J17" i="83" s="1"/>
  <c r="J102" i="83"/>
  <c r="Y25" i="83"/>
  <c r="J97" i="83"/>
  <c r="J23" i="83"/>
  <c r="X83" i="83"/>
  <c r="Y83" i="83" s="1"/>
  <c r="Y15" i="83"/>
  <c r="Y97" i="83"/>
  <c r="Y17" i="83"/>
  <c r="Y18" i="83"/>
  <c r="Y19" i="83"/>
  <c r="Y38" i="83"/>
  <c r="D90" i="83"/>
  <c r="X102" i="81"/>
  <c r="J27" i="81"/>
  <c r="D90" i="81"/>
  <c r="J103" i="81"/>
  <c r="Y27" i="81"/>
  <c r="J46" i="81"/>
  <c r="J23" i="81"/>
  <c r="X83" i="81"/>
  <c r="Y15" i="81"/>
  <c r="D92" i="81"/>
  <c r="Y25" i="81"/>
  <c r="I84" i="81"/>
  <c r="J84" i="81" s="1"/>
  <c r="J102" i="81"/>
  <c r="Y24" i="81"/>
  <c r="Y26" i="81"/>
  <c r="Y17" i="81"/>
  <c r="Y18" i="81"/>
  <c r="Y19" i="81"/>
  <c r="E20" i="81"/>
  <c r="I20" i="81" s="1"/>
  <c r="J20" i="81" s="1"/>
  <c r="J97" i="81"/>
  <c r="E17" i="80"/>
  <c r="I17" i="80" s="1"/>
  <c r="J17" i="80" s="1"/>
  <c r="E18" i="80"/>
  <c r="I18" i="80" s="1"/>
  <c r="J18" i="80" s="1"/>
  <c r="Y18" i="80"/>
  <c r="Y38" i="80"/>
  <c r="Y50" i="80"/>
  <c r="X83" i="80"/>
  <c r="J31" i="80"/>
  <c r="J32" i="80" s="1"/>
  <c r="E24" i="80"/>
  <c r="I24" i="80" s="1"/>
  <c r="J24" i="80" s="1"/>
  <c r="J102" i="80"/>
  <c r="E20" i="80"/>
  <c r="I20" i="80" s="1"/>
  <c r="J20" i="80" s="1"/>
  <c r="E21" i="80"/>
  <c r="I21" i="80" s="1"/>
  <c r="J21" i="80" s="1"/>
  <c r="Y24" i="80"/>
  <c r="Y25" i="80"/>
  <c r="D90" i="79"/>
  <c r="X102" i="79"/>
  <c r="Y17" i="79"/>
  <c r="Y18" i="79"/>
  <c r="Y103" i="79"/>
  <c r="Y27" i="79"/>
  <c r="X97" i="79"/>
  <c r="Y97" i="79" s="1"/>
  <c r="J23" i="79"/>
  <c r="D92" i="79"/>
  <c r="Y19" i="79"/>
  <c r="E20" i="79"/>
  <c r="I20" i="79" s="1"/>
  <c r="J20" i="79" s="1"/>
  <c r="Y20" i="79"/>
  <c r="J102" i="79"/>
  <c r="Y15" i="79"/>
  <c r="E14" i="79"/>
  <c r="I14" i="79" s="1"/>
  <c r="J14" i="79" s="1"/>
  <c r="Y21" i="79"/>
  <c r="Y22" i="79"/>
  <c r="Y23" i="79"/>
  <c r="Y24" i="79"/>
  <c r="Y25" i="79"/>
  <c r="J97" i="79"/>
  <c r="J97" i="78"/>
  <c r="I84" i="78"/>
  <c r="J84" i="78" s="1"/>
  <c r="Y22" i="78"/>
  <c r="J98" i="78"/>
  <c r="Y23" i="78"/>
  <c r="X102" i="78"/>
  <c r="X104" i="78" s="1"/>
  <c r="Y104" i="78" s="1"/>
  <c r="E27" i="78"/>
  <c r="I27" i="78" s="1"/>
  <c r="J27" i="78" s="1"/>
  <c r="Y27" i="78"/>
  <c r="J46" i="78"/>
  <c r="D90" i="78"/>
  <c r="Y13" i="78"/>
  <c r="I104" i="78"/>
  <c r="J104" i="78" s="1"/>
  <c r="Y25" i="78"/>
  <c r="J23" i="78"/>
  <c r="Y26" i="78"/>
  <c r="Y15" i="78"/>
  <c r="J103" i="77"/>
  <c r="Y24" i="77"/>
  <c r="J46" i="77"/>
  <c r="I84" i="77"/>
  <c r="J84" i="77" s="1"/>
  <c r="Y38" i="77"/>
  <c r="J38" i="77"/>
  <c r="D92" i="77"/>
  <c r="Y50" i="77"/>
  <c r="J102" i="77"/>
  <c r="J97" i="77"/>
  <c r="J23" i="76"/>
  <c r="Y50" i="76"/>
  <c r="D92" i="76"/>
  <c r="J102" i="76"/>
  <c r="E17" i="76"/>
  <c r="I84" i="76"/>
  <c r="J84" i="76" s="1"/>
  <c r="J103" i="76"/>
  <c r="T23" i="76"/>
  <c r="X23" i="76" s="1"/>
  <c r="Y23" i="76" s="1"/>
  <c r="D90" i="76"/>
  <c r="Y97" i="75"/>
  <c r="Y103" i="75"/>
  <c r="Y24" i="75"/>
  <c r="Y25" i="75"/>
  <c r="Y26" i="75"/>
  <c r="D90" i="75"/>
  <c r="Y27" i="75"/>
  <c r="I104" i="75"/>
  <c r="J104" i="75" s="1"/>
  <c r="J23" i="75"/>
  <c r="J46" i="75"/>
  <c r="E27" i="74"/>
  <c r="I27" i="74" s="1"/>
  <c r="J27" i="74" s="1"/>
  <c r="E14" i="74"/>
  <c r="I14" i="74" s="1"/>
  <c r="J14" i="74" s="1"/>
  <c r="X83" i="74"/>
  <c r="V83" i="74"/>
  <c r="J23" i="74"/>
  <c r="Y15" i="74"/>
  <c r="E17" i="74"/>
  <c r="I17" i="74" s="1"/>
  <c r="J17" i="74" s="1"/>
  <c r="I84" i="74"/>
  <c r="J84" i="74" s="1"/>
  <c r="D92" i="74"/>
  <c r="Y26" i="74"/>
  <c r="Y17" i="74"/>
  <c r="Y18" i="74"/>
  <c r="Y19" i="74"/>
  <c r="Y38" i="74"/>
  <c r="J102" i="74"/>
  <c r="Y50" i="74"/>
  <c r="Y27" i="74"/>
  <c r="J46" i="74"/>
  <c r="Y20" i="74"/>
  <c r="Y25" i="74"/>
  <c r="Y21" i="74"/>
  <c r="J97" i="74"/>
  <c r="Y22" i="74"/>
  <c r="Y50" i="73"/>
  <c r="I84" i="73"/>
  <c r="J84" i="73" s="1"/>
  <c r="Y26" i="73"/>
  <c r="J97" i="73"/>
  <c r="Y27" i="73"/>
  <c r="J46" i="73"/>
  <c r="Y24" i="73"/>
  <c r="J23" i="73"/>
  <c r="Y25" i="73"/>
  <c r="Y12" i="73"/>
  <c r="Y17" i="72"/>
  <c r="Y18" i="72"/>
  <c r="X83" i="72"/>
  <c r="Y83" i="72" s="1"/>
  <c r="J24" i="72"/>
  <c r="Y25" i="72"/>
  <c r="D90" i="72"/>
  <c r="Y27" i="72"/>
  <c r="J46" i="72"/>
  <c r="Y15" i="72"/>
  <c r="J23" i="72"/>
  <c r="E17" i="72"/>
  <c r="I17" i="72" s="1"/>
  <c r="J17" i="72" s="1"/>
  <c r="Y19" i="72"/>
  <c r="J102" i="72"/>
  <c r="Y24" i="72"/>
  <c r="Y26" i="72"/>
  <c r="D92" i="72"/>
  <c r="E18" i="72"/>
  <c r="I18" i="72" s="1"/>
  <c r="J18" i="72" s="1"/>
  <c r="E20" i="72"/>
  <c r="I20" i="72" s="1"/>
  <c r="J20" i="72" s="1"/>
  <c r="Y20" i="72"/>
  <c r="Y50" i="72"/>
  <c r="Y18" i="71"/>
  <c r="Y20" i="71"/>
  <c r="J97" i="71"/>
  <c r="J98" i="71"/>
  <c r="J102" i="71"/>
  <c r="Y27" i="71"/>
  <c r="J31" i="71"/>
  <c r="Y31" i="71" s="1"/>
  <c r="Y32" i="71" s="1"/>
  <c r="D90" i="71"/>
  <c r="Y23" i="70"/>
  <c r="Y25" i="70"/>
  <c r="Y17" i="70"/>
  <c r="E18" i="70"/>
  <c r="I18" i="70" s="1"/>
  <c r="J18" i="70" s="1"/>
  <c r="D92" i="70"/>
  <c r="X83" i="70"/>
  <c r="Y83" i="70" s="1"/>
  <c r="J24" i="70"/>
  <c r="V102" i="70"/>
  <c r="V103" i="70" s="1"/>
  <c r="Y103" i="70" s="1"/>
  <c r="Y26" i="70"/>
  <c r="J103" i="70"/>
  <c r="Y27" i="70"/>
  <c r="J46" i="70"/>
  <c r="Y15" i="70"/>
  <c r="J23" i="70"/>
  <c r="Y18" i="70"/>
  <c r="J38" i="70"/>
  <c r="J102" i="70"/>
  <c r="Y24" i="70"/>
  <c r="D90" i="70"/>
  <c r="E17" i="70"/>
  <c r="I17" i="70" s="1"/>
  <c r="J17" i="70" s="1"/>
  <c r="E19" i="70"/>
  <c r="I19" i="70" s="1"/>
  <c r="J19" i="70" s="1"/>
  <c r="Y38" i="70"/>
  <c r="D90" i="69"/>
  <c r="J38" i="69"/>
  <c r="X104" i="69"/>
  <c r="Y104" i="69" s="1"/>
  <c r="D92" i="69"/>
  <c r="E18" i="69"/>
  <c r="T18" i="69" s="1"/>
  <c r="X18" i="69" s="1"/>
  <c r="Y18" i="69" s="1"/>
  <c r="J98" i="69"/>
  <c r="J102" i="69"/>
  <c r="Y17" i="69"/>
  <c r="Y27" i="69"/>
  <c r="Y23" i="69"/>
  <c r="I84" i="69"/>
  <c r="J84" i="69" s="1"/>
  <c r="J21" i="69"/>
  <c r="D92" i="68"/>
  <c r="J97" i="68"/>
  <c r="Y50" i="68"/>
  <c r="E14" i="68"/>
  <c r="I14" i="68" s="1"/>
  <c r="J14" i="68" s="1"/>
  <c r="X104" i="67"/>
  <c r="Y104" i="67" s="1"/>
  <c r="V102" i="67"/>
  <c r="V103" i="67" s="1"/>
  <c r="Y103" i="67" s="1"/>
  <c r="J102" i="67"/>
  <c r="I84" i="67"/>
  <c r="J84" i="67" s="1"/>
  <c r="J23" i="66"/>
  <c r="D90" i="66"/>
  <c r="Y38" i="66"/>
  <c r="J102" i="66"/>
  <c r="E17" i="66"/>
  <c r="I104" i="66"/>
  <c r="J104" i="66" s="1"/>
  <c r="I84" i="66"/>
  <c r="J84" i="66" s="1"/>
  <c r="J97" i="66"/>
  <c r="E20" i="66"/>
  <c r="T23" i="66"/>
  <c r="X23" i="66" s="1"/>
  <c r="Y23" i="66" s="1"/>
  <c r="E24" i="66"/>
  <c r="J31" i="66"/>
  <c r="Y31" i="66" s="1"/>
  <c r="Y32" i="66" s="1"/>
  <c r="T96" i="66"/>
  <c r="Y96" i="66" s="1"/>
  <c r="J102" i="65"/>
  <c r="D90" i="65"/>
  <c r="J23" i="65"/>
  <c r="E14" i="65"/>
  <c r="I14" i="65" s="1"/>
  <c r="J14" i="65" s="1"/>
  <c r="D92" i="65"/>
  <c r="X83" i="65"/>
  <c r="Y83" i="65" s="1"/>
  <c r="Y26" i="65"/>
  <c r="X102" i="65"/>
  <c r="Y27" i="65"/>
  <c r="J46" i="65"/>
  <c r="I104" i="65"/>
  <c r="J104" i="65" s="1"/>
  <c r="Y15" i="65"/>
  <c r="Y17" i="65"/>
  <c r="Y18" i="65"/>
  <c r="Y19" i="65"/>
  <c r="E14" i="64"/>
  <c r="I14" i="64" s="1"/>
  <c r="J14" i="64" s="1"/>
  <c r="J38" i="64"/>
  <c r="Y38" i="64"/>
  <c r="J97" i="63"/>
  <c r="E20" i="63"/>
  <c r="I20" i="63" s="1"/>
  <c r="J20" i="63" s="1"/>
  <c r="I23" i="63"/>
  <c r="J23" i="63" s="1"/>
  <c r="I84" i="63"/>
  <c r="J84" i="63" s="1"/>
  <c r="Y23" i="63"/>
  <c r="J103" i="63"/>
  <c r="X104" i="62"/>
  <c r="Y104" i="62" s="1"/>
  <c r="E17" i="62"/>
  <c r="T17" i="62" s="1"/>
  <c r="X17" i="62" s="1"/>
  <c r="Y17" i="62" s="1"/>
  <c r="J97" i="62"/>
  <c r="D92" i="62"/>
  <c r="J20" i="62"/>
  <c r="E27" i="62"/>
  <c r="T27" i="62" s="1"/>
  <c r="X27" i="62" s="1"/>
  <c r="Y27" i="62" s="1"/>
  <c r="Y21" i="62"/>
  <c r="I84" i="62"/>
  <c r="J84" i="62" s="1"/>
  <c r="Y23" i="62"/>
  <c r="V102" i="62"/>
  <c r="V103" i="62" s="1"/>
  <c r="Y103" i="62" s="1"/>
  <c r="D90" i="62"/>
  <c r="J23" i="61"/>
  <c r="I84" i="61"/>
  <c r="J84" i="61" s="1"/>
  <c r="T24" i="61"/>
  <c r="X24" i="61" s="1"/>
  <c r="Y24" i="61" s="1"/>
  <c r="J47" i="61"/>
  <c r="D90" i="61"/>
  <c r="E18" i="61"/>
  <c r="E20" i="61"/>
  <c r="D92" i="61"/>
  <c r="J102" i="61"/>
  <c r="T14" i="61"/>
  <c r="X14" i="61" s="1"/>
  <c r="J97" i="61"/>
  <c r="I84" i="60"/>
  <c r="J84" i="60" s="1"/>
  <c r="J102" i="60"/>
  <c r="X102" i="60"/>
  <c r="Y25" i="60"/>
  <c r="E27" i="60"/>
  <c r="I27" i="60" s="1"/>
  <c r="J27" i="60" s="1"/>
  <c r="D90" i="60"/>
  <c r="Y27" i="60"/>
  <c r="J46" i="60"/>
  <c r="I104" i="60"/>
  <c r="J104" i="60" s="1"/>
  <c r="J98" i="60"/>
  <c r="X83" i="60"/>
  <c r="Y83" i="60" s="1"/>
  <c r="Y26" i="60"/>
  <c r="J23" i="60"/>
  <c r="X104" i="59"/>
  <c r="Y104" i="59" s="1"/>
  <c r="D92" i="59"/>
  <c r="J102" i="59"/>
  <c r="I104" i="59"/>
  <c r="J104" i="59" s="1"/>
  <c r="J97" i="59"/>
  <c r="V102" i="59"/>
  <c r="V103" i="59" s="1"/>
  <c r="Y103" i="59" s="1"/>
  <c r="X97" i="59"/>
  <c r="Y97" i="59" s="1"/>
  <c r="Y23" i="59"/>
  <c r="X102" i="58"/>
  <c r="X104" i="58" s="1"/>
  <c r="Y104" i="58" s="1"/>
  <c r="J46" i="58"/>
  <c r="D92" i="58"/>
  <c r="I84" i="58"/>
  <c r="J84" i="58" s="1"/>
  <c r="J102" i="58"/>
  <c r="J97" i="58"/>
  <c r="J20" i="58"/>
  <c r="E14" i="58"/>
  <c r="Y50" i="58"/>
  <c r="T96" i="58"/>
  <c r="Q57" i="57"/>
  <c r="I137" i="56"/>
  <c r="J38" i="82"/>
  <c r="J38" i="80"/>
  <c r="C57" i="56"/>
  <c r="D57" i="56"/>
  <c r="C68" i="56"/>
  <c r="D68" i="56"/>
  <c r="Q126" i="57"/>
  <c r="E20" i="105"/>
  <c r="I20" i="105" s="1"/>
  <c r="J20" i="105" s="1"/>
  <c r="E21" i="105"/>
  <c r="I21" i="105" s="1"/>
  <c r="J21" i="105" s="1"/>
  <c r="E22" i="105"/>
  <c r="I22" i="105" s="1"/>
  <c r="J22" i="105" s="1"/>
  <c r="E12" i="105"/>
  <c r="I12" i="105" s="1"/>
  <c r="J12" i="105" s="1"/>
  <c r="E14" i="105"/>
  <c r="I14" i="105" s="1"/>
  <c r="J14" i="105" s="1"/>
  <c r="E24" i="105"/>
  <c r="I24" i="105" s="1"/>
  <c r="J24" i="105" s="1"/>
  <c r="E15" i="105"/>
  <c r="I15" i="105" s="1"/>
  <c r="J15" i="105" s="1"/>
  <c r="E25" i="105"/>
  <c r="I25" i="105" s="1"/>
  <c r="J25" i="105" s="1"/>
  <c r="E17" i="105"/>
  <c r="I17" i="105" s="1"/>
  <c r="J17" i="105" s="1"/>
  <c r="Y50" i="105"/>
  <c r="S92" i="105"/>
  <c r="X92" i="105" s="1"/>
  <c r="Y16" i="105"/>
  <c r="Y83" i="105"/>
  <c r="T28" i="105"/>
  <c r="X13" i="105"/>
  <c r="Y13" i="105" s="1"/>
  <c r="J103" i="105"/>
  <c r="I84" i="105"/>
  <c r="J84" i="105" s="1"/>
  <c r="Y12" i="105"/>
  <c r="S91" i="105"/>
  <c r="X91" i="105" s="1"/>
  <c r="Y14" i="105"/>
  <c r="E46" i="105"/>
  <c r="J46" i="105" s="1"/>
  <c r="E42" i="105"/>
  <c r="J42" i="105" s="1"/>
  <c r="E49" i="105"/>
  <c r="J49" i="105" s="1"/>
  <c r="E45" i="105"/>
  <c r="J45" i="105" s="1"/>
  <c r="E41" i="105"/>
  <c r="E48" i="105"/>
  <c r="J48" i="105" s="1"/>
  <c r="E44" i="105"/>
  <c r="J44" i="105" s="1"/>
  <c r="E43" i="105"/>
  <c r="J43" i="105" s="1"/>
  <c r="V86" i="105"/>
  <c r="D91" i="105"/>
  <c r="E16" i="105"/>
  <c r="I16" i="105" s="1"/>
  <c r="E26" i="105"/>
  <c r="I26" i="105" s="1"/>
  <c r="J26" i="105" s="1"/>
  <c r="E13" i="105"/>
  <c r="E17" i="104"/>
  <c r="I17" i="104" s="1"/>
  <c r="J17" i="104" s="1"/>
  <c r="X104" i="104"/>
  <c r="Y104" i="104" s="1"/>
  <c r="S91" i="104"/>
  <c r="X91" i="104" s="1"/>
  <c r="Y14" i="104"/>
  <c r="Y12" i="104"/>
  <c r="X28" i="104"/>
  <c r="V33" i="104" s="1"/>
  <c r="S90" i="104"/>
  <c r="J103" i="104"/>
  <c r="S92" i="104"/>
  <c r="X92" i="104" s="1"/>
  <c r="Y16" i="104"/>
  <c r="J98" i="104"/>
  <c r="E44" i="104"/>
  <c r="J44" i="104" s="1"/>
  <c r="E48" i="104"/>
  <c r="J48" i="104" s="1"/>
  <c r="V85" i="104"/>
  <c r="E15" i="104"/>
  <c r="I15" i="104" s="1"/>
  <c r="J15" i="104" s="1"/>
  <c r="E25" i="104"/>
  <c r="I25" i="104" s="1"/>
  <c r="J25" i="104" s="1"/>
  <c r="E12" i="104"/>
  <c r="E22" i="104"/>
  <c r="I22" i="104" s="1"/>
  <c r="J22" i="104" s="1"/>
  <c r="V71" i="104"/>
  <c r="V87" i="104"/>
  <c r="T28" i="104"/>
  <c r="E41" i="104"/>
  <c r="E45" i="104"/>
  <c r="J45" i="104" s="1"/>
  <c r="E49" i="104"/>
  <c r="J49" i="104" s="1"/>
  <c r="E43" i="104"/>
  <c r="J43" i="104" s="1"/>
  <c r="E47" i="104"/>
  <c r="J47" i="104" s="1"/>
  <c r="D91" i="104"/>
  <c r="E16" i="104"/>
  <c r="I16" i="104" s="1"/>
  <c r="E26" i="104"/>
  <c r="I26" i="104" s="1"/>
  <c r="J26" i="104" s="1"/>
  <c r="E13" i="104"/>
  <c r="I13" i="104" s="1"/>
  <c r="J13" i="104" s="1"/>
  <c r="E42" i="104"/>
  <c r="J42" i="104" s="1"/>
  <c r="T28" i="103"/>
  <c r="T64" i="103" s="1"/>
  <c r="X65" i="103" s="1"/>
  <c r="X70" i="103" s="1"/>
  <c r="Y70" i="103" s="1"/>
  <c r="E19" i="103"/>
  <c r="I19" i="103" s="1"/>
  <c r="J19" i="103" s="1"/>
  <c r="E20" i="103"/>
  <c r="I20" i="103" s="1"/>
  <c r="J20" i="103" s="1"/>
  <c r="Y50" i="103"/>
  <c r="Y16" i="103"/>
  <c r="S92" i="103"/>
  <c r="X92" i="103" s="1"/>
  <c r="Y83" i="103"/>
  <c r="J12" i="103"/>
  <c r="Y12" i="103"/>
  <c r="J14" i="103"/>
  <c r="S91" i="103"/>
  <c r="X91" i="103" s="1"/>
  <c r="Y14" i="103"/>
  <c r="E43" i="103"/>
  <c r="J43" i="103" s="1"/>
  <c r="E47" i="103"/>
  <c r="J47" i="103" s="1"/>
  <c r="E21" i="103"/>
  <c r="I21" i="103" s="1"/>
  <c r="J21" i="103" s="1"/>
  <c r="D90" i="103"/>
  <c r="E18" i="103"/>
  <c r="I18" i="103" s="1"/>
  <c r="J18" i="103" s="1"/>
  <c r="E44" i="103"/>
  <c r="J44" i="103" s="1"/>
  <c r="E48" i="103"/>
  <c r="J48" i="103" s="1"/>
  <c r="X13" i="103"/>
  <c r="Y13" i="103" s="1"/>
  <c r="X104" i="103"/>
  <c r="Y104" i="103" s="1"/>
  <c r="E41" i="103"/>
  <c r="E45" i="103"/>
  <c r="J45" i="103" s="1"/>
  <c r="E49" i="103"/>
  <c r="J49" i="103" s="1"/>
  <c r="V86" i="103"/>
  <c r="D91" i="103"/>
  <c r="E16" i="103"/>
  <c r="I16" i="103" s="1"/>
  <c r="E26" i="103"/>
  <c r="I26" i="103" s="1"/>
  <c r="J26" i="103" s="1"/>
  <c r="E13" i="103"/>
  <c r="E42" i="103"/>
  <c r="J42" i="103" s="1"/>
  <c r="Y96" i="102"/>
  <c r="E46" i="102"/>
  <c r="J46" i="102" s="1"/>
  <c r="E42" i="102"/>
  <c r="J42" i="102" s="1"/>
  <c r="E48" i="102"/>
  <c r="J48" i="102" s="1"/>
  <c r="E44" i="102"/>
  <c r="J44" i="102" s="1"/>
  <c r="E49" i="102"/>
  <c r="J49" i="102" s="1"/>
  <c r="E45" i="102"/>
  <c r="J45" i="102" s="1"/>
  <c r="E41" i="102"/>
  <c r="E47" i="102"/>
  <c r="J47" i="102" s="1"/>
  <c r="E43" i="102"/>
  <c r="J43" i="102" s="1"/>
  <c r="J103" i="102"/>
  <c r="Y50" i="102"/>
  <c r="Y83" i="102"/>
  <c r="I84" i="102"/>
  <c r="J84" i="102" s="1"/>
  <c r="V87" i="102"/>
  <c r="T14" i="102"/>
  <c r="X14" i="102" s="1"/>
  <c r="T24" i="102"/>
  <c r="X24" i="102" s="1"/>
  <c r="Y24" i="102" s="1"/>
  <c r="I18" i="102"/>
  <c r="J18" i="102" s="1"/>
  <c r="E15" i="102"/>
  <c r="E25" i="102"/>
  <c r="T17" i="102"/>
  <c r="X17" i="102" s="1"/>
  <c r="Y17" i="102" s="1"/>
  <c r="T27" i="102"/>
  <c r="X27" i="102" s="1"/>
  <c r="Y27" i="102" s="1"/>
  <c r="D91" i="102"/>
  <c r="E12" i="102"/>
  <c r="E22" i="102"/>
  <c r="V71" i="102"/>
  <c r="E16" i="102"/>
  <c r="E26" i="102"/>
  <c r="E19" i="102"/>
  <c r="E13" i="102"/>
  <c r="Y38" i="101"/>
  <c r="Y96" i="101"/>
  <c r="E17" i="101"/>
  <c r="E18" i="101"/>
  <c r="Y103" i="101"/>
  <c r="J103" i="101"/>
  <c r="E19" i="101"/>
  <c r="E44" i="101"/>
  <c r="J44" i="101" s="1"/>
  <c r="E48" i="101"/>
  <c r="J48" i="101" s="1"/>
  <c r="V85" i="101"/>
  <c r="X102" i="101"/>
  <c r="E12" i="101"/>
  <c r="T12" i="101" s="1"/>
  <c r="X12" i="101" s="1"/>
  <c r="Y12" i="101" s="1"/>
  <c r="E22" i="101"/>
  <c r="D91" i="101"/>
  <c r="E16" i="101"/>
  <c r="E26" i="101"/>
  <c r="E43" i="101"/>
  <c r="J43" i="101" s="1"/>
  <c r="E47" i="101"/>
  <c r="J47" i="101" s="1"/>
  <c r="E41" i="101"/>
  <c r="E45" i="101"/>
  <c r="J45" i="101" s="1"/>
  <c r="E49" i="101"/>
  <c r="J49" i="101" s="1"/>
  <c r="E15" i="101"/>
  <c r="E25" i="101"/>
  <c r="E13" i="101"/>
  <c r="E42" i="101"/>
  <c r="J42" i="101" s="1"/>
  <c r="Y96" i="100"/>
  <c r="T28" i="100"/>
  <c r="T61" i="100" s="1"/>
  <c r="X62" i="100" s="1"/>
  <c r="X67" i="100" s="1"/>
  <c r="Y67" i="100" s="1"/>
  <c r="E18" i="100"/>
  <c r="I18" i="100" s="1"/>
  <c r="J18" i="100" s="1"/>
  <c r="J14" i="100"/>
  <c r="S91" i="100"/>
  <c r="X91" i="100" s="1"/>
  <c r="Y14" i="100"/>
  <c r="X104" i="100"/>
  <c r="Y104" i="100" s="1"/>
  <c r="Y12" i="100"/>
  <c r="S92" i="100"/>
  <c r="X92" i="100" s="1"/>
  <c r="Y16" i="100"/>
  <c r="J103" i="100"/>
  <c r="E44" i="100"/>
  <c r="J44" i="100" s="1"/>
  <c r="E48" i="100"/>
  <c r="J48" i="100" s="1"/>
  <c r="J98" i="100"/>
  <c r="E15" i="100"/>
  <c r="I15" i="100" s="1"/>
  <c r="J15" i="100" s="1"/>
  <c r="E25" i="100"/>
  <c r="I25" i="100" s="1"/>
  <c r="J25" i="100" s="1"/>
  <c r="E12" i="100"/>
  <c r="E22" i="100"/>
  <c r="I22" i="100" s="1"/>
  <c r="J22" i="100" s="1"/>
  <c r="V71" i="100"/>
  <c r="E47" i="100"/>
  <c r="J47" i="100" s="1"/>
  <c r="E43" i="100"/>
  <c r="J43" i="100" s="1"/>
  <c r="X13" i="100"/>
  <c r="Y13" i="100" s="1"/>
  <c r="D91" i="100"/>
  <c r="E41" i="100"/>
  <c r="E45" i="100"/>
  <c r="J45" i="100" s="1"/>
  <c r="E49" i="100"/>
  <c r="J49" i="100" s="1"/>
  <c r="E16" i="100"/>
  <c r="I16" i="100" s="1"/>
  <c r="E42" i="100"/>
  <c r="J42" i="100" s="1"/>
  <c r="Y96" i="99"/>
  <c r="E24" i="99"/>
  <c r="I24" i="99" s="1"/>
  <c r="J24" i="99" s="1"/>
  <c r="E17" i="99"/>
  <c r="I17" i="99" s="1"/>
  <c r="J17" i="99" s="1"/>
  <c r="Y12" i="99"/>
  <c r="X28" i="99"/>
  <c r="V33" i="99" s="1"/>
  <c r="S90" i="99"/>
  <c r="S91" i="99"/>
  <c r="X91" i="99" s="1"/>
  <c r="Y14" i="99"/>
  <c r="Y103" i="99"/>
  <c r="Y16" i="99"/>
  <c r="S92" i="99"/>
  <c r="X92" i="99" s="1"/>
  <c r="J103" i="99"/>
  <c r="V87" i="99"/>
  <c r="V85" i="99"/>
  <c r="X102" i="99"/>
  <c r="E12" i="99"/>
  <c r="E22" i="99"/>
  <c r="I22" i="99" s="1"/>
  <c r="J22" i="99" s="1"/>
  <c r="V71" i="99"/>
  <c r="E15" i="99"/>
  <c r="I15" i="99" s="1"/>
  <c r="J15" i="99" s="1"/>
  <c r="E25" i="99"/>
  <c r="I25" i="99" s="1"/>
  <c r="J25" i="99" s="1"/>
  <c r="T28" i="99"/>
  <c r="E41" i="99"/>
  <c r="E45" i="99"/>
  <c r="J45" i="99" s="1"/>
  <c r="E49" i="99"/>
  <c r="J49" i="99" s="1"/>
  <c r="E19" i="99"/>
  <c r="I19" i="99" s="1"/>
  <c r="J19" i="99" s="1"/>
  <c r="D91" i="99"/>
  <c r="E16" i="99"/>
  <c r="I16" i="99" s="1"/>
  <c r="E26" i="99"/>
  <c r="I26" i="99" s="1"/>
  <c r="J26" i="99" s="1"/>
  <c r="J98" i="99"/>
  <c r="E44" i="99"/>
  <c r="J44" i="99" s="1"/>
  <c r="E48" i="99"/>
  <c r="J48" i="99" s="1"/>
  <c r="E43" i="99"/>
  <c r="J43" i="99" s="1"/>
  <c r="E47" i="99"/>
  <c r="J47" i="99" s="1"/>
  <c r="E13" i="99"/>
  <c r="I13" i="99" s="1"/>
  <c r="J13" i="99" s="1"/>
  <c r="E42" i="99"/>
  <c r="J42" i="99" s="1"/>
  <c r="Y96" i="98"/>
  <c r="E18" i="98"/>
  <c r="I18" i="98" s="1"/>
  <c r="J18" i="98" s="1"/>
  <c r="E20" i="98"/>
  <c r="I20" i="98" s="1"/>
  <c r="J20" i="98" s="1"/>
  <c r="E21" i="98"/>
  <c r="I21" i="98" s="1"/>
  <c r="J21" i="98" s="1"/>
  <c r="S91" i="98"/>
  <c r="X91" i="98" s="1"/>
  <c r="Y14" i="98"/>
  <c r="S92" i="98"/>
  <c r="X92" i="98" s="1"/>
  <c r="Y16" i="98"/>
  <c r="Y83" i="98"/>
  <c r="Y103" i="98"/>
  <c r="J32" i="98"/>
  <c r="X28" i="98"/>
  <c r="V33" i="98" s="1"/>
  <c r="Y12" i="98"/>
  <c r="S90" i="98"/>
  <c r="J103" i="98"/>
  <c r="Y50" i="98"/>
  <c r="V85" i="98"/>
  <c r="E12" i="98"/>
  <c r="E22" i="98"/>
  <c r="I22" i="98" s="1"/>
  <c r="J22" i="98" s="1"/>
  <c r="T28" i="98"/>
  <c r="T52" i="98" s="1"/>
  <c r="E41" i="98"/>
  <c r="E45" i="98"/>
  <c r="J45" i="98" s="1"/>
  <c r="E49" i="98"/>
  <c r="J49" i="98" s="1"/>
  <c r="D91" i="98"/>
  <c r="E16" i="98"/>
  <c r="I16" i="98" s="1"/>
  <c r="E26" i="98"/>
  <c r="I26" i="98" s="1"/>
  <c r="J26" i="98" s="1"/>
  <c r="V87" i="98"/>
  <c r="E44" i="98"/>
  <c r="J44" i="98" s="1"/>
  <c r="E48" i="98"/>
  <c r="J48" i="98" s="1"/>
  <c r="E43" i="98"/>
  <c r="J43" i="98" s="1"/>
  <c r="E47" i="98"/>
  <c r="J47" i="98" s="1"/>
  <c r="E19" i="98"/>
  <c r="I19" i="98" s="1"/>
  <c r="J19" i="98" s="1"/>
  <c r="E13" i="98"/>
  <c r="I13" i="98" s="1"/>
  <c r="J13" i="98" s="1"/>
  <c r="E42" i="98"/>
  <c r="J42" i="98" s="1"/>
  <c r="J38" i="97"/>
  <c r="Y96" i="97"/>
  <c r="E17" i="97"/>
  <c r="I17" i="97" s="1"/>
  <c r="J17" i="97" s="1"/>
  <c r="E18" i="97"/>
  <c r="I18" i="97" s="1"/>
  <c r="J18" i="97" s="1"/>
  <c r="E20" i="97"/>
  <c r="I20" i="97" s="1"/>
  <c r="J20" i="97" s="1"/>
  <c r="Y12" i="97"/>
  <c r="X28" i="97"/>
  <c r="V33" i="97" s="1"/>
  <c r="S90" i="97"/>
  <c r="Y83" i="97"/>
  <c r="J14" i="97"/>
  <c r="S91" i="97"/>
  <c r="X91" i="97" s="1"/>
  <c r="Y14" i="97"/>
  <c r="Y16" i="97"/>
  <c r="S92" i="97"/>
  <c r="X92" i="97" s="1"/>
  <c r="Y103" i="97"/>
  <c r="Y50" i="97"/>
  <c r="V87" i="97"/>
  <c r="E15" i="97"/>
  <c r="I15" i="97" s="1"/>
  <c r="J15" i="97" s="1"/>
  <c r="E25" i="97"/>
  <c r="I25" i="97" s="1"/>
  <c r="J25" i="97" s="1"/>
  <c r="E12" i="97"/>
  <c r="E22" i="97"/>
  <c r="I22" i="97" s="1"/>
  <c r="J22" i="97" s="1"/>
  <c r="T28" i="97"/>
  <c r="E41" i="97"/>
  <c r="E45" i="97"/>
  <c r="J45" i="97" s="1"/>
  <c r="E49" i="97"/>
  <c r="J49" i="97" s="1"/>
  <c r="D91" i="97"/>
  <c r="E16" i="97"/>
  <c r="I16" i="97" s="1"/>
  <c r="E26" i="97"/>
  <c r="I26" i="97" s="1"/>
  <c r="J26" i="97" s="1"/>
  <c r="E43" i="97"/>
  <c r="J43" i="97" s="1"/>
  <c r="E47" i="97"/>
  <c r="J47" i="97" s="1"/>
  <c r="E44" i="97"/>
  <c r="J44" i="97" s="1"/>
  <c r="E48" i="97"/>
  <c r="J48" i="97" s="1"/>
  <c r="E19" i="97"/>
  <c r="I19" i="97" s="1"/>
  <c r="J19" i="97" s="1"/>
  <c r="E13" i="97"/>
  <c r="I13" i="97" s="1"/>
  <c r="J13" i="97" s="1"/>
  <c r="E42" i="97"/>
  <c r="J42" i="97" s="1"/>
  <c r="Y96" i="96"/>
  <c r="T28" i="96"/>
  <c r="T52" i="96" s="1"/>
  <c r="X53" i="96" s="1"/>
  <c r="E17" i="96"/>
  <c r="I17" i="96" s="1"/>
  <c r="J17" i="96" s="1"/>
  <c r="E18" i="96"/>
  <c r="I18" i="96" s="1"/>
  <c r="J18" i="96" s="1"/>
  <c r="E20" i="96"/>
  <c r="I20" i="96" s="1"/>
  <c r="J20" i="96" s="1"/>
  <c r="E21" i="96"/>
  <c r="I21" i="96" s="1"/>
  <c r="J21" i="96" s="1"/>
  <c r="Y12" i="96"/>
  <c r="X104" i="96"/>
  <c r="Y104" i="96" s="1"/>
  <c r="J103" i="96"/>
  <c r="S91" i="96"/>
  <c r="X91" i="96" s="1"/>
  <c r="Y14" i="96"/>
  <c r="Y83" i="96"/>
  <c r="Y16" i="96"/>
  <c r="S92" i="96"/>
  <c r="X92" i="96" s="1"/>
  <c r="E44" i="96"/>
  <c r="J44" i="96" s="1"/>
  <c r="E48" i="96"/>
  <c r="J48" i="96" s="1"/>
  <c r="E15" i="96"/>
  <c r="I15" i="96" s="1"/>
  <c r="J15" i="96" s="1"/>
  <c r="E25" i="96"/>
  <c r="I25" i="96" s="1"/>
  <c r="J25" i="96" s="1"/>
  <c r="V102" i="96"/>
  <c r="V103" i="96" s="1"/>
  <c r="Y103" i="96" s="1"/>
  <c r="X97" i="96"/>
  <c r="Y97" i="96" s="1"/>
  <c r="E43" i="96"/>
  <c r="J43" i="96" s="1"/>
  <c r="E47" i="96"/>
  <c r="J47" i="96" s="1"/>
  <c r="E12" i="96"/>
  <c r="E22" i="96"/>
  <c r="I22" i="96" s="1"/>
  <c r="J22" i="96" s="1"/>
  <c r="V71" i="96"/>
  <c r="X13" i="96"/>
  <c r="Y13" i="96" s="1"/>
  <c r="D91" i="96"/>
  <c r="E16" i="96"/>
  <c r="I16" i="96" s="1"/>
  <c r="E26" i="96"/>
  <c r="I26" i="96" s="1"/>
  <c r="J26" i="96" s="1"/>
  <c r="E41" i="96"/>
  <c r="E45" i="96"/>
  <c r="J45" i="96" s="1"/>
  <c r="E49" i="96"/>
  <c r="J49" i="96" s="1"/>
  <c r="E19" i="96"/>
  <c r="I19" i="96" s="1"/>
  <c r="J19" i="96" s="1"/>
  <c r="E13" i="96"/>
  <c r="I13" i="96" s="1"/>
  <c r="J13" i="96" s="1"/>
  <c r="E42" i="96"/>
  <c r="J42" i="96" s="1"/>
  <c r="E43" i="95"/>
  <c r="J43" i="95" s="1"/>
  <c r="T28" i="95"/>
  <c r="T61" i="95" s="1"/>
  <c r="X62" i="95" s="1"/>
  <c r="X67" i="95" s="1"/>
  <c r="Y67" i="95" s="1"/>
  <c r="J103" i="95"/>
  <c r="Y12" i="95"/>
  <c r="Y103" i="95"/>
  <c r="Y16" i="95"/>
  <c r="S92" i="95"/>
  <c r="X92" i="95" s="1"/>
  <c r="S91" i="95"/>
  <c r="X91" i="95" s="1"/>
  <c r="Y14" i="95"/>
  <c r="J97" i="95"/>
  <c r="J98" i="95"/>
  <c r="E21" i="95"/>
  <c r="I21" i="95" s="1"/>
  <c r="J21" i="95" s="1"/>
  <c r="V70" i="95"/>
  <c r="I84" i="95"/>
  <c r="J84" i="95" s="1"/>
  <c r="V85" i="95"/>
  <c r="X102" i="95"/>
  <c r="E15" i="95"/>
  <c r="I15" i="95" s="1"/>
  <c r="J15" i="95" s="1"/>
  <c r="E25" i="95"/>
  <c r="I25" i="95" s="1"/>
  <c r="J25" i="95" s="1"/>
  <c r="E12" i="95"/>
  <c r="E22" i="95"/>
  <c r="I22" i="95" s="1"/>
  <c r="J22" i="95" s="1"/>
  <c r="V71" i="95"/>
  <c r="V87" i="95"/>
  <c r="D91" i="95"/>
  <c r="E44" i="95"/>
  <c r="J44" i="95" s="1"/>
  <c r="E48" i="95"/>
  <c r="J48" i="95" s="1"/>
  <c r="E16" i="95"/>
  <c r="I16" i="95" s="1"/>
  <c r="E26" i="95"/>
  <c r="I26" i="95" s="1"/>
  <c r="J26" i="95" s="1"/>
  <c r="X13" i="95"/>
  <c r="Y13" i="95" s="1"/>
  <c r="E41" i="95"/>
  <c r="E45" i="95"/>
  <c r="J45" i="95" s="1"/>
  <c r="E49" i="95"/>
  <c r="J49" i="95" s="1"/>
  <c r="E19" i="95"/>
  <c r="I19" i="95" s="1"/>
  <c r="J19" i="95" s="1"/>
  <c r="E13" i="95"/>
  <c r="I13" i="95" s="1"/>
  <c r="J13" i="95" s="1"/>
  <c r="E42" i="95"/>
  <c r="J42" i="95" s="1"/>
  <c r="J38" i="94"/>
  <c r="T28" i="94"/>
  <c r="T64" i="94" s="1"/>
  <c r="X65" i="94" s="1"/>
  <c r="X70" i="94" s="1"/>
  <c r="Y70" i="94" s="1"/>
  <c r="E17" i="94"/>
  <c r="I17" i="94" s="1"/>
  <c r="J17" i="94" s="1"/>
  <c r="S91" i="94"/>
  <c r="X91" i="94" s="1"/>
  <c r="Y14" i="94"/>
  <c r="X104" i="94"/>
  <c r="Y104" i="94" s="1"/>
  <c r="S92" i="94"/>
  <c r="X92" i="94" s="1"/>
  <c r="Y16" i="94"/>
  <c r="J103" i="94"/>
  <c r="Y12" i="94"/>
  <c r="V87" i="94"/>
  <c r="E44" i="94"/>
  <c r="J44" i="94" s="1"/>
  <c r="E48" i="94"/>
  <c r="J48" i="94" s="1"/>
  <c r="E19" i="94"/>
  <c r="I19" i="94" s="1"/>
  <c r="J19" i="94" s="1"/>
  <c r="X13" i="94"/>
  <c r="Y13" i="94" s="1"/>
  <c r="E43" i="94"/>
  <c r="J43" i="94" s="1"/>
  <c r="E47" i="94"/>
  <c r="J47" i="94" s="1"/>
  <c r="V85" i="94"/>
  <c r="E12" i="94"/>
  <c r="E22" i="94"/>
  <c r="I22" i="94" s="1"/>
  <c r="J22" i="94" s="1"/>
  <c r="E41" i="94"/>
  <c r="E49" i="94"/>
  <c r="J49" i="94" s="1"/>
  <c r="D91" i="94"/>
  <c r="E16" i="94"/>
  <c r="I16" i="94" s="1"/>
  <c r="E26" i="94"/>
  <c r="I26" i="94" s="1"/>
  <c r="J26" i="94" s="1"/>
  <c r="V102" i="94"/>
  <c r="V103" i="94" s="1"/>
  <c r="Y103" i="94" s="1"/>
  <c r="E45" i="94"/>
  <c r="J45" i="94" s="1"/>
  <c r="E15" i="94"/>
  <c r="I15" i="94" s="1"/>
  <c r="J15" i="94" s="1"/>
  <c r="E25" i="94"/>
  <c r="I25" i="94" s="1"/>
  <c r="J25" i="94" s="1"/>
  <c r="E13" i="94"/>
  <c r="I13" i="94" s="1"/>
  <c r="J13" i="94" s="1"/>
  <c r="E42" i="94"/>
  <c r="J42" i="94" s="1"/>
  <c r="E47" i="93"/>
  <c r="J47" i="93" s="1"/>
  <c r="E17" i="93"/>
  <c r="I17" i="93" s="1"/>
  <c r="J17" i="93" s="1"/>
  <c r="E18" i="93"/>
  <c r="I18" i="93" s="1"/>
  <c r="J18" i="93" s="1"/>
  <c r="J103" i="93"/>
  <c r="S91" i="93"/>
  <c r="X91" i="93" s="1"/>
  <c r="Y14" i="93"/>
  <c r="Y16" i="93"/>
  <c r="S92" i="93"/>
  <c r="X92" i="93" s="1"/>
  <c r="Y83" i="93"/>
  <c r="Y12" i="93"/>
  <c r="X28" i="93"/>
  <c r="V33" i="93" s="1"/>
  <c r="S90" i="93"/>
  <c r="J97" i="93"/>
  <c r="J98" i="93"/>
  <c r="E21" i="93"/>
  <c r="I21" i="93" s="1"/>
  <c r="J21" i="93" s="1"/>
  <c r="V70" i="93"/>
  <c r="V87" i="93"/>
  <c r="E44" i="93"/>
  <c r="J44" i="93" s="1"/>
  <c r="E48" i="93"/>
  <c r="J48" i="93" s="1"/>
  <c r="V85" i="93"/>
  <c r="E12" i="93"/>
  <c r="E22" i="93"/>
  <c r="I22" i="93" s="1"/>
  <c r="J22" i="93" s="1"/>
  <c r="V71" i="93"/>
  <c r="T28" i="93"/>
  <c r="E41" i="93"/>
  <c r="E45" i="93"/>
  <c r="J45" i="93" s="1"/>
  <c r="E49" i="93"/>
  <c r="J49" i="93" s="1"/>
  <c r="D91" i="93"/>
  <c r="E16" i="93"/>
  <c r="I16" i="93" s="1"/>
  <c r="E26" i="93"/>
  <c r="I26" i="93" s="1"/>
  <c r="J26" i="93" s="1"/>
  <c r="E15" i="93"/>
  <c r="I15" i="93" s="1"/>
  <c r="J15" i="93" s="1"/>
  <c r="E25" i="93"/>
  <c r="I25" i="93" s="1"/>
  <c r="J25" i="93" s="1"/>
  <c r="E19" i="93"/>
  <c r="I19" i="93" s="1"/>
  <c r="J19" i="93" s="1"/>
  <c r="E13" i="93"/>
  <c r="I13" i="93" s="1"/>
  <c r="J13" i="93" s="1"/>
  <c r="E42" i="93"/>
  <c r="J42" i="93" s="1"/>
  <c r="E17" i="92"/>
  <c r="I17" i="92" s="1"/>
  <c r="J17" i="92" s="1"/>
  <c r="E18" i="92"/>
  <c r="I18" i="92" s="1"/>
  <c r="J18" i="92" s="1"/>
  <c r="T28" i="92"/>
  <c r="T61" i="92" s="1"/>
  <c r="X62" i="92" s="1"/>
  <c r="X67" i="92" s="1"/>
  <c r="Y67" i="92" s="1"/>
  <c r="E20" i="92"/>
  <c r="I20" i="92" s="1"/>
  <c r="J20" i="92" s="1"/>
  <c r="E24" i="92"/>
  <c r="I24" i="92" s="1"/>
  <c r="J24" i="92" s="1"/>
  <c r="E27" i="92"/>
  <c r="I27" i="92" s="1"/>
  <c r="J27" i="92" s="1"/>
  <c r="E14" i="92"/>
  <c r="I14" i="92" s="1"/>
  <c r="J14" i="92" s="1"/>
  <c r="S91" i="92"/>
  <c r="X91" i="92" s="1"/>
  <c r="Y14" i="92"/>
  <c r="S92" i="92"/>
  <c r="X92" i="92" s="1"/>
  <c r="Y16" i="92"/>
  <c r="J32" i="92"/>
  <c r="Y103" i="92"/>
  <c r="Y12" i="92"/>
  <c r="X97" i="92"/>
  <c r="Y97" i="92" s="1"/>
  <c r="E21" i="92"/>
  <c r="I21" i="92" s="1"/>
  <c r="J21" i="92" s="1"/>
  <c r="V70" i="92"/>
  <c r="V85" i="92"/>
  <c r="X102" i="92"/>
  <c r="E15" i="92"/>
  <c r="I15" i="92" s="1"/>
  <c r="J15" i="92" s="1"/>
  <c r="E25" i="92"/>
  <c r="I25" i="92" s="1"/>
  <c r="J25" i="92" s="1"/>
  <c r="E12" i="92"/>
  <c r="E22" i="92"/>
  <c r="I22" i="92" s="1"/>
  <c r="J22" i="92" s="1"/>
  <c r="V71" i="92"/>
  <c r="X13" i="92"/>
  <c r="Y13" i="92" s="1"/>
  <c r="V83" i="92"/>
  <c r="Y83" i="92" s="1"/>
  <c r="E43" i="92"/>
  <c r="J43" i="92" s="1"/>
  <c r="E47" i="92"/>
  <c r="J47" i="92" s="1"/>
  <c r="D91" i="92"/>
  <c r="E44" i="92"/>
  <c r="J44" i="92" s="1"/>
  <c r="E48" i="92"/>
  <c r="J48" i="92" s="1"/>
  <c r="E16" i="92"/>
  <c r="I16" i="92" s="1"/>
  <c r="E26" i="92"/>
  <c r="I26" i="92" s="1"/>
  <c r="J26" i="92" s="1"/>
  <c r="E41" i="92"/>
  <c r="E45" i="92"/>
  <c r="J45" i="92" s="1"/>
  <c r="E49" i="92"/>
  <c r="J49" i="92" s="1"/>
  <c r="E19" i="92"/>
  <c r="I19" i="92" s="1"/>
  <c r="J19" i="92" s="1"/>
  <c r="E13" i="92"/>
  <c r="I13" i="92" s="1"/>
  <c r="J13" i="92" s="1"/>
  <c r="E42" i="92"/>
  <c r="J42" i="92" s="1"/>
  <c r="J38" i="90"/>
  <c r="Y96" i="91"/>
  <c r="E43" i="91"/>
  <c r="J43" i="91" s="1"/>
  <c r="E46" i="91"/>
  <c r="J46" i="91" s="1"/>
  <c r="E23" i="91"/>
  <c r="I23" i="91" s="1"/>
  <c r="J23" i="91" s="1"/>
  <c r="E24" i="91"/>
  <c r="I24" i="91" s="1"/>
  <c r="J24" i="91" s="1"/>
  <c r="E13" i="91"/>
  <c r="I13" i="91" s="1"/>
  <c r="J13" i="91" s="1"/>
  <c r="T28" i="91"/>
  <c r="T58" i="91" s="1"/>
  <c r="X59" i="91" s="1"/>
  <c r="X71" i="91" s="1"/>
  <c r="E17" i="91"/>
  <c r="I17" i="91" s="1"/>
  <c r="J17" i="91" s="1"/>
  <c r="E18" i="91"/>
  <c r="I18" i="91" s="1"/>
  <c r="J18" i="91" s="1"/>
  <c r="Y31" i="91"/>
  <c r="Y32" i="91" s="1"/>
  <c r="Y12" i="91"/>
  <c r="Y83" i="91"/>
  <c r="Y14" i="91"/>
  <c r="S91" i="91"/>
  <c r="X91" i="91" s="1"/>
  <c r="J103" i="91"/>
  <c r="Y16" i="91"/>
  <c r="S92" i="91"/>
  <c r="X92" i="91" s="1"/>
  <c r="J97" i="91"/>
  <c r="X97" i="91"/>
  <c r="Y97" i="91" s="1"/>
  <c r="X13" i="91"/>
  <c r="Y13" i="91" s="1"/>
  <c r="E21" i="91"/>
  <c r="I21" i="91" s="1"/>
  <c r="J21" i="91" s="1"/>
  <c r="V70" i="91"/>
  <c r="V85" i="91"/>
  <c r="X102" i="91"/>
  <c r="E15" i="91"/>
  <c r="I15" i="91" s="1"/>
  <c r="J15" i="91" s="1"/>
  <c r="E25" i="91"/>
  <c r="I25" i="91" s="1"/>
  <c r="J25" i="91" s="1"/>
  <c r="E12" i="91"/>
  <c r="E22" i="91"/>
  <c r="I22" i="91" s="1"/>
  <c r="J22" i="91" s="1"/>
  <c r="V71" i="91"/>
  <c r="D91" i="91"/>
  <c r="E44" i="91"/>
  <c r="J44" i="91" s="1"/>
  <c r="E48" i="91"/>
  <c r="J48" i="91" s="1"/>
  <c r="E41" i="91"/>
  <c r="E45" i="91"/>
  <c r="J45" i="91" s="1"/>
  <c r="E19" i="91"/>
  <c r="I19" i="91" s="1"/>
  <c r="J19" i="91" s="1"/>
  <c r="E16" i="91"/>
  <c r="I16" i="91" s="1"/>
  <c r="Y96" i="90"/>
  <c r="E17" i="90"/>
  <c r="I17" i="90" s="1"/>
  <c r="J17" i="90" s="1"/>
  <c r="E18" i="90"/>
  <c r="I18" i="90" s="1"/>
  <c r="J18" i="90" s="1"/>
  <c r="E20" i="90"/>
  <c r="I20" i="90" s="1"/>
  <c r="J20" i="90" s="1"/>
  <c r="E21" i="90"/>
  <c r="I21" i="90" s="1"/>
  <c r="J21" i="90" s="1"/>
  <c r="Y96" i="89"/>
  <c r="T28" i="89"/>
  <c r="T52" i="89" s="1"/>
  <c r="X53" i="89" s="1"/>
  <c r="E17" i="89"/>
  <c r="I17" i="89" s="1"/>
  <c r="J17" i="89" s="1"/>
  <c r="E18" i="89"/>
  <c r="I18" i="89" s="1"/>
  <c r="J18" i="89" s="1"/>
  <c r="Y12" i="90"/>
  <c r="X28" i="90"/>
  <c r="V33" i="90" s="1"/>
  <c r="S90" i="90"/>
  <c r="Y103" i="90"/>
  <c r="S92" i="90"/>
  <c r="X92" i="90" s="1"/>
  <c r="Y16" i="90"/>
  <c r="J103" i="90"/>
  <c r="Y83" i="90"/>
  <c r="S91" i="90"/>
  <c r="X91" i="90" s="1"/>
  <c r="Y14" i="90"/>
  <c r="Y50" i="90"/>
  <c r="E43" i="90"/>
  <c r="J43" i="90" s="1"/>
  <c r="E47" i="90"/>
  <c r="J47" i="90" s="1"/>
  <c r="E15" i="90"/>
  <c r="I15" i="90" s="1"/>
  <c r="J15" i="90" s="1"/>
  <c r="E25" i="90"/>
  <c r="I25" i="90" s="1"/>
  <c r="J25" i="90" s="1"/>
  <c r="E12" i="90"/>
  <c r="E22" i="90"/>
  <c r="I22" i="90" s="1"/>
  <c r="J22" i="90" s="1"/>
  <c r="T28" i="90"/>
  <c r="E41" i="90"/>
  <c r="E45" i="90"/>
  <c r="J45" i="90" s="1"/>
  <c r="E49" i="90"/>
  <c r="J49" i="90" s="1"/>
  <c r="D91" i="90"/>
  <c r="E16" i="90"/>
  <c r="I16" i="90" s="1"/>
  <c r="E26" i="90"/>
  <c r="I26" i="90" s="1"/>
  <c r="J26" i="90" s="1"/>
  <c r="E44" i="90"/>
  <c r="J44" i="90" s="1"/>
  <c r="E48" i="90"/>
  <c r="J48" i="90" s="1"/>
  <c r="E19" i="90"/>
  <c r="I19" i="90" s="1"/>
  <c r="J19" i="90" s="1"/>
  <c r="E13" i="90"/>
  <c r="I13" i="90" s="1"/>
  <c r="J13" i="90" s="1"/>
  <c r="E42" i="90"/>
  <c r="J42" i="90" s="1"/>
  <c r="I84" i="89"/>
  <c r="J84" i="89" s="1"/>
  <c r="Y12" i="89"/>
  <c r="S92" i="89"/>
  <c r="X92" i="89" s="1"/>
  <c r="Y16" i="89"/>
  <c r="J103" i="89"/>
  <c r="Y103" i="89"/>
  <c r="J14" i="89"/>
  <c r="S91" i="89"/>
  <c r="X91" i="89" s="1"/>
  <c r="Y14" i="89"/>
  <c r="J97" i="89"/>
  <c r="Y81" i="89"/>
  <c r="X83" i="89" s="1"/>
  <c r="Y83" i="89" s="1"/>
  <c r="V85" i="89"/>
  <c r="E15" i="89"/>
  <c r="I15" i="89" s="1"/>
  <c r="J15" i="89" s="1"/>
  <c r="E25" i="89"/>
  <c r="I25" i="89" s="1"/>
  <c r="J25" i="89" s="1"/>
  <c r="E12" i="89"/>
  <c r="E22" i="89"/>
  <c r="I22" i="89" s="1"/>
  <c r="J22" i="89" s="1"/>
  <c r="V71" i="89"/>
  <c r="D91" i="89"/>
  <c r="X13" i="89"/>
  <c r="Y13" i="89" s="1"/>
  <c r="E41" i="89"/>
  <c r="E45" i="89"/>
  <c r="J45" i="89" s="1"/>
  <c r="E49" i="89"/>
  <c r="J49" i="89" s="1"/>
  <c r="E19" i="89"/>
  <c r="I19" i="89" s="1"/>
  <c r="J19" i="89" s="1"/>
  <c r="E16" i="89"/>
  <c r="I16" i="89" s="1"/>
  <c r="E26" i="89"/>
  <c r="I26" i="89" s="1"/>
  <c r="J26" i="89" s="1"/>
  <c r="E44" i="89"/>
  <c r="J44" i="89" s="1"/>
  <c r="E48" i="89"/>
  <c r="J48" i="89" s="1"/>
  <c r="E13" i="89"/>
  <c r="I13" i="89" s="1"/>
  <c r="J13" i="89" s="1"/>
  <c r="E42" i="89"/>
  <c r="J42" i="89" s="1"/>
  <c r="Y96" i="88"/>
  <c r="T28" i="88"/>
  <c r="T52" i="88" s="1"/>
  <c r="X53" i="88" s="1"/>
  <c r="Y16" i="88"/>
  <c r="S92" i="88"/>
  <c r="X92" i="88" s="1"/>
  <c r="Y12" i="88"/>
  <c r="J103" i="88"/>
  <c r="X104" i="88"/>
  <c r="Y104" i="88" s="1"/>
  <c r="S91" i="88"/>
  <c r="X91" i="88" s="1"/>
  <c r="Y14" i="88"/>
  <c r="J98" i="88"/>
  <c r="E44" i="88"/>
  <c r="J44" i="88" s="1"/>
  <c r="E48" i="88"/>
  <c r="J48" i="88" s="1"/>
  <c r="E15" i="88"/>
  <c r="I15" i="88" s="1"/>
  <c r="J15" i="88" s="1"/>
  <c r="E25" i="88"/>
  <c r="I25" i="88" s="1"/>
  <c r="J25" i="88" s="1"/>
  <c r="V102" i="88"/>
  <c r="V103" i="88" s="1"/>
  <c r="Y103" i="88" s="1"/>
  <c r="E12" i="88"/>
  <c r="E22" i="88"/>
  <c r="I22" i="88" s="1"/>
  <c r="J22" i="88" s="1"/>
  <c r="V71" i="88"/>
  <c r="X13" i="88"/>
  <c r="Y13" i="88" s="1"/>
  <c r="E43" i="88"/>
  <c r="J43" i="88" s="1"/>
  <c r="E47" i="88"/>
  <c r="J47" i="88" s="1"/>
  <c r="D91" i="88"/>
  <c r="E16" i="88"/>
  <c r="I16" i="88" s="1"/>
  <c r="E26" i="88"/>
  <c r="I26" i="88" s="1"/>
  <c r="J26" i="88" s="1"/>
  <c r="E41" i="88"/>
  <c r="E45" i="88"/>
  <c r="J45" i="88" s="1"/>
  <c r="E49" i="88"/>
  <c r="J49" i="88" s="1"/>
  <c r="E19" i="88"/>
  <c r="I19" i="88" s="1"/>
  <c r="J19" i="88" s="1"/>
  <c r="E13" i="88"/>
  <c r="I13" i="88" s="1"/>
  <c r="J13" i="88" s="1"/>
  <c r="E42" i="88"/>
  <c r="J42" i="88" s="1"/>
  <c r="Y96" i="87"/>
  <c r="E43" i="87"/>
  <c r="J43" i="87" s="1"/>
  <c r="E18" i="87"/>
  <c r="I18" i="87" s="1"/>
  <c r="J18" i="87" s="1"/>
  <c r="E21" i="87"/>
  <c r="I21" i="87" s="1"/>
  <c r="J21" i="87" s="1"/>
  <c r="T28" i="87"/>
  <c r="T52" i="87" s="1"/>
  <c r="X53" i="87" s="1"/>
  <c r="S92" i="87"/>
  <c r="X92" i="87" s="1"/>
  <c r="Y16" i="87"/>
  <c r="J103" i="87"/>
  <c r="Y50" i="87"/>
  <c r="Y12" i="87"/>
  <c r="S90" i="87"/>
  <c r="E20" i="87"/>
  <c r="I20" i="87" s="1"/>
  <c r="J20" i="87" s="1"/>
  <c r="I104" i="87"/>
  <c r="J104" i="87" s="1"/>
  <c r="X97" i="87"/>
  <c r="Y97" i="87" s="1"/>
  <c r="E17" i="87"/>
  <c r="I17" i="87" s="1"/>
  <c r="J17" i="87" s="1"/>
  <c r="E27" i="87"/>
  <c r="I27" i="87" s="1"/>
  <c r="J27" i="87" s="1"/>
  <c r="V83" i="87"/>
  <c r="V70" i="87"/>
  <c r="X14" i="87"/>
  <c r="E44" i="87"/>
  <c r="J44" i="87" s="1"/>
  <c r="E48" i="87"/>
  <c r="J48" i="87" s="1"/>
  <c r="V85" i="87"/>
  <c r="E12" i="87"/>
  <c r="E22" i="87"/>
  <c r="I22" i="87" s="1"/>
  <c r="J22" i="87" s="1"/>
  <c r="E41" i="87"/>
  <c r="E45" i="87"/>
  <c r="J45" i="87" s="1"/>
  <c r="E49" i="87"/>
  <c r="J49" i="87" s="1"/>
  <c r="D91" i="87"/>
  <c r="E16" i="87"/>
  <c r="I16" i="87" s="1"/>
  <c r="E26" i="87"/>
  <c r="I26" i="87" s="1"/>
  <c r="J26" i="87" s="1"/>
  <c r="E15" i="87"/>
  <c r="I15" i="87" s="1"/>
  <c r="J15" i="87" s="1"/>
  <c r="E25" i="87"/>
  <c r="I25" i="87" s="1"/>
  <c r="J25" i="87" s="1"/>
  <c r="E19" i="87"/>
  <c r="I19" i="87" s="1"/>
  <c r="J19" i="87" s="1"/>
  <c r="E13" i="87"/>
  <c r="I13" i="87" s="1"/>
  <c r="J13" i="87" s="1"/>
  <c r="E42" i="87"/>
  <c r="J42" i="87" s="1"/>
  <c r="Y96" i="86"/>
  <c r="E46" i="86"/>
  <c r="J46" i="86" s="1"/>
  <c r="E24" i="86"/>
  <c r="I24" i="86" s="1"/>
  <c r="J24" i="86" s="1"/>
  <c r="E13" i="86"/>
  <c r="I13" i="86" s="1"/>
  <c r="J13" i="86" s="1"/>
  <c r="T28" i="86"/>
  <c r="T52" i="86" s="1"/>
  <c r="X53" i="86" s="1"/>
  <c r="E14" i="86"/>
  <c r="I14" i="86" s="1"/>
  <c r="J14" i="86" s="1"/>
  <c r="E27" i="86"/>
  <c r="I27" i="86" s="1"/>
  <c r="J27" i="86" s="1"/>
  <c r="E18" i="86"/>
  <c r="I18" i="86" s="1"/>
  <c r="J18" i="86" s="1"/>
  <c r="E20" i="86"/>
  <c r="I20" i="86" s="1"/>
  <c r="J20" i="86" s="1"/>
  <c r="Y12" i="86"/>
  <c r="Y31" i="86"/>
  <c r="Y32" i="86" s="1"/>
  <c r="J32" i="86"/>
  <c r="S91" i="86"/>
  <c r="X91" i="86" s="1"/>
  <c r="Y14" i="86"/>
  <c r="Y16" i="86"/>
  <c r="S92" i="86"/>
  <c r="X92" i="86" s="1"/>
  <c r="J103" i="86"/>
  <c r="X13" i="86"/>
  <c r="Y13" i="86" s="1"/>
  <c r="E43" i="86"/>
  <c r="J43" i="86" s="1"/>
  <c r="E47" i="86"/>
  <c r="J47" i="86" s="1"/>
  <c r="V85" i="86"/>
  <c r="X102" i="86"/>
  <c r="E12" i="86"/>
  <c r="E22" i="86"/>
  <c r="I22" i="86" s="1"/>
  <c r="J22" i="86" s="1"/>
  <c r="E41" i="86"/>
  <c r="E45" i="86"/>
  <c r="J45" i="86" s="1"/>
  <c r="E49" i="86"/>
  <c r="J49" i="86" s="1"/>
  <c r="J97" i="86"/>
  <c r="D91" i="86"/>
  <c r="E19" i="86"/>
  <c r="I19" i="86" s="1"/>
  <c r="J19" i="86" s="1"/>
  <c r="E16" i="86"/>
  <c r="I16" i="86" s="1"/>
  <c r="E26" i="86"/>
  <c r="I26" i="86" s="1"/>
  <c r="J26" i="86" s="1"/>
  <c r="E44" i="86"/>
  <c r="J44" i="86" s="1"/>
  <c r="E15" i="86"/>
  <c r="I15" i="86" s="1"/>
  <c r="J15" i="86" s="1"/>
  <c r="Y96" i="85"/>
  <c r="J38" i="85"/>
  <c r="E24" i="85"/>
  <c r="I24" i="85" s="1"/>
  <c r="J24" i="85" s="1"/>
  <c r="T28" i="85"/>
  <c r="T58" i="85" s="1"/>
  <c r="X59" i="85" s="1"/>
  <c r="X71" i="85" s="1"/>
  <c r="Y71" i="85" s="1"/>
  <c r="E27" i="85"/>
  <c r="I27" i="85" s="1"/>
  <c r="J27" i="85" s="1"/>
  <c r="E14" i="85"/>
  <c r="I14" i="85" s="1"/>
  <c r="J14" i="85" s="1"/>
  <c r="E17" i="85"/>
  <c r="I17" i="85" s="1"/>
  <c r="J17" i="85" s="1"/>
  <c r="E18" i="85"/>
  <c r="I18" i="85" s="1"/>
  <c r="J18" i="85" s="1"/>
  <c r="E20" i="85"/>
  <c r="I20" i="85" s="1"/>
  <c r="J20" i="85" s="1"/>
  <c r="E21" i="85"/>
  <c r="I21" i="85" s="1"/>
  <c r="J21" i="85" s="1"/>
  <c r="Y12" i="85"/>
  <c r="S91" i="85"/>
  <c r="X91" i="85" s="1"/>
  <c r="Y14" i="85"/>
  <c r="Y16" i="85"/>
  <c r="S92" i="85"/>
  <c r="X92" i="85" s="1"/>
  <c r="Y50" i="85"/>
  <c r="X97" i="85"/>
  <c r="Y97" i="85" s="1"/>
  <c r="X13" i="85"/>
  <c r="Y13" i="85" s="1"/>
  <c r="E43" i="85"/>
  <c r="J43" i="85" s="1"/>
  <c r="E47" i="85"/>
  <c r="J47" i="85" s="1"/>
  <c r="E19" i="85"/>
  <c r="I19" i="85" s="1"/>
  <c r="J19" i="85" s="1"/>
  <c r="E44" i="85"/>
  <c r="J44" i="85" s="1"/>
  <c r="E48" i="85"/>
  <c r="J48" i="85" s="1"/>
  <c r="V85" i="85"/>
  <c r="E12" i="85"/>
  <c r="E22" i="85"/>
  <c r="I22" i="85" s="1"/>
  <c r="J22" i="85" s="1"/>
  <c r="E41" i="85"/>
  <c r="E49" i="85"/>
  <c r="J49" i="85" s="1"/>
  <c r="D91" i="85"/>
  <c r="E16" i="85"/>
  <c r="I16" i="85" s="1"/>
  <c r="E26" i="85"/>
  <c r="I26" i="85" s="1"/>
  <c r="J26" i="85" s="1"/>
  <c r="E45" i="85"/>
  <c r="J45" i="85" s="1"/>
  <c r="E15" i="85"/>
  <c r="I15" i="85" s="1"/>
  <c r="J15" i="85" s="1"/>
  <c r="E25" i="85"/>
  <c r="I25" i="85" s="1"/>
  <c r="J25" i="85" s="1"/>
  <c r="E13" i="85"/>
  <c r="I13" i="85" s="1"/>
  <c r="J13" i="85" s="1"/>
  <c r="E42" i="85"/>
  <c r="J42" i="85" s="1"/>
  <c r="Y96" i="84"/>
  <c r="T28" i="84"/>
  <c r="T64" i="84" s="1"/>
  <c r="X65" i="84" s="1"/>
  <c r="X70" i="84" s="1"/>
  <c r="Y70" i="84" s="1"/>
  <c r="S92" i="84"/>
  <c r="X92" i="84" s="1"/>
  <c r="Y16" i="84"/>
  <c r="X13" i="84"/>
  <c r="Y13" i="84" s="1"/>
  <c r="Y50" i="84"/>
  <c r="J103" i="84"/>
  <c r="J14" i="84"/>
  <c r="S91" i="84"/>
  <c r="X91" i="84" s="1"/>
  <c r="Y14" i="84"/>
  <c r="E46" i="84"/>
  <c r="J46" i="84" s="1"/>
  <c r="E42" i="84"/>
  <c r="J42" i="84" s="1"/>
  <c r="E48" i="84"/>
  <c r="J48" i="84" s="1"/>
  <c r="E44" i="84"/>
  <c r="J44" i="84" s="1"/>
  <c r="E49" i="84"/>
  <c r="J49" i="84" s="1"/>
  <c r="E45" i="84"/>
  <c r="J45" i="84" s="1"/>
  <c r="E41" i="84"/>
  <c r="E47" i="84"/>
  <c r="J47" i="84" s="1"/>
  <c r="E43" i="84"/>
  <c r="J43" i="84" s="1"/>
  <c r="Y12" i="84"/>
  <c r="X28" i="84"/>
  <c r="V33" i="84" s="1"/>
  <c r="X56" i="84" s="1"/>
  <c r="I84" i="84"/>
  <c r="J84" i="84" s="1"/>
  <c r="V87" i="84"/>
  <c r="V83" i="84"/>
  <c r="Y83" i="84" s="1"/>
  <c r="V85" i="84"/>
  <c r="E12" i="84"/>
  <c r="E22" i="84"/>
  <c r="I22" i="84" s="1"/>
  <c r="J22" i="84" s="1"/>
  <c r="D91" i="84"/>
  <c r="E16" i="84"/>
  <c r="I16" i="84" s="1"/>
  <c r="E26" i="84"/>
  <c r="I26" i="84" s="1"/>
  <c r="J26" i="84" s="1"/>
  <c r="E19" i="84"/>
  <c r="I19" i="84" s="1"/>
  <c r="J19" i="84" s="1"/>
  <c r="E15" i="84"/>
  <c r="I15" i="84" s="1"/>
  <c r="J15" i="84" s="1"/>
  <c r="E25" i="84"/>
  <c r="I25" i="84" s="1"/>
  <c r="J25" i="84" s="1"/>
  <c r="E13" i="84"/>
  <c r="I13" i="84" s="1"/>
  <c r="J13" i="84" s="1"/>
  <c r="Y96" i="83"/>
  <c r="J38" i="83"/>
  <c r="E18" i="83"/>
  <c r="I18" i="83" s="1"/>
  <c r="J18" i="83" s="1"/>
  <c r="E22" i="83"/>
  <c r="I22" i="83" s="1"/>
  <c r="J22" i="83" s="1"/>
  <c r="E12" i="83"/>
  <c r="I12" i="83" s="1"/>
  <c r="J12" i="83" s="1"/>
  <c r="E24" i="83"/>
  <c r="I24" i="83" s="1"/>
  <c r="J24" i="83" s="1"/>
  <c r="Y50" i="83"/>
  <c r="S92" i="83"/>
  <c r="X92" i="83" s="1"/>
  <c r="Y16" i="83"/>
  <c r="J98" i="83"/>
  <c r="X104" i="83"/>
  <c r="Y104" i="83" s="1"/>
  <c r="V69" i="83"/>
  <c r="V87" i="83"/>
  <c r="I84" i="83"/>
  <c r="J84" i="83" s="1"/>
  <c r="S91" i="83"/>
  <c r="X91" i="83" s="1"/>
  <c r="Y14" i="83"/>
  <c r="E46" i="83"/>
  <c r="J46" i="83" s="1"/>
  <c r="E42" i="83"/>
  <c r="J42" i="83" s="1"/>
  <c r="E49" i="83"/>
  <c r="J49" i="83" s="1"/>
  <c r="E45" i="83"/>
  <c r="J45" i="83" s="1"/>
  <c r="E41" i="83"/>
  <c r="E48" i="83"/>
  <c r="J48" i="83" s="1"/>
  <c r="E44" i="83"/>
  <c r="J44" i="83" s="1"/>
  <c r="E43" i="83"/>
  <c r="J43" i="83" s="1"/>
  <c r="Y12" i="83"/>
  <c r="T28" i="83"/>
  <c r="X13" i="83"/>
  <c r="Y13" i="83" s="1"/>
  <c r="E15" i="83"/>
  <c r="I15" i="83" s="1"/>
  <c r="J15" i="83" s="1"/>
  <c r="E25" i="83"/>
  <c r="I25" i="83" s="1"/>
  <c r="J25" i="83" s="1"/>
  <c r="V102" i="83"/>
  <c r="V103" i="83" s="1"/>
  <c r="Y103" i="83" s="1"/>
  <c r="E19" i="83"/>
  <c r="I19" i="83" s="1"/>
  <c r="J19" i="83" s="1"/>
  <c r="V86" i="83"/>
  <c r="D91" i="83"/>
  <c r="E16" i="83"/>
  <c r="I16" i="83" s="1"/>
  <c r="E26" i="83"/>
  <c r="I26" i="83" s="1"/>
  <c r="J26" i="83" s="1"/>
  <c r="E13" i="83"/>
  <c r="I13" i="83" s="1"/>
  <c r="J13" i="83" s="1"/>
  <c r="Y96" i="82"/>
  <c r="E17" i="82"/>
  <c r="I17" i="82" s="1"/>
  <c r="J17" i="82" s="1"/>
  <c r="T28" i="82"/>
  <c r="T52" i="82" s="1"/>
  <c r="X53" i="82" s="1"/>
  <c r="Y12" i="82"/>
  <c r="J103" i="82"/>
  <c r="Y16" i="82"/>
  <c r="S92" i="82"/>
  <c r="X92" i="82" s="1"/>
  <c r="S91" i="82"/>
  <c r="X91" i="82" s="1"/>
  <c r="Y14" i="82"/>
  <c r="J98" i="82"/>
  <c r="E15" i="82"/>
  <c r="I15" i="82" s="1"/>
  <c r="J15" i="82" s="1"/>
  <c r="E25" i="82"/>
  <c r="I25" i="82" s="1"/>
  <c r="J25" i="82" s="1"/>
  <c r="X13" i="82"/>
  <c r="Y13" i="82" s="1"/>
  <c r="E43" i="82"/>
  <c r="J43" i="82" s="1"/>
  <c r="E47" i="82"/>
  <c r="J47" i="82" s="1"/>
  <c r="E12" i="82"/>
  <c r="E22" i="82"/>
  <c r="I22" i="82" s="1"/>
  <c r="J22" i="82" s="1"/>
  <c r="V71" i="82"/>
  <c r="V87" i="82"/>
  <c r="V83" i="82"/>
  <c r="Y83" i="82" s="1"/>
  <c r="E41" i="82"/>
  <c r="E49" i="82"/>
  <c r="J49" i="82" s="1"/>
  <c r="E19" i="82"/>
  <c r="I19" i="82" s="1"/>
  <c r="J19" i="82" s="1"/>
  <c r="D91" i="82"/>
  <c r="E44" i="82"/>
  <c r="J44" i="82" s="1"/>
  <c r="E48" i="82"/>
  <c r="J48" i="82" s="1"/>
  <c r="E45" i="82"/>
  <c r="J45" i="82" s="1"/>
  <c r="E16" i="82"/>
  <c r="I16" i="82" s="1"/>
  <c r="E26" i="82"/>
  <c r="I26" i="82" s="1"/>
  <c r="J26" i="82" s="1"/>
  <c r="E13" i="82"/>
  <c r="I13" i="82" s="1"/>
  <c r="J13" i="82" s="1"/>
  <c r="E42" i="82"/>
  <c r="J42" i="82" s="1"/>
  <c r="Y96" i="81"/>
  <c r="T28" i="81"/>
  <c r="T52" i="81" s="1"/>
  <c r="X53" i="81" s="1"/>
  <c r="E17" i="81"/>
  <c r="I17" i="81" s="1"/>
  <c r="J17" i="81" s="1"/>
  <c r="Y31" i="81"/>
  <c r="Y32" i="81" s="1"/>
  <c r="J32" i="81"/>
  <c r="Y12" i="81"/>
  <c r="S91" i="81"/>
  <c r="X91" i="81" s="1"/>
  <c r="Y14" i="81"/>
  <c r="Y103" i="81"/>
  <c r="S92" i="81"/>
  <c r="X92" i="81" s="1"/>
  <c r="Y16" i="81"/>
  <c r="X13" i="81"/>
  <c r="Y13" i="81" s="1"/>
  <c r="E43" i="81"/>
  <c r="J43" i="81" s="1"/>
  <c r="E47" i="81"/>
  <c r="J47" i="81" s="1"/>
  <c r="V85" i="81"/>
  <c r="E15" i="81"/>
  <c r="I15" i="81" s="1"/>
  <c r="J15" i="81" s="1"/>
  <c r="E25" i="81"/>
  <c r="I25" i="81" s="1"/>
  <c r="J25" i="81" s="1"/>
  <c r="E12" i="81"/>
  <c r="E22" i="81"/>
  <c r="I22" i="81" s="1"/>
  <c r="J22" i="81" s="1"/>
  <c r="V71" i="81"/>
  <c r="X97" i="81"/>
  <c r="Y97" i="81" s="1"/>
  <c r="V83" i="81"/>
  <c r="E44" i="81"/>
  <c r="J44" i="81" s="1"/>
  <c r="E48" i="81"/>
  <c r="J48" i="81" s="1"/>
  <c r="E41" i="81"/>
  <c r="E45" i="81"/>
  <c r="J45" i="81" s="1"/>
  <c r="E49" i="81"/>
  <c r="J49" i="81" s="1"/>
  <c r="E19" i="81"/>
  <c r="I19" i="81" s="1"/>
  <c r="J19" i="81" s="1"/>
  <c r="D91" i="81"/>
  <c r="E16" i="81"/>
  <c r="I16" i="81" s="1"/>
  <c r="E26" i="81"/>
  <c r="I26" i="81" s="1"/>
  <c r="J26" i="81" s="1"/>
  <c r="E13" i="81"/>
  <c r="I13" i="81" s="1"/>
  <c r="J13" i="81" s="1"/>
  <c r="E42" i="81"/>
  <c r="J42" i="81" s="1"/>
  <c r="Y96" i="80"/>
  <c r="T28" i="80"/>
  <c r="T52" i="80" s="1"/>
  <c r="X53" i="80" s="1"/>
  <c r="X104" i="80"/>
  <c r="Y104" i="80" s="1"/>
  <c r="Y12" i="80"/>
  <c r="J103" i="80"/>
  <c r="S91" i="80"/>
  <c r="X91" i="80" s="1"/>
  <c r="Y14" i="80"/>
  <c r="S92" i="80"/>
  <c r="X92" i="80" s="1"/>
  <c r="Y16" i="80"/>
  <c r="V87" i="80"/>
  <c r="E15" i="80"/>
  <c r="I15" i="80" s="1"/>
  <c r="J15" i="80" s="1"/>
  <c r="E25" i="80"/>
  <c r="I25" i="80" s="1"/>
  <c r="J25" i="80" s="1"/>
  <c r="V102" i="80"/>
  <c r="V103" i="80" s="1"/>
  <c r="Y103" i="80" s="1"/>
  <c r="E43" i="80"/>
  <c r="J43" i="80" s="1"/>
  <c r="E47" i="80"/>
  <c r="J47" i="80" s="1"/>
  <c r="E12" i="80"/>
  <c r="E22" i="80"/>
  <c r="I22" i="80" s="1"/>
  <c r="J22" i="80" s="1"/>
  <c r="V71" i="80"/>
  <c r="X13" i="80"/>
  <c r="Y13" i="80" s="1"/>
  <c r="V83" i="80"/>
  <c r="X97" i="80"/>
  <c r="Y97" i="80" s="1"/>
  <c r="D91" i="80"/>
  <c r="E16" i="80"/>
  <c r="I16" i="80" s="1"/>
  <c r="E26" i="80"/>
  <c r="I26" i="80" s="1"/>
  <c r="J26" i="80" s="1"/>
  <c r="E44" i="80"/>
  <c r="J44" i="80" s="1"/>
  <c r="E48" i="80"/>
  <c r="J48" i="80" s="1"/>
  <c r="E41" i="80"/>
  <c r="E45" i="80"/>
  <c r="J45" i="80" s="1"/>
  <c r="E49" i="80"/>
  <c r="J49" i="80" s="1"/>
  <c r="E19" i="80"/>
  <c r="I19" i="80" s="1"/>
  <c r="J19" i="80" s="1"/>
  <c r="E13" i="80"/>
  <c r="I13" i="80" s="1"/>
  <c r="J13" i="80" s="1"/>
  <c r="E42" i="80"/>
  <c r="J42" i="80" s="1"/>
  <c r="Y96" i="79"/>
  <c r="J38" i="79"/>
  <c r="T28" i="79"/>
  <c r="T61" i="79" s="1"/>
  <c r="X62" i="79" s="1"/>
  <c r="X67" i="79" s="1"/>
  <c r="Y67" i="79" s="1"/>
  <c r="E17" i="79"/>
  <c r="I17" i="79" s="1"/>
  <c r="J17" i="79" s="1"/>
  <c r="E18" i="79"/>
  <c r="I18" i="79" s="1"/>
  <c r="J18" i="79" s="1"/>
  <c r="E21" i="79"/>
  <c r="I21" i="79" s="1"/>
  <c r="J21" i="79" s="1"/>
  <c r="E24" i="79"/>
  <c r="I24" i="79" s="1"/>
  <c r="J24" i="79" s="1"/>
  <c r="S92" i="79"/>
  <c r="X92" i="79" s="1"/>
  <c r="Y16" i="79"/>
  <c r="Y12" i="79"/>
  <c r="X13" i="79"/>
  <c r="Y13" i="79" s="1"/>
  <c r="E46" i="79"/>
  <c r="J46" i="79" s="1"/>
  <c r="E42" i="79"/>
  <c r="J42" i="79" s="1"/>
  <c r="E49" i="79"/>
  <c r="J49" i="79" s="1"/>
  <c r="E45" i="79"/>
  <c r="J45" i="79" s="1"/>
  <c r="E41" i="79"/>
  <c r="E48" i="79"/>
  <c r="J48" i="79" s="1"/>
  <c r="E44" i="79"/>
  <c r="J44" i="79" s="1"/>
  <c r="E47" i="79"/>
  <c r="J47" i="79" s="1"/>
  <c r="E43" i="79"/>
  <c r="J43" i="79" s="1"/>
  <c r="S91" i="79"/>
  <c r="X91" i="79" s="1"/>
  <c r="Y14" i="79"/>
  <c r="Y50" i="79"/>
  <c r="J103" i="79"/>
  <c r="I84" i="79"/>
  <c r="J84" i="79" s="1"/>
  <c r="Y83" i="79"/>
  <c r="E15" i="79"/>
  <c r="I15" i="79" s="1"/>
  <c r="J15" i="79" s="1"/>
  <c r="E25" i="79"/>
  <c r="I25" i="79" s="1"/>
  <c r="J25" i="79" s="1"/>
  <c r="E19" i="79"/>
  <c r="I19" i="79" s="1"/>
  <c r="J19" i="79" s="1"/>
  <c r="D91" i="79"/>
  <c r="E16" i="79"/>
  <c r="I16" i="79" s="1"/>
  <c r="E26" i="79"/>
  <c r="I26" i="79" s="1"/>
  <c r="J26" i="79" s="1"/>
  <c r="E12" i="79"/>
  <c r="E22" i="79"/>
  <c r="I22" i="79" s="1"/>
  <c r="J22" i="79" s="1"/>
  <c r="E13" i="79"/>
  <c r="I13" i="79" s="1"/>
  <c r="J13" i="79" s="1"/>
  <c r="Y96" i="78"/>
  <c r="E24" i="78"/>
  <c r="I24" i="78" s="1"/>
  <c r="J24" i="78" s="1"/>
  <c r="E17" i="78"/>
  <c r="I17" i="78" s="1"/>
  <c r="J17" i="78" s="1"/>
  <c r="J103" i="78"/>
  <c r="Y83" i="78"/>
  <c r="Y12" i="78"/>
  <c r="X28" i="78"/>
  <c r="V33" i="78" s="1"/>
  <c r="S90" i="78"/>
  <c r="S91" i="78"/>
  <c r="X91" i="78" s="1"/>
  <c r="Y14" i="78"/>
  <c r="Y103" i="78"/>
  <c r="S92" i="78"/>
  <c r="X92" i="78" s="1"/>
  <c r="Y16" i="78"/>
  <c r="X97" i="78"/>
  <c r="Y97" i="78" s="1"/>
  <c r="V87" i="78"/>
  <c r="E15" i="78"/>
  <c r="I15" i="78" s="1"/>
  <c r="J15" i="78" s="1"/>
  <c r="E25" i="78"/>
  <c r="I25" i="78" s="1"/>
  <c r="J25" i="78" s="1"/>
  <c r="E12" i="78"/>
  <c r="E22" i="78"/>
  <c r="I22" i="78" s="1"/>
  <c r="J22" i="78" s="1"/>
  <c r="V71" i="78"/>
  <c r="E43" i="78"/>
  <c r="J43" i="78" s="1"/>
  <c r="E47" i="78"/>
  <c r="J47" i="78" s="1"/>
  <c r="T28" i="78"/>
  <c r="E41" i="78"/>
  <c r="E45" i="78"/>
  <c r="J45" i="78" s="1"/>
  <c r="E49" i="78"/>
  <c r="J49" i="78" s="1"/>
  <c r="E19" i="78"/>
  <c r="I19" i="78" s="1"/>
  <c r="J19" i="78" s="1"/>
  <c r="D91" i="78"/>
  <c r="E44" i="78"/>
  <c r="J44" i="78" s="1"/>
  <c r="E48" i="78"/>
  <c r="J48" i="78" s="1"/>
  <c r="E16" i="78"/>
  <c r="I16" i="78" s="1"/>
  <c r="E26" i="78"/>
  <c r="I26" i="78" s="1"/>
  <c r="J26" i="78" s="1"/>
  <c r="E13" i="78"/>
  <c r="I13" i="78" s="1"/>
  <c r="J13" i="78" s="1"/>
  <c r="E42" i="78"/>
  <c r="J42" i="78" s="1"/>
  <c r="T96" i="77"/>
  <c r="Y96" i="77" s="1"/>
  <c r="E14" i="77"/>
  <c r="T14" i="77" s="1"/>
  <c r="X14" i="77" s="1"/>
  <c r="Y14" i="77" s="1"/>
  <c r="E20" i="77"/>
  <c r="T20" i="77" s="1"/>
  <c r="X20" i="77" s="1"/>
  <c r="Y20" i="77" s="1"/>
  <c r="X104" i="77"/>
  <c r="Y104" i="77" s="1"/>
  <c r="I23" i="77"/>
  <c r="J23" i="77" s="1"/>
  <c r="T23" i="77"/>
  <c r="X23" i="77" s="1"/>
  <c r="Y23" i="77" s="1"/>
  <c r="Y31" i="77"/>
  <c r="Y32" i="77" s="1"/>
  <c r="J32" i="77"/>
  <c r="X97" i="77"/>
  <c r="Y97" i="77" s="1"/>
  <c r="E17" i="77"/>
  <c r="E27" i="77"/>
  <c r="V83" i="77"/>
  <c r="Y83" i="77" s="1"/>
  <c r="E21" i="77"/>
  <c r="V70" i="77"/>
  <c r="D90" i="77"/>
  <c r="E18" i="77"/>
  <c r="E44" i="77"/>
  <c r="J44" i="77" s="1"/>
  <c r="E48" i="77"/>
  <c r="J48" i="77" s="1"/>
  <c r="E15" i="77"/>
  <c r="E25" i="77"/>
  <c r="V102" i="77"/>
  <c r="V103" i="77" s="1"/>
  <c r="Y103" i="77" s="1"/>
  <c r="E43" i="77"/>
  <c r="J43" i="77" s="1"/>
  <c r="E47" i="77"/>
  <c r="J47" i="77" s="1"/>
  <c r="D91" i="77"/>
  <c r="E16" i="77"/>
  <c r="E12" i="77"/>
  <c r="E22" i="77"/>
  <c r="E41" i="77"/>
  <c r="E45" i="77"/>
  <c r="J45" i="77" s="1"/>
  <c r="E49" i="77"/>
  <c r="J49" i="77" s="1"/>
  <c r="E19" i="77"/>
  <c r="E13" i="77"/>
  <c r="E42" i="77"/>
  <c r="J42" i="77" s="1"/>
  <c r="Y96" i="76"/>
  <c r="E18" i="76"/>
  <c r="E20" i="76"/>
  <c r="E21" i="76"/>
  <c r="E24" i="76"/>
  <c r="E14" i="76"/>
  <c r="E27" i="76"/>
  <c r="Y31" i="76"/>
  <c r="Y32" i="76" s="1"/>
  <c r="Y83" i="76"/>
  <c r="Y103" i="76"/>
  <c r="E44" i="76"/>
  <c r="J44" i="76" s="1"/>
  <c r="E48" i="76"/>
  <c r="J48" i="76" s="1"/>
  <c r="V70" i="76"/>
  <c r="V85" i="76"/>
  <c r="X102" i="76"/>
  <c r="E15" i="76"/>
  <c r="E25" i="76"/>
  <c r="E12" i="76"/>
  <c r="T12" i="76" s="1"/>
  <c r="X12" i="76" s="1"/>
  <c r="Y12" i="76" s="1"/>
  <c r="E22" i="76"/>
  <c r="V71" i="76"/>
  <c r="X97" i="76"/>
  <c r="Y97" i="76" s="1"/>
  <c r="E43" i="76"/>
  <c r="J43" i="76" s="1"/>
  <c r="E47" i="76"/>
  <c r="J47" i="76" s="1"/>
  <c r="D91" i="76"/>
  <c r="E16" i="76"/>
  <c r="E26" i="76"/>
  <c r="E41" i="76"/>
  <c r="E45" i="76"/>
  <c r="J45" i="76" s="1"/>
  <c r="E49" i="76"/>
  <c r="J49" i="76" s="1"/>
  <c r="E19" i="76"/>
  <c r="E13" i="76"/>
  <c r="E42" i="76"/>
  <c r="J42" i="76" s="1"/>
  <c r="I84" i="75"/>
  <c r="J84" i="75" s="1"/>
  <c r="Y96" i="75"/>
  <c r="T28" i="75"/>
  <c r="T52" i="75" s="1"/>
  <c r="X53" i="75" s="1"/>
  <c r="Y16" i="75"/>
  <c r="S92" i="75"/>
  <c r="X92" i="75" s="1"/>
  <c r="J103" i="75"/>
  <c r="Y12" i="75"/>
  <c r="S91" i="75"/>
  <c r="X91" i="75" s="1"/>
  <c r="Y14" i="75"/>
  <c r="J97" i="75"/>
  <c r="Y81" i="75"/>
  <c r="X83" i="75" s="1"/>
  <c r="J98" i="75"/>
  <c r="E21" i="75"/>
  <c r="I21" i="75" s="1"/>
  <c r="J21" i="75" s="1"/>
  <c r="V70" i="75"/>
  <c r="V85" i="75"/>
  <c r="X102" i="75"/>
  <c r="E15" i="75"/>
  <c r="I15" i="75" s="1"/>
  <c r="J15" i="75" s="1"/>
  <c r="E25" i="75"/>
  <c r="I25" i="75" s="1"/>
  <c r="J25" i="75" s="1"/>
  <c r="E12" i="75"/>
  <c r="E22" i="75"/>
  <c r="I22" i="75" s="1"/>
  <c r="J22" i="75" s="1"/>
  <c r="V71" i="75"/>
  <c r="V87" i="75"/>
  <c r="X13" i="75"/>
  <c r="Y13" i="75" s="1"/>
  <c r="V83" i="75"/>
  <c r="E44" i="75"/>
  <c r="J44" i="75" s="1"/>
  <c r="E48" i="75"/>
  <c r="J48" i="75" s="1"/>
  <c r="E41" i="75"/>
  <c r="E49" i="75"/>
  <c r="J49" i="75" s="1"/>
  <c r="D91" i="75"/>
  <c r="E45" i="75"/>
  <c r="J45" i="75" s="1"/>
  <c r="E19" i="75"/>
  <c r="I19" i="75" s="1"/>
  <c r="J19" i="75" s="1"/>
  <c r="E16" i="75"/>
  <c r="I16" i="75" s="1"/>
  <c r="E26" i="75"/>
  <c r="I26" i="75" s="1"/>
  <c r="J26" i="75" s="1"/>
  <c r="E13" i="75"/>
  <c r="I13" i="75" s="1"/>
  <c r="J13" i="75" s="1"/>
  <c r="E42" i="75"/>
  <c r="J42" i="75" s="1"/>
  <c r="Y96" i="74"/>
  <c r="J38" i="74"/>
  <c r="T28" i="74"/>
  <c r="T52" i="74" s="1"/>
  <c r="X53" i="74" s="1"/>
  <c r="Y31" i="74"/>
  <c r="Y32" i="74" s="1"/>
  <c r="J32" i="74"/>
  <c r="Y12" i="74"/>
  <c r="S91" i="74"/>
  <c r="X91" i="74" s="1"/>
  <c r="Y14" i="74"/>
  <c r="X104" i="74"/>
  <c r="Y104" i="74" s="1"/>
  <c r="Y16" i="74"/>
  <c r="S92" i="74"/>
  <c r="X92" i="74" s="1"/>
  <c r="V87" i="74"/>
  <c r="D90" i="74"/>
  <c r="J98" i="74"/>
  <c r="E21" i="74"/>
  <c r="I21" i="74" s="1"/>
  <c r="J21" i="74" s="1"/>
  <c r="V70" i="74"/>
  <c r="E18" i="74"/>
  <c r="I18" i="74" s="1"/>
  <c r="J18" i="74" s="1"/>
  <c r="E44" i="74"/>
  <c r="J44" i="74" s="1"/>
  <c r="E48" i="74"/>
  <c r="J48" i="74" s="1"/>
  <c r="X13" i="74"/>
  <c r="Y13" i="74" s="1"/>
  <c r="E43" i="74"/>
  <c r="J43" i="74" s="1"/>
  <c r="E47" i="74"/>
  <c r="J47" i="74" s="1"/>
  <c r="E15" i="74"/>
  <c r="I15" i="74" s="1"/>
  <c r="J15" i="74" s="1"/>
  <c r="E25" i="74"/>
  <c r="I25" i="74" s="1"/>
  <c r="J25" i="74" s="1"/>
  <c r="V102" i="74"/>
  <c r="V103" i="74" s="1"/>
  <c r="Y103" i="74" s="1"/>
  <c r="D91" i="74"/>
  <c r="E12" i="74"/>
  <c r="E22" i="74"/>
  <c r="I22" i="74" s="1"/>
  <c r="J22" i="74" s="1"/>
  <c r="V71" i="74"/>
  <c r="E41" i="74"/>
  <c r="E45" i="74"/>
  <c r="J45" i="74" s="1"/>
  <c r="E49" i="74"/>
  <c r="J49" i="74" s="1"/>
  <c r="E16" i="74"/>
  <c r="I16" i="74" s="1"/>
  <c r="E26" i="74"/>
  <c r="I26" i="74" s="1"/>
  <c r="J26" i="74" s="1"/>
  <c r="E19" i="74"/>
  <c r="I19" i="74" s="1"/>
  <c r="J19" i="74" s="1"/>
  <c r="E13" i="74"/>
  <c r="I13" i="74" s="1"/>
  <c r="J13" i="74" s="1"/>
  <c r="E42" i="74"/>
  <c r="J42" i="74" s="1"/>
  <c r="Y96" i="73"/>
  <c r="E43" i="73"/>
  <c r="J43" i="73" s="1"/>
  <c r="E47" i="73"/>
  <c r="J47" i="73" s="1"/>
  <c r="J38" i="73"/>
  <c r="T28" i="73"/>
  <c r="T52" i="73" s="1"/>
  <c r="X53" i="73" s="1"/>
  <c r="J103" i="73"/>
  <c r="S92" i="73"/>
  <c r="X92" i="73" s="1"/>
  <c r="Y16" i="73"/>
  <c r="Y14" i="73"/>
  <c r="Y103" i="73"/>
  <c r="S90" i="73"/>
  <c r="Y13" i="73"/>
  <c r="E20" i="73"/>
  <c r="I20" i="73" s="1"/>
  <c r="J20" i="73" s="1"/>
  <c r="X97" i="73"/>
  <c r="Y97" i="73" s="1"/>
  <c r="E17" i="73"/>
  <c r="I17" i="73" s="1"/>
  <c r="J17" i="73" s="1"/>
  <c r="E27" i="73"/>
  <c r="I27" i="73" s="1"/>
  <c r="J27" i="73" s="1"/>
  <c r="V83" i="73"/>
  <c r="Y83" i="73" s="1"/>
  <c r="E21" i="73"/>
  <c r="I21" i="73" s="1"/>
  <c r="J21" i="73" s="1"/>
  <c r="V70" i="73"/>
  <c r="D90" i="73"/>
  <c r="E18" i="73"/>
  <c r="I18" i="73" s="1"/>
  <c r="J18" i="73" s="1"/>
  <c r="E44" i="73"/>
  <c r="J44" i="73" s="1"/>
  <c r="E48" i="73"/>
  <c r="J48" i="73" s="1"/>
  <c r="J102" i="73"/>
  <c r="X102" i="73"/>
  <c r="E12" i="73"/>
  <c r="E22" i="73"/>
  <c r="I22" i="73" s="1"/>
  <c r="J22" i="73" s="1"/>
  <c r="V71" i="73"/>
  <c r="D91" i="73"/>
  <c r="X15" i="73"/>
  <c r="Y15" i="73" s="1"/>
  <c r="E19" i="73"/>
  <c r="I19" i="73" s="1"/>
  <c r="J19" i="73" s="1"/>
  <c r="V86" i="73"/>
  <c r="E15" i="73"/>
  <c r="I15" i="73" s="1"/>
  <c r="J15" i="73" s="1"/>
  <c r="E25" i="73"/>
  <c r="I25" i="73" s="1"/>
  <c r="J25" i="73" s="1"/>
  <c r="E41" i="73"/>
  <c r="E45" i="73"/>
  <c r="J45" i="73" s="1"/>
  <c r="E49" i="73"/>
  <c r="J49" i="73" s="1"/>
  <c r="E16" i="73"/>
  <c r="I16" i="73" s="1"/>
  <c r="E26" i="73"/>
  <c r="I26" i="73" s="1"/>
  <c r="J26" i="73" s="1"/>
  <c r="E13" i="73"/>
  <c r="I13" i="73" s="1"/>
  <c r="J13" i="73" s="1"/>
  <c r="E42" i="73"/>
  <c r="J42" i="73" s="1"/>
  <c r="Y96" i="72"/>
  <c r="E47" i="72"/>
  <c r="J47" i="72" s="1"/>
  <c r="T28" i="72"/>
  <c r="T61" i="72" s="1"/>
  <c r="X62" i="72" s="1"/>
  <c r="X67" i="72" s="1"/>
  <c r="Y67" i="72" s="1"/>
  <c r="Y12" i="72"/>
  <c r="J103" i="72"/>
  <c r="S91" i="72"/>
  <c r="X91" i="72" s="1"/>
  <c r="Y14" i="72"/>
  <c r="Y103" i="72"/>
  <c r="Y16" i="72"/>
  <c r="S92" i="72"/>
  <c r="X92" i="72" s="1"/>
  <c r="J97" i="72"/>
  <c r="V87" i="72"/>
  <c r="E44" i="72"/>
  <c r="J44" i="72" s="1"/>
  <c r="E48" i="72"/>
  <c r="J48" i="72" s="1"/>
  <c r="J98" i="72"/>
  <c r="I84" i="72"/>
  <c r="J84" i="72" s="1"/>
  <c r="V85" i="72"/>
  <c r="X102" i="72"/>
  <c r="X13" i="72"/>
  <c r="Y13" i="72" s="1"/>
  <c r="E15" i="72"/>
  <c r="I15" i="72" s="1"/>
  <c r="J15" i="72" s="1"/>
  <c r="E25" i="72"/>
  <c r="I25" i="72" s="1"/>
  <c r="J25" i="72" s="1"/>
  <c r="E12" i="72"/>
  <c r="E22" i="72"/>
  <c r="I22" i="72" s="1"/>
  <c r="J22" i="72" s="1"/>
  <c r="V71" i="72"/>
  <c r="D91" i="72"/>
  <c r="E16" i="72"/>
  <c r="I16" i="72" s="1"/>
  <c r="E26" i="72"/>
  <c r="I26" i="72" s="1"/>
  <c r="J26" i="72" s="1"/>
  <c r="E41" i="72"/>
  <c r="E45" i="72"/>
  <c r="J45" i="72" s="1"/>
  <c r="E49" i="72"/>
  <c r="J49" i="72" s="1"/>
  <c r="E19" i="72"/>
  <c r="I19" i="72" s="1"/>
  <c r="J19" i="72" s="1"/>
  <c r="E13" i="72"/>
  <c r="I13" i="72" s="1"/>
  <c r="J13" i="72" s="1"/>
  <c r="E42" i="72"/>
  <c r="J42" i="72" s="1"/>
  <c r="J38" i="71"/>
  <c r="Y96" i="71"/>
  <c r="E18" i="71"/>
  <c r="I18" i="71" s="1"/>
  <c r="J18" i="71" s="1"/>
  <c r="E20" i="71"/>
  <c r="I20" i="71" s="1"/>
  <c r="J20" i="71" s="1"/>
  <c r="E21" i="71"/>
  <c r="I21" i="71" s="1"/>
  <c r="J21" i="71" s="1"/>
  <c r="E24" i="71"/>
  <c r="I24" i="71" s="1"/>
  <c r="J24" i="71" s="1"/>
  <c r="E14" i="71"/>
  <c r="I14" i="71" s="1"/>
  <c r="J14" i="71" s="1"/>
  <c r="E27" i="71"/>
  <c r="I27" i="71" s="1"/>
  <c r="J27" i="71" s="1"/>
  <c r="S92" i="71"/>
  <c r="X92" i="71" s="1"/>
  <c r="Y16" i="71"/>
  <c r="Y83" i="71"/>
  <c r="T28" i="71"/>
  <c r="X13" i="71"/>
  <c r="Y13" i="71" s="1"/>
  <c r="Y50" i="71"/>
  <c r="S91" i="71"/>
  <c r="X91" i="71" s="1"/>
  <c r="Y14" i="71"/>
  <c r="V87" i="71"/>
  <c r="E46" i="71"/>
  <c r="J46" i="71" s="1"/>
  <c r="E42" i="71"/>
  <c r="J42" i="71" s="1"/>
  <c r="E48" i="71"/>
  <c r="J48" i="71" s="1"/>
  <c r="E44" i="71"/>
  <c r="J44" i="71" s="1"/>
  <c r="E49" i="71"/>
  <c r="J49" i="71" s="1"/>
  <c r="E45" i="71"/>
  <c r="J45" i="71" s="1"/>
  <c r="E41" i="71"/>
  <c r="E47" i="71"/>
  <c r="J47" i="71" s="1"/>
  <c r="E43" i="71"/>
  <c r="J43" i="71" s="1"/>
  <c r="I84" i="71"/>
  <c r="J84" i="71" s="1"/>
  <c r="Y12" i="71"/>
  <c r="J103" i="71"/>
  <c r="Y97" i="71"/>
  <c r="E19" i="71"/>
  <c r="I19" i="71" s="1"/>
  <c r="J19" i="71" s="1"/>
  <c r="V85" i="71"/>
  <c r="X102" i="71"/>
  <c r="E12" i="71"/>
  <c r="E22" i="71"/>
  <c r="I22" i="71" s="1"/>
  <c r="J22" i="71" s="1"/>
  <c r="D91" i="71"/>
  <c r="E16" i="71"/>
  <c r="I16" i="71" s="1"/>
  <c r="E26" i="71"/>
  <c r="I26" i="71" s="1"/>
  <c r="J26" i="71" s="1"/>
  <c r="E15" i="71"/>
  <c r="I15" i="71" s="1"/>
  <c r="J15" i="71" s="1"/>
  <c r="E25" i="71"/>
  <c r="I25" i="71" s="1"/>
  <c r="J25" i="71" s="1"/>
  <c r="E13" i="71"/>
  <c r="I13" i="71" s="1"/>
  <c r="J13" i="71" s="1"/>
  <c r="Y96" i="70"/>
  <c r="T28" i="70"/>
  <c r="T58" i="70" s="1"/>
  <c r="X59" i="70" s="1"/>
  <c r="X71" i="70" s="1"/>
  <c r="Y31" i="70"/>
  <c r="Y32" i="70" s="1"/>
  <c r="J32" i="70"/>
  <c r="Y12" i="70"/>
  <c r="X104" i="70"/>
  <c r="Y104" i="70" s="1"/>
  <c r="S91" i="70"/>
  <c r="X91" i="70" s="1"/>
  <c r="Y14" i="70"/>
  <c r="S92" i="70"/>
  <c r="X92" i="70" s="1"/>
  <c r="Y16" i="70"/>
  <c r="V87" i="70"/>
  <c r="E44" i="70"/>
  <c r="J44" i="70" s="1"/>
  <c r="E48" i="70"/>
  <c r="J48" i="70" s="1"/>
  <c r="X13" i="70"/>
  <c r="Y13" i="70" s="1"/>
  <c r="V85" i="70"/>
  <c r="E15" i="70"/>
  <c r="I15" i="70" s="1"/>
  <c r="J15" i="70" s="1"/>
  <c r="E25" i="70"/>
  <c r="I25" i="70" s="1"/>
  <c r="J25" i="70" s="1"/>
  <c r="E12" i="70"/>
  <c r="E22" i="70"/>
  <c r="I22" i="70" s="1"/>
  <c r="J22" i="70" s="1"/>
  <c r="V71" i="70"/>
  <c r="X97" i="70"/>
  <c r="Y97" i="70" s="1"/>
  <c r="E43" i="70"/>
  <c r="J43" i="70" s="1"/>
  <c r="E47" i="70"/>
  <c r="J47" i="70" s="1"/>
  <c r="E41" i="70"/>
  <c r="E45" i="70"/>
  <c r="J45" i="70" s="1"/>
  <c r="E49" i="70"/>
  <c r="J49" i="70" s="1"/>
  <c r="D91" i="70"/>
  <c r="E16" i="70"/>
  <c r="I16" i="70" s="1"/>
  <c r="E26" i="70"/>
  <c r="I26" i="70" s="1"/>
  <c r="J26" i="70" s="1"/>
  <c r="E13" i="70"/>
  <c r="I13" i="70" s="1"/>
  <c r="J13" i="70" s="1"/>
  <c r="E42" i="70"/>
  <c r="J42" i="70" s="1"/>
  <c r="Y96" i="69"/>
  <c r="Y83" i="69"/>
  <c r="E46" i="69"/>
  <c r="J46" i="69" s="1"/>
  <c r="E42" i="69"/>
  <c r="J42" i="69" s="1"/>
  <c r="E48" i="69"/>
  <c r="J48" i="69" s="1"/>
  <c r="E44" i="69"/>
  <c r="J44" i="69" s="1"/>
  <c r="E47" i="69"/>
  <c r="J47" i="69" s="1"/>
  <c r="E43" i="69"/>
  <c r="J43" i="69" s="1"/>
  <c r="E49" i="69"/>
  <c r="J49" i="69" s="1"/>
  <c r="E45" i="69"/>
  <c r="J45" i="69" s="1"/>
  <c r="E41" i="69"/>
  <c r="Y14" i="69"/>
  <c r="Y50" i="69"/>
  <c r="T20" i="69"/>
  <c r="X20" i="69" s="1"/>
  <c r="Y20" i="69" s="1"/>
  <c r="I20" i="69"/>
  <c r="J20" i="69" s="1"/>
  <c r="J103" i="69"/>
  <c r="I23" i="69"/>
  <c r="J23" i="69" s="1"/>
  <c r="V87" i="69"/>
  <c r="V85" i="69"/>
  <c r="E12" i="69"/>
  <c r="E22" i="69"/>
  <c r="D91" i="69"/>
  <c r="E16" i="69"/>
  <c r="E26" i="69"/>
  <c r="I17" i="69"/>
  <c r="J17" i="69" s="1"/>
  <c r="I27" i="69"/>
  <c r="J27" i="69" s="1"/>
  <c r="T21" i="69"/>
  <c r="X21" i="69" s="1"/>
  <c r="Y21" i="69" s="1"/>
  <c r="E15" i="69"/>
  <c r="E25" i="69"/>
  <c r="E19" i="69"/>
  <c r="E13" i="69"/>
  <c r="Y96" i="68"/>
  <c r="E20" i="68"/>
  <c r="I20" i="68" s="1"/>
  <c r="J20" i="68" s="1"/>
  <c r="E21" i="68"/>
  <c r="T21" i="68" s="1"/>
  <c r="X21" i="68" s="1"/>
  <c r="Y21" i="68" s="1"/>
  <c r="E24" i="68"/>
  <c r="I24" i="68" s="1"/>
  <c r="J24" i="68" s="1"/>
  <c r="E27" i="68"/>
  <c r="T27" i="68" s="1"/>
  <c r="X27" i="68" s="1"/>
  <c r="Y27" i="68" s="1"/>
  <c r="X104" i="68"/>
  <c r="Y104" i="68" s="1"/>
  <c r="J103" i="68"/>
  <c r="Y31" i="68"/>
  <c r="Y32" i="68" s="1"/>
  <c r="J32" i="68"/>
  <c r="I23" i="68"/>
  <c r="J23" i="68" s="1"/>
  <c r="T23" i="68"/>
  <c r="X23" i="68" s="1"/>
  <c r="Y23" i="68" s="1"/>
  <c r="J98" i="68"/>
  <c r="V70" i="68"/>
  <c r="E15" i="68"/>
  <c r="E25" i="68"/>
  <c r="V102" i="68"/>
  <c r="V103" i="68" s="1"/>
  <c r="Y103" i="68" s="1"/>
  <c r="E12" i="68"/>
  <c r="E22" i="68"/>
  <c r="V71" i="68"/>
  <c r="V87" i="68"/>
  <c r="V83" i="68"/>
  <c r="Y83" i="68" s="1"/>
  <c r="E43" i="68"/>
  <c r="J43" i="68" s="1"/>
  <c r="E47" i="68"/>
  <c r="J47" i="68" s="1"/>
  <c r="D91" i="68"/>
  <c r="E16" i="68"/>
  <c r="E26" i="68"/>
  <c r="E44" i="68"/>
  <c r="J44" i="68" s="1"/>
  <c r="E48" i="68"/>
  <c r="J48" i="68" s="1"/>
  <c r="E41" i="68"/>
  <c r="E45" i="68"/>
  <c r="J45" i="68" s="1"/>
  <c r="E49" i="68"/>
  <c r="J49" i="68" s="1"/>
  <c r="E13" i="68"/>
  <c r="E42" i="68"/>
  <c r="J42" i="68" s="1"/>
  <c r="Y97" i="67"/>
  <c r="J98" i="67"/>
  <c r="Y96" i="67"/>
  <c r="E21" i="67"/>
  <c r="I21" i="67" s="1"/>
  <c r="J21" i="67" s="1"/>
  <c r="E24" i="67"/>
  <c r="I24" i="67" s="1"/>
  <c r="J24" i="67" s="1"/>
  <c r="E27" i="67"/>
  <c r="T27" i="67" s="1"/>
  <c r="X27" i="67" s="1"/>
  <c r="Y27" i="67" s="1"/>
  <c r="E46" i="67"/>
  <c r="J46" i="67" s="1"/>
  <c r="E42" i="67"/>
  <c r="J42" i="67" s="1"/>
  <c r="E48" i="67"/>
  <c r="J48" i="67" s="1"/>
  <c r="E44" i="67"/>
  <c r="J44" i="67" s="1"/>
  <c r="E49" i="67"/>
  <c r="J49" i="67" s="1"/>
  <c r="E45" i="67"/>
  <c r="J45" i="67" s="1"/>
  <c r="E41" i="67"/>
  <c r="E47" i="67"/>
  <c r="J47" i="67" s="1"/>
  <c r="E43" i="67"/>
  <c r="J43" i="67" s="1"/>
  <c r="Y83" i="67"/>
  <c r="Y50" i="67"/>
  <c r="J103" i="67"/>
  <c r="I23" i="67"/>
  <c r="J23" i="67" s="1"/>
  <c r="V85" i="67"/>
  <c r="E12" i="67"/>
  <c r="E22" i="67"/>
  <c r="D91" i="67"/>
  <c r="E16" i="67"/>
  <c r="E26" i="67"/>
  <c r="E15" i="67"/>
  <c r="E25" i="67"/>
  <c r="E19" i="67"/>
  <c r="E13" i="67"/>
  <c r="J98" i="66"/>
  <c r="E18" i="66"/>
  <c r="E21" i="66"/>
  <c r="E22" i="66"/>
  <c r="X104" i="66"/>
  <c r="Y104" i="66" s="1"/>
  <c r="J103" i="66"/>
  <c r="E46" i="66"/>
  <c r="J46" i="66" s="1"/>
  <c r="E42" i="66"/>
  <c r="J42" i="66" s="1"/>
  <c r="E49" i="66"/>
  <c r="J49" i="66" s="1"/>
  <c r="E45" i="66"/>
  <c r="J45" i="66" s="1"/>
  <c r="E41" i="66"/>
  <c r="E48" i="66"/>
  <c r="J48" i="66" s="1"/>
  <c r="E44" i="66"/>
  <c r="J44" i="66" s="1"/>
  <c r="E47" i="66"/>
  <c r="J47" i="66" s="1"/>
  <c r="E43" i="66"/>
  <c r="J43" i="66" s="1"/>
  <c r="Y83" i="66"/>
  <c r="Y97" i="66"/>
  <c r="Y50" i="66"/>
  <c r="J14" i="66"/>
  <c r="V87" i="66"/>
  <c r="E15" i="66"/>
  <c r="E25" i="66"/>
  <c r="V102" i="66"/>
  <c r="V103" i="66" s="1"/>
  <c r="Y103" i="66" s="1"/>
  <c r="E19" i="66"/>
  <c r="V86" i="66"/>
  <c r="D91" i="66"/>
  <c r="E16" i="66"/>
  <c r="E26" i="66"/>
  <c r="E13" i="66"/>
  <c r="Y96" i="65"/>
  <c r="J38" i="65"/>
  <c r="E24" i="65"/>
  <c r="I24" i="65" s="1"/>
  <c r="J24" i="65" s="1"/>
  <c r="T28" i="65"/>
  <c r="T52" i="65" s="1"/>
  <c r="X53" i="65" s="1"/>
  <c r="E17" i="65"/>
  <c r="I17" i="65" s="1"/>
  <c r="J17" i="65" s="1"/>
  <c r="E18" i="65"/>
  <c r="I18" i="65" s="1"/>
  <c r="J18" i="65" s="1"/>
  <c r="Y97" i="65"/>
  <c r="S92" i="65"/>
  <c r="X92" i="65" s="1"/>
  <c r="Y16" i="65"/>
  <c r="J84" i="65"/>
  <c r="Y12" i="65"/>
  <c r="S91" i="65"/>
  <c r="X91" i="65" s="1"/>
  <c r="Y14" i="65"/>
  <c r="J103" i="65"/>
  <c r="D91" i="65"/>
  <c r="V87" i="65"/>
  <c r="J98" i="65"/>
  <c r="E44" i="65"/>
  <c r="J44" i="65" s="1"/>
  <c r="E48" i="65"/>
  <c r="J48" i="65" s="1"/>
  <c r="E19" i="65"/>
  <c r="I19" i="65" s="1"/>
  <c r="J19" i="65" s="1"/>
  <c r="E16" i="65"/>
  <c r="I16" i="65" s="1"/>
  <c r="E26" i="65"/>
  <c r="I26" i="65" s="1"/>
  <c r="J26" i="65" s="1"/>
  <c r="X13" i="65"/>
  <c r="Y13" i="65" s="1"/>
  <c r="E43" i="65"/>
  <c r="J43" i="65" s="1"/>
  <c r="E47" i="65"/>
  <c r="J47" i="65" s="1"/>
  <c r="V85" i="65"/>
  <c r="E22" i="65"/>
  <c r="I22" i="65" s="1"/>
  <c r="J22" i="65" s="1"/>
  <c r="E41" i="65"/>
  <c r="E45" i="65"/>
  <c r="J45" i="65" s="1"/>
  <c r="E49" i="65"/>
  <c r="J49" i="65" s="1"/>
  <c r="E15" i="65"/>
  <c r="I15" i="65" s="1"/>
  <c r="J15" i="65" s="1"/>
  <c r="E25" i="65"/>
  <c r="I25" i="65" s="1"/>
  <c r="J25" i="65" s="1"/>
  <c r="E12" i="65"/>
  <c r="E13" i="65"/>
  <c r="I13" i="65" s="1"/>
  <c r="J13" i="65" s="1"/>
  <c r="E42" i="65"/>
  <c r="J42" i="65" s="1"/>
  <c r="E17" i="64"/>
  <c r="T17" i="64" s="1"/>
  <c r="X17" i="64" s="1"/>
  <c r="Y17" i="64" s="1"/>
  <c r="X102" i="64"/>
  <c r="Y102" i="64" s="1"/>
  <c r="I84" i="64"/>
  <c r="J84" i="64" s="1"/>
  <c r="D90" i="64"/>
  <c r="E18" i="64"/>
  <c r="T18" i="64" s="1"/>
  <c r="X18" i="64" s="1"/>
  <c r="Y18" i="64" s="1"/>
  <c r="E20" i="64"/>
  <c r="T20" i="64" s="1"/>
  <c r="X20" i="64" s="1"/>
  <c r="Y20" i="64" s="1"/>
  <c r="E24" i="64"/>
  <c r="I24" i="64" s="1"/>
  <c r="J24" i="64" s="1"/>
  <c r="E27" i="64"/>
  <c r="T27" i="64" s="1"/>
  <c r="X27" i="64" s="1"/>
  <c r="Y27" i="64" s="1"/>
  <c r="J46" i="64"/>
  <c r="Y50" i="64"/>
  <c r="J102" i="64"/>
  <c r="D92" i="64"/>
  <c r="Y96" i="64"/>
  <c r="J103" i="64"/>
  <c r="I23" i="64"/>
  <c r="J23" i="64" s="1"/>
  <c r="T23" i="64"/>
  <c r="X23" i="64" s="1"/>
  <c r="Y23" i="64" s="1"/>
  <c r="J97" i="64"/>
  <c r="J98" i="64"/>
  <c r="E21" i="64"/>
  <c r="V70" i="64"/>
  <c r="T14" i="64"/>
  <c r="X14" i="64" s="1"/>
  <c r="T24" i="64"/>
  <c r="X24" i="64" s="1"/>
  <c r="Y24" i="64" s="1"/>
  <c r="V85" i="64"/>
  <c r="E12" i="64"/>
  <c r="E22" i="64"/>
  <c r="V71" i="64"/>
  <c r="V83" i="64"/>
  <c r="Y83" i="64" s="1"/>
  <c r="E43" i="64"/>
  <c r="J43" i="64" s="1"/>
  <c r="E47" i="64"/>
  <c r="J47" i="64" s="1"/>
  <c r="D91" i="64"/>
  <c r="E44" i="64"/>
  <c r="J44" i="64" s="1"/>
  <c r="E48" i="64"/>
  <c r="J48" i="64" s="1"/>
  <c r="E16" i="64"/>
  <c r="E26" i="64"/>
  <c r="E15" i="64"/>
  <c r="E25" i="64"/>
  <c r="E41" i="64"/>
  <c r="E45" i="64"/>
  <c r="J45" i="64" s="1"/>
  <c r="E49" i="64"/>
  <c r="J49" i="64" s="1"/>
  <c r="E19" i="64"/>
  <c r="E13" i="64"/>
  <c r="E42" i="64"/>
  <c r="J42" i="64" s="1"/>
  <c r="Y38" i="63"/>
  <c r="Y97" i="63"/>
  <c r="J98" i="63"/>
  <c r="Y96" i="63"/>
  <c r="E46" i="63"/>
  <c r="J46" i="63" s="1"/>
  <c r="E42" i="63"/>
  <c r="J42" i="63" s="1"/>
  <c r="E49" i="63"/>
  <c r="J49" i="63" s="1"/>
  <c r="E45" i="63"/>
  <c r="J45" i="63" s="1"/>
  <c r="E41" i="63"/>
  <c r="E48" i="63"/>
  <c r="J48" i="63" s="1"/>
  <c r="E44" i="63"/>
  <c r="J44" i="63" s="1"/>
  <c r="E47" i="63"/>
  <c r="J47" i="63" s="1"/>
  <c r="E43" i="63"/>
  <c r="J43" i="63" s="1"/>
  <c r="Y83" i="63"/>
  <c r="X104" i="63"/>
  <c r="Y104" i="63" s="1"/>
  <c r="J32" i="63"/>
  <c r="Y50" i="63"/>
  <c r="T17" i="63"/>
  <c r="X17" i="63" s="1"/>
  <c r="Y17" i="63" s="1"/>
  <c r="T20" i="63"/>
  <c r="X20" i="63" s="1"/>
  <c r="Y20" i="63" s="1"/>
  <c r="D92" i="63"/>
  <c r="E14" i="63"/>
  <c r="E24" i="63"/>
  <c r="E21" i="63"/>
  <c r="V70" i="63"/>
  <c r="D90" i="63"/>
  <c r="E18" i="63"/>
  <c r="E15" i="63"/>
  <c r="E25" i="63"/>
  <c r="V102" i="63"/>
  <c r="V103" i="63" s="1"/>
  <c r="Y103" i="63" s="1"/>
  <c r="E19" i="63"/>
  <c r="E12" i="63"/>
  <c r="E22" i="63"/>
  <c r="D91" i="63"/>
  <c r="E16" i="63"/>
  <c r="E26" i="63"/>
  <c r="E13" i="63"/>
  <c r="Y38" i="62"/>
  <c r="Y97" i="62"/>
  <c r="J98" i="62"/>
  <c r="Y96" i="62"/>
  <c r="D45" i="56"/>
  <c r="C45" i="56"/>
  <c r="Y83" i="62"/>
  <c r="E46" i="62"/>
  <c r="J46" i="62" s="1"/>
  <c r="E42" i="62"/>
  <c r="J42" i="62" s="1"/>
  <c r="E48" i="62"/>
  <c r="J48" i="62" s="1"/>
  <c r="E44" i="62"/>
  <c r="J44" i="62" s="1"/>
  <c r="E47" i="62"/>
  <c r="J47" i="62" s="1"/>
  <c r="E43" i="62"/>
  <c r="J43" i="62" s="1"/>
  <c r="E49" i="62"/>
  <c r="J49" i="62" s="1"/>
  <c r="E45" i="62"/>
  <c r="J45" i="62" s="1"/>
  <c r="E41" i="62"/>
  <c r="Y31" i="62"/>
  <c r="Y32" i="62" s="1"/>
  <c r="Y50" i="62"/>
  <c r="V87" i="62"/>
  <c r="I21" i="62"/>
  <c r="J21" i="62" s="1"/>
  <c r="T24" i="62"/>
  <c r="X24" i="62" s="1"/>
  <c r="Y24" i="62" s="1"/>
  <c r="V85" i="62"/>
  <c r="E12" i="62"/>
  <c r="E22" i="62"/>
  <c r="D91" i="62"/>
  <c r="E16" i="62"/>
  <c r="E26" i="62"/>
  <c r="E15" i="62"/>
  <c r="E25" i="62"/>
  <c r="E19" i="62"/>
  <c r="E13" i="62"/>
  <c r="Y96" i="61"/>
  <c r="Y96" i="58"/>
  <c r="Y96" i="59"/>
  <c r="E43" i="61"/>
  <c r="J43" i="61" s="1"/>
  <c r="E21" i="61"/>
  <c r="Y31" i="61"/>
  <c r="Y32" i="61" s="1"/>
  <c r="J14" i="61"/>
  <c r="J103" i="61"/>
  <c r="Y50" i="61"/>
  <c r="Y103" i="61"/>
  <c r="I104" i="61"/>
  <c r="J104" i="61" s="1"/>
  <c r="X97" i="61"/>
  <c r="Y97" i="61" s="1"/>
  <c r="E17" i="61"/>
  <c r="E27" i="61"/>
  <c r="V83" i="61"/>
  <c r="Y83" i="61" s="1"/>
  <c r="E44" i="61"/>
  <c r="J44" i="61" s="1"/>
  <c r="E48" i="61"/>
  <c r="J48" i="61" s="1"/>
  <c r="D91" i="61"/>
  <c r="E16" i="61"/>
  <c r="E26" i="61"/>
  <c r="V85" i="61"/>
  <c r="E12" i="61"/>
  <c r="T12" i="61" s="1"/>
  <c r="X12" i="61" s="1"/>
  <c r="Y12" i="61" s="1"/>
  <c r="E22" i="61"/>
  <c r="E41" i="61"/>
  <c r="E45" i="61"/>
  <c r="J45" i="61" s="1"/>
  <c r="E49" i="61"/>
  <c r="J49" i="61" s="1"/>
  <c r="E19" i="61"/>
  <c r="E15" i="61"/>
  <c r="E25" i="61"/>
  <c r="E13" i="61"/>
  <c r="E42" i="61"/>
  <c r="J42" i="61" s="1"/>
  <c r="E24" i="60"/>
  <c r="I24" i="60" s="1"/>
  <c r="J24" i="60" s="1"/>
  <c r="T28" i="60"/>
  <c r="T58" i="60" s="1"/>
  <c r="X59" i="60" s="1"/>
  <c r="X71" i="60" s="1"/>
  <c r="E17" i="60"/>
  <c r="I17" i="60" s="1"/>
  <c r="J17" i="60" s="1"/>
  <c r="S91" i="60"/>
  <c r="X91" i="60" s="1"/>
  <c r="Y14" i="60"/>
  <c r="Y103" i="60"/>
  <c r="Y31" i="60"/>
  <c r="Y32" i="60" s="1"/>
  <c r="J103" i="60"/>
  <c r="S92" i="60"/>
  <c r="X92" i="60" s="1"/>
  <c r="Y16" i="60"/>
  <c r="Y12" i="60"/>
  <c r="E44" i="60"/>
  <c r="J44" i="60" s="1"/>
  <c r="E48" i="60"/>
  <c r="J48" i="60" s="1"/>
  <c r="E15" i="60"/>
  <c r="I15" i="60" s="1"/>
  <c r="J15" i="60" s="1"/>
  <c r="E25" i="60"/>
  <c r="I25" i="60" s="1"/>
  <c r="J25" i="60" s="1"/>
  <c r="X97" i="60"/>
  <c r="Y97" i="60" s="1"/>
  <c r="X13" i="60"/>
  <c r="Y13" i="60" s="1"/>
  <c r="E43" i="60"/>
  <c r="J43" i="60" s="1"/>
  <c r="E47" i="60"/>
  <c r="J47" i="60" s="1"/>
  <c r="E12" i="60"/>
  <c r="E22" i="60"/>
  <c r="I22" i="60" s="1"/>
  <c r="J22" i="60" s="1"/>
  <c r="V71" i="60"/>
  <c r="D91" i="60"/>
  <c r="E41" i="60"/>
  <c r="E45" i="60"/>
  <c r="J45" i="60" s="1"/>
  <c r="E49" i="60"/>
  <c r="J49" i="60" s="1"/>
  <c r="E19" i="60"/>
  <c r="I19" i="60" s="1"/>
  <c r="J19" i="60" s="1"/>
  <c r="E16" i="60"/>
  <c r="I16" i="60" s="1"/>
  <c r="E26" i="60"/>
  <c r="I26" i="60" s="1"/>
  <c r="J26" i="60" s="1"/>
  <c r="E13" i="60"/>
  <c r="I13" i="60" s="1"/>
  <c r="J13" i="60" s="1"/>
  <c r="E42" i="60"/>
  <c r="J42" i="60" s="1"/>
  <c r="Y38" i="59"/>
  <c r="E12" i="59"/>
  <c r="I12" i="59" s="1"/>
  <c r="J12" i="59" s="1"/>
  <c r="E14" i="59"/>
  <c r="I14" i="59" s="1"/>
  <c r="J14" i="59" s="1"/>
  <c r="E15" i="59"/>
  <c r="T15" i="59" s="1"/>
  <c r="X15" i="59" s="1"/>
  <c r="Y15" i="59" s="1"/>
  <c r="E17" i="59"/>
  <c r="I17" i="59" s="1"/>
  <c r="J17" i="59" s="1"/>
  <c r="E18" i="59"/>
  <c r="I23" i="59"/>
  <c r="J23" i="59" s="1"/>
  <c r="E24" i="59"/>
  <c r="I24" i="59" s="1"/>
  <c r="J24" i="59" s="1"/>
  <c r="E21" i="59"/>
  <c r="I21" i="59" s="1"/>
  <c r="J21" i="59" s="1"/>
  <c r="E25" i="59"/>
  <c r="T25" i="59" s="1"/>
  <c r="X25" i="59" s="1"/>
  <c r="Y25" i="59" s="1"/>
  <c r="E19" i="59"/>
  <c r="T19" i="59" s="1"/>
  <c r="X19" i="59" s="1"/>
  <c r="Y19" i="59" s="1"/>
  <c r="E20" i="59"/>
  <c r="T20" i="59" s="1"/>
  <c r="X20" i="59" s="1"/>
  <c r="Y20" i="59" s="1"/>
  <c r="E22" i="59"/>
  <c r="I22" i="59" s="1"/>
  <c r="J22" i="59" s="1"/>
  <c r="E27" i="59"/>
  <c r="T27" i="59" s="1"/>
  <c r="X27" i="59" s="1"/>
  <c r="Y27" i="59" s="1"/>
  <c r="E46" i="59"/>
  <c r="J46" i="59" s="1"/>
  <c r="E42" i="59"/>
  <c r="J42" i="59" s="1"/>
  <c r="E49" i="59"/>
  <c r="J49" i="59" s="1"/>
  <c r="E45" i="59"/>
  <c r="J45" i="59" s="1"/>
  <c r="E41" i="59"/>
  <c r="E47" i="59"/>
  <c r="J47" i="59" s="1"/>
  <c r="E43" i="59"/>
  <c r="J43" i="59" s="1"/>
  <c r="E48" i="59"/>
  <c r="J48" i="59" s="1"/>
  <c r="E44" i="59"/>
  <c r="J44" i="59" s="1"/>
  <c r="Y50" i="59"/>
  <c r="J103" i="59"/>
  <c r="I84" i="59"/>
  <c r="J84" i="59" s="1"/>
  <c r="Y83" i="59"/>
  <c r="T17" i="59"/>
  <c r="X17" i="59" s="1"/>
  <c r="Y17" i="59" s="1"/>
  <c r="T21" i="59"/>
  <c r="X21" i="59" s="1"/>
  <c r="Y21" i="59" s="1"/>
  <c r="T14" i="59"/>
  <c r="X14" i="59" s="1"/>
  <c r="T24" i="59"/>
  <c r="X24" i="59" s="1"/>
  <c r="Y24" i="59" s="1"/>
  <c r="T12" i="59"/>
  <c r="V86" i="59"/>
  <c r="D91" i="59"/>
  <c r="E16" i="59"/>
  <c r="E26" i="59"/>
  <c r="E13" i="59"/>
  <c r="D30" i="56"/>
  <c r="E31" i="56" s="1"/>
  <c r="H31" i="56" s="1"/>
  <c r="J38" i="58"/>
  <c r="E17" i="58"/>
  <c r="E18" i="58"/>
  <c r="E21" i="58"/>
  <c r="E24" i="58"/>
  <c r="E27" i="58"/>
  <c r="Y103" i="58"/>
  <c r="Y83" i="58"/>
  <c r="J103" i="58"/>
  <c r="J32" i="58"/>
  <c r="Y31" i="58"/>
  <c r="Y32" i="58" s="1"/>
  <c r="J98" i="58"/>
  <c r="D90" i="58"/>
  <c r="E15" i="58"/>
  <c r="E25" i="58"/>
  <c r="E44" i="58"/>
  <c r="J44" i="58" s="1"/>
  <c r="E48" i="58"/>
  <c r="J48" i="58" s="1"/>
  <c r="E12" i="58"/>
  <c r="T12" i="58" s="1"/>
  <c r="X12" i="58" s="1"/>
  <c r="E22" i="58"/>
  <c r="E19" i="58"/>
  <c r="V71" i="58"/>
  <c r="E43" i="58"/>
  <c r="J43" i="58" s="1"/>
  <c r="E47" i="58"/>
  <c r="J47" i="58" s="1"/>
  <c r="E45" i="58"/>
  <c r="J45" i="58" s="1"/>
  <c r="E26" i="58"/>
  <c r="D91" i="58"/>
  <c r="E13" i="58"/>
  <c r="E23" i="58"/>
  <c r="E41" i="58"/>
  <c r="E49" i="58"/>
  <c r="J49" i="58" s="1"/>
  <c r="E16" i="58"/>
  <c r="E42" i="58"/>
  <c r="J42" i="58" s="1"/>
  <c r="J32" i="72" l="1"/>
  <c r="Y31" i="101"/>
  <c r="Y32" i="101" s="1"/>
  <c r="T58" i="103"/>
  <c r="X59" i="103" s="1"/>
  <c r="X71" i="103" s="1"/>
  <c r="Y71" i="103" s="1"/>
  <c r="T52" i="103"/>
  <c r="X53" i="103" s="1"/>
  <c r="X87" i="103" s="1"/>
  <c r="Y87" i="103" s="1"/>
  <c r="T61" i="103"/>
  <c r="X62" i="103" s="1"/>
  <c r="X67" i="103" s="1"/>
  <c r="Y67" i="103" s="1"/>
  <c r="I21" i="102"/>
  <c r="J21" i="102" s="1"/>
  <c r="I20" i="102"/>
  <c r="J20" i="102" s="1"/>
  <c r="T14" i="101"/>
  <c r="X14" i="101" s="1"/>
  <c r="Y14" i="101" s="1"/>
  <c r="T64" i="95"/>
  <c r="X65" i="95" s="1"/>
  <c r="X70" i="95" s="1"/>
  <c r="Y70" i="95" s="1"/>
  <c r="T58" i="95"/>
  <c r="X59" i="95" s="1"/>
  <c r="X71" i="95" s="1"/>
  <c r="Y71" i="95" s="1"/>
  <c r="T61" i="94"/>
  <c r="X62" i="94" s="1"/>
  <c r="X67" i="94" s="1"/>
  <c r="Y67" i="94" s="1"/>
  <c r="T58" i="94"/>
  <c r="X59" i="94" s="1"/>
  <c r="X71" i="94" s="1"/>
  <c r="Y71" i="94" s="1"/>
  <c r="T52" i="94"/>
  <c r="X53" i="94" s="1"/>
  <c r="X87" i="94" s="1"/>
  <c r="Y87" i="94" s="1"/>
  <c r="T64" i="89"/>
  <c r="X65" i="89" s="1"/>
  <c r="X70" i="89" s="1"/>
  <c r="Y70" i="89" s="1"/>
  <c r="T58" i="89"/>
  <c r="X59" i="89" s="1"/>
  <c r="X71" i="89" s="1"/>
  <c r="Y71" i="89" s="1"/>
  <c r="S90" i="88"/>
  <c r="T61" i="85"/>
  <c r="X62" i="85" s="1"/>
  <c r="X67" i="85" s="1"/>
  <c r="Y67" i="85" s="1"/>
  <c r="T52" i="85"/>
  <c r="X53" i="85" s="1"/>
  <c r="X87" i="85" s="1"/>
  <c r="Y87" i="85" s="1"/>
  <c r="T64" i="82"/>
  <c r="X65" i="82" s="1"/>
  <c r="X70" i="82" s="1"/>
  <c r="Y70" i="82" s="1"/>
  <c r="T61" i="82"/>
  <c r="X62" i="82" s="1"/>
  <c r="X67" i="82" s="1"/>
  <c r="Y67" i="82" s="1"/>
  <c r="T58" i="82"/>
  <c r="X59" i="82" s="1"/>
  <c r="X71" i="82" s="1"/>
  <c r="Y71" i="82" s="1"/>
  <c r="T64" i="81"/>
  <c r="X65" i="81" s="1"/>
  <c r="X70" i="81" s="1"/>
  <c r="Y70" i="81" s="1"/>
  <c r="T58" i="81"/>
  <c r="X59" i="81" s="1"/>
  <c r="X71" i="81" s="1"/>
  <c r="I14" i="69"/>
  <c r="T20" i="68"/>
  <c r="X20" i="68" s="1"/>
  <c r="Y20" i="68" s="1"/>
  <c r="T14" i="66"/>
  <c r="X14" i="66" s="1"/>
  <c r="T27" i="66"/>
  <c r="X27" i="66" s="1"/>
  <c r="Y27" i="66" s="1"/>
  <c r="I18" i="62"/>
  <c r="J18" i="62" s="1"/>
  <c r="J32" i="65"/>
  <c r="J32" i="75"/>
  <c r="T61" i="81"/>
  <c r="X62" i="81" s="1"/>
  <c r="X67" i="81" s="1"/>
  <c r="Y67" i="81" s="1"/>
  <c r="I24" i="77"/>
  <c r="J24" i="77" s="1"/>
  <c r="T58" i="73"/>
  <c r="X59" i="73" s="1"/>
  <c r="X71" i="73" s="1"/>
  <c r="Y71" i="73" s="1"/>
  <c r="T52" i="72"/>
  <c r="X53" i="72" s="1"/>
  <c r="X69" i="72" s="1"/>
  <c r="T58" i="72"/>
  <c r="X59" i="72" s="1"/>
  <c r="X71" i="72" s="1"/>
  <c r="Y71" i="72" s="1"/>
  <c r="I24" i="69"/>
  <c r="J24" i="69" s="1"/>
  <c r="I17" i="68"/>
  <c r="J17" i="68" s="1"/>
  <c r="I18" i="68"/>
  <c r="J18" i="68" s="1"/>
  <c r="I19" i="68"/>
  <c r="J19" i="68" s="1"/>
  <c r="I27" i="68"/>
  <c r="J27" i="68" s="1"/>
  <c r="T12" i="66"/>
  <c r="X12" i="66" s="1"/>
  <c r="Y12" i="66" s="1"/>
  <c r="X28" i="65"/>
  <c r="V33" i="65" s="1"/>
  <c r="S90" i="65"/>
  <c r="I18" i="64"/>
  <c r="J18" i="64" s="1"/>
  <c r="I20" i="64"/>
  <c r="J20" i="64" s="1"/>
  <c r="I27" i="64"/>
  <c r="J27" i="64" s="1"/>
  <c r="T27" i="63"/>
  <c r="X27" i="63" s="1"/>
  <c r="Y27" i="63" s="1"/>
  <c r="T20" i="62"/>
  <c r="X20" i="62" s="1"/>
  <c r="Y20" i="62" s="1"/>
  <c r="T14" i="62"/>
  <c r="X14" i="62" s="1"/>
  <c r="Y14" i="62" s="1"/>
  <c r="Y31" i="96"/>
  <c r="Y32" i="96" s="1"/>
  <c r="T20" i="101"/>
  <c r="X20" i="101" s="1"/>
  <c r="Y20" i="101" s="1"/>
  <c r="J32" i="99"/>
  <c r="J105" i="68"/>
  <c r="J32" i="82"/>
  <c r="Y31" i="85"/>
  <c r="Y32" i="85" s="1"/>
  <c r="Y31" i="97"/>
  <c r="Y32" i="97" s="1"/>
  <c r="J32" i="90"/>
  <c r="J32" i="88"/>
  <c r="Y31" i="94"/>
  <c r="Y32" i="94" s="1"/>
  <c r="J32" i="105"/>
  <c r="J32" i="73"/>
  <c r="J105" i="97"/>
  <c r="J32" i="69"/>
  <c r="J105" i="69"/>
  <c r="J32" i="100"/>
  <c r="J105" i="81"/>
  <c r="J105" i="62"/>
  <c r="J32" i="67"/>
  <c r="Y83" i="87"/>
  <c r="J105" i="75"/>
  <c r="T21" i="101"/>
  <c r="X21" i="101" s="1"/>
  <c r="Y21" i="101" s="1"/>
  <c r="T24" i="101"/>
  <c r="X24" i="101" s="1"/>
  <c r="Y24" i="101" s="1"/>
  <c r="J32" i="89"/>
  <c r="J32" i="87"/>
  <c r="Y31" i="80"/>
  <c r="Y32" i="80" s="1"/>
  <c r="J105" i="70"/>
  <c r="J105" i="67"/>
  <c r="J32" i="84"/>
  <c r="J105" i="92"/>
  <c r="Y102" i="78"/>
  <c r="Y105" i="78" s="1"/>
  <c r="J32" i="104"/>
  <c r="J105" i="71"/>
  <c r="J105" i="94"/>
  <c r="J105" i="59"/>
  <c r="J32" i="64"/>
  <c r="J32" i="78"/>
  <c r="J32" i="79"/>
  <c r="J32" i="59"/>
  <c r="J105" i="96"/>
  <c r="Y102" i="61"/>
  <c r="Y105" i="61" s="1"/>
  <c r="J105" i="74"/>
  <c r="Y102" i="103"/>
  <c r="Y105" i="103" s="1"/>
  <c r="Y102" i="100"/>
  <c r="Y105" i="100" s="1"/>
  <c r="J105" i="82"/>
  <c r="J32" i="95"/>
  <c r="J32" i="103"/>
  <c r="J105" i="63"/>
  <c r="J105" i="89"/>
  <c r="J32" i="93"/>
  <c r="J105" i="101"/>
  <c r="J105" i="104"/>
  <c r="J105" i="86"/>
  <c r="J105" i="65"/>
  <c r="Y102" i="104"/>
  <c r="Y105" i="104" s="1"/>
  <c r="Y83" i="74"/>
  <c r="J32" i="83"/>
  <c r="J105" i="83"/>
  <c r="Y105" i="98"/>
  <c r="T64" i="72"/>
  <c r="X65" i="72" s="1"/>
  <c r="X70" i="72" s="1"/>
  <c r="Y70" i="72" s="1"/>
  <c r="X28" i="71"/>
  <c r="V33" i="71" s="1"/>
  <c r="X56" i="71" s="1"/>
  <c r="X85" i="71" s="1"/>
  <c r="Y85" i="71" s="1"/>
  <c r="S90" i="71"/>
  <c r="J105" i="58"/>
  <c r="I20" i="67"/>
  <c r="J20" i="67" s="1"/>
  <c r="I17" i="67"/>
  <c r="J17" i="67" s="1"/>
  <c r="I27" i="67"/>
  <c r="J27" i="67" s="1"/>
  <c r="T14" i="67"/>
  <c r="X14" i="67" s="1"/>
  <c r="I18" i="67"/>
  <c r="J18" i="67" s="1"/>
  <c r="I20" i="59"/>
  <c r="J20" i="59" s="1"/>
  <c r="J105" i="102"/>
  <c r="J105" i="80"/>
  <c r="J105" i="100"/>
  <c r="J105" i="90"/>
  <c r="J105" i="87"/>
  <c r="Y102" i="90"/>
  <c r="Y105" i="90" s="1"/>
  <c r="J105" i="77"/>
  <c r="J105" i="60"/>
  <c r="Y102" i="58"/>
  <c r="Y105" i="58" s="1"/>
  <c r="J105" i="99"/>
  <c r="Y105" i="69"/>
  <c r="Y102" i="97"/>
  <c r="Y105" i="97" s="1"/>
  <c r="Y102" i="94"/>
  <c r="Y105" i="94" s="1"/>
  <c r="Y102" i="82"/>
  <c r="Y105" i="82" s="1"/>
  <c r="Y102" i="63"/>
  <c r="Y105" i="63" s="1"/>
  <c r="J105" i="61"/>
  <c r="J32" i="66"/>
  <c r="J105" i="91"/>
  <c r="J105" i="79"/>
  <c r="J105" i="93"/>
  <c r="J105" i="78"/>
  <c r="J105" i="84"/>
  <c r="J105" i="98"/>
  <c r="J105" i="85"/>
  <c r="J105" i="66"/>
  <c r="Y83" i="81"/>
  <c r="T52" i="95"/>
  <c r="X53" i="95" s="1"/>
  <c r="X69" i="95" s="1"/>
  <c r="T64" i="88"/>
  <c r="X65" i="88" s="1"/>
  <c r="X70" i="88" s="1"/>
  <c r="Y70" i="88" s="1"/>
  <c r="T61" i="88"/>
  <c r="X62" i="88" s="1"/>
  <c r="X67" i="88" s="1"/>
  <c r="Y67" i="88" s="1"/>
  <c r="T58" i="88"/>
  <c r="X59" i="88" s="1"/>
  <c r="X71" i="88" s="1"/>
  <c r="Y71" i="88" s="1"/>
  <c r="B91" i="80"/>
  <c r="I91" i="80" s="1"/>
  <c r="I14" i="77"/>
  <c r="J14" i="77" s="1"/>
  <c r="I20" i="77"/>
  <c r="J20" i="77" s="1"/>
  <c r="T61" i="73"/>
  <c r="X62" i="73" s="1"/>
  <c r="X67" i="73" s="1"/>
  <c r="Y67" i="73" s="1"/>
  <c r="T64" i="73"/>
  <c r="X65" i="73" s="1"/>
  <c r="X70" i="73" s="1"/>
  <c r="Y70" i="73" s="1"/>
  <c r="T52" i="70"/>
  <c r="X53" i="70" s="1"/>
  <c r="X87" i="70" s="1"/>
  <c r="Y87" i="70" s="1"/>
  <c r="T64" i="70"/>
  <c r="X65" i="70" s="1"/>
  <c r="X70" i="70" s="1"/>
  <c r="Y70" i="70" s="1"/>
  <c r="T61" i="70"/>
  <c r="X62" i="70" s="1"/>
  <c r="X67" i="70" s="1"/>
  <c r="Y67" i="70" s="1"/>
  <c r="I18" i="69"/>
  <c r="J18" i="69" s="1"/>
  <c r="T14" i="68"/>
  <c r="X14" i="68" s="1"/>
  <c r="T21" i="67"/>
  <c r="X21" i="67" s="1"/>
  <c r="Y21" i="67" s="1"/>
  <c r="T64" i="65"/>
  <c r="X65" i="65" s="1"/>
  <c r="X70" i="65" s="1"/>
  <c r="Y70" i="65" s="1"/>
  <c r="I27" i="62"/>
  <c r="J27" i="62" s="1"/>
  <c r="I17" i="62"/>
  <c r="J17" i="62" s="1"/>
  <c r="Y102" i="88"/>
  <c r="Y105" i="88" s="1"/>
  <c r="J105" i="88"/>
  <c r="Y28" i="89"/>
  <c r="Y33" i="89" s="1"/>
  <c r="Y102" i="89"/>
  <c r="X104" i="89"/>
  <c r="Y104" i="89" s="1"/>
  <c r="T61" i="89"/>
  <c r="X62" i="89" s="1"/>
  <c r="X67" i="89" s="1"/>
  <c r="Y67" i="89" s="1"/>
  <c r="B91" i="103"/>
  <c r="I91" i="103" s="1"/>
  <c r="J105" i="103"/>
  <c r="J105" i="105"/>
  <c r="Y102" i="105"/>
  <c r="X104" i="105"/>
  <c r="Y104" i="105" s="1"/>
  <c r="Y31" i="102"/>
  <c r="Y32" i="102" s="1"/>
  <c r="J32" i="102"/>
  <c r="Y102" i="102"/>
  <c r="Y105" i="102" s="1"/>
  <c r="I25" i="101"/>
  <c r="J25" i="101" s="1"/>
  <c r="T25" i="101"/>
  <c r="X25" i="101" s="1"/>
  <c r="Y25" i="101" s="1"/>
  <c r="I26" i="101"/>
  <c r="J26" i="101" s="1"/>
  <c r="T26" i="101"/>
  <c r="X26" i="101" s="1"/>
  <c r="Y26" i="101" s="1"/>
  <c r="I16" i="101"/>
  <c r="T16" i="101"/>
  <c r="X16" i="101" s="1"/>
  <c r="I13" i="101"/>
  <c r="J13" i="101" s="1"/>
  <c r="T13" i="101"/>
  <c r="I17" i="101"/>
  <c r="J17" i="101" s="1"/>
  <c r="T17" i="101"/>
  <c r="X17" i="101" s="1"/>
  <c r="Y17" i="101" s="1"/>
  <c r="I22" i="101"/>
  <c r="J22" i="101" s="1"/>
  <c r="T22" i="101"/>
  <c r="X22" i="101" s="1"/>
  <c r="Y22" i="101" s="1"/>
  <c r="I27" i="101"/>
  <c r="J27" i="101" s="1"/>
  <c r="T27" i="101"/>
  <c r="X27" i="101" s="1"/>
  <c r="Y27" i="101" s="1"/>
  <c r="I19" i="101"/>
  <c r="J19" i="101" s="1"/>
  <c r="T19" i="101"/>
  <c r="X19" i="101" s="1"/>
  <c r="Y19" i="101" s="1"/>
  <c r="I15" i="101"/>
  <c r="J15" i="101" s="1"/>
  <c r="T15" i="101"/>
  <c r="X15" i="101" s="1"/>
  <c r="I18" i="101"/>
  <c r="J18" i="101" s="1"/>
  <c r="T18" i="101"/>
  <c r="X18" i="101" s="1"/>
  <c r="Y18" i="101" s="1"/>
  <c r="T58" i="100"/>
  <c r="X59" i="100" s="1"/>
  <c r="X71" i="100" s="1"/>
  <c r="Y71" i="100" s="1"/>
  <c r="T52" i="100"/>
  <c r="X53" i="100" s="1"/>
  <c r="X87" i="100" s="1"/>
  <c r="Y87" i="100" s="1"/>
  <c r="T64" i="100"/>
  <c r="X65" i="100" s="1"/>
  <c r="X70" i="100" s="1"/>
  <c r="Y70" i="100" s="1"/>
  <c r="X28" i="96"/>
  <c r="V33" i="96" s="1"/>
  <c r="J105" i="95"/>
  <c r="Y102" i="93"/>
  <c r="Y105" i="93" s="1"/>
  <c r="Y28" i="92"/>
  <c r="Y33" i="92" s="1"/>
  <c r="X28" i="92"/>
  <c r="V33" i="92" s="1"/>
  <c r="T61" i="87"/>
  <c r="X62" i="87" s="1"/>
  <c r="X67" i="87" s="1"/>
  <c r="Y67" i="87" s="1"/>
  <c r="T64" i="87"/>
  <c r="X65" i="87" s="1"/>
  <c r="X70" i="87" s="1"/>
  <c r="Y70" i="87" s="1"/>
  <c r="T58" i="87"/>
  <c r="X59" i="87" s="1"/>
  <c r="X71" i="87" s="1"/>
  <c r="Y71" i="87" s="1"/>
  <c r="Y102" i="87"/>
  <c r="Y105" i="87" s="1"/>
  <c r="T61" i="86"/>
  <c r="X62" i="86" s="1"/>
  <c r="X67" i="86" s="1"/>
  <c r="Y67" i="86" s="1"/>
  <c r="T64" i="86"/>
  <c r="X65" i="86" s="1"/>
  <c r="X70" i="86" s="1"/>
  <c r="Y70" i="86" s="1"/>
  <c r="Y102" i="85"/>
  <c r="X104" i="85"/>
  <c r="Y104" i="85" s="1"/>
  <c r="S90" i="84"/>
  <c r="Y102" i="84"/>
  <c r="Y105" i="84" s="1"/>
  <c r="Y102" i="83"/>
  <c r="Y105" i="83" s="1"/>
  <c r="Y102" i="81"/>
  <c r="X104" i="81"/>
  <c r="Y104" i="81" s="1"/>
  <c r="S90" i="80"/>
  <c r="X90" i="80" s="1"/>
  <c r="Y93" i="80" s="1"/>
  <c r="T61" i="80"/>
  <c r="X62" i="80" s="1"/>
  <c r="X67" i="80" s="1"/>
  <c r="Y67" i="80" s="1"/>
  <c r="T58" i="80"/>
  <c r="X59" i="80" s="1"/>
  <c r="X71" i="80" s="1"/>
  <c r="Y71" i="80" s="1"/>
  <c r="X28" i="80"/>
  <c r="T64" i="80"/>
  <c r="X65" i="80" s="1"/>
  <c r="X70" i="80" s="1"/>
  <c r="Y70" i="80" s="1"/>
  <c r="Y83" i="80"/>
  <c r="Y102" i="79"/>
  <c r="X104" i="79"/>
  <c r="Y104" i="79" s="1"/>
  <c r="I15" i="76"/>
  <c r="J15" i="76" s="1"/>
  <c r="T15" i="76"/>
  <c r="X15" i="76" s="1"/>
  <c r="Y15" i="76" s="1"/>
  <c r="I26" i="76"/>
  <c r="J26" i="76" s="1"/>
  <c r="T26" i="76"/>
  <c r="X26" i="76" s="1"/>
  <c r="Y26" i="76" s="1"/>
  <c r="I13" i="76"/>
  <c r="J13" i="76" s="1"/>
  <c r="T13" i="76"/>
  <c r="I18" i="76"/>
  <c r="J18" i="76" s="1"/>
  <c r="T18" i="76"/>
  <c r="X18" i="76" s="1"/>
  <c r="Y18" i="76" s="1"/>
  <c r="I17" i="76"/>
  <c r="J17" i="76" s="1"/>
  <c r="T17" i="76"/>
  <c r="X17" i="76" s="1"/>
  <c r="Y17" i="76" s="1"/>
  <c r="J105" i="76"/>
  <c r="I14" i="76"/>
  <c r="J14" i="76" s="1"/>
  <c r="T14" i="76"/>
  <c r="X14" i="76" s="1"/>
  <c r="I21" i="76"/>
  <c r="J21" i="76" s="1"/>
  <c r="T21" i="76"/>
  <c r="X21" i="76" s="1"/>
  <c r="Y21" i="76" s="1"/>
  <c r="I20" i="76"/>
  <c r="J20" i="76" s="1"/>
  <c r="T20" i="76"/>
  <c r="X20" i="76" s="1"/>
  <c r="Y20" i="76" s="1"/>
  <c r="I16" i="76"/>
  <c r="J16" i="76" s="1"/>
  <c r="T16" i="76"/>
  <c r="X16" i="76" s="1"/>
  <c r="I22" i="76"/>
  <c r="J22" i="76" s="1"/>
  <c r="T22" i="76"/>
  <c r="X22" i="76" s="1"/>
  <c r="Y22" i="76" s="1"/>
  <c r="I19" i="76"/>
  <c r="J19" i="76" s="1"/>
  <c r="T19" i="76"/>
  <c r="X19" i="76" s="1"/>
  <c r="Y19" i="76" s="1"/>
  <c r="I24" i="76"/>
  <c r="J24" i="76" s="1"/>
  <c r="T24" i="76"/>
  <c r="X24" i="76" s="1"/>
  <c r="Y24" i="76" s="1"/>
  <c r="I25" i="76"/>
  <c r="J25" i="76" s="1"/>
  <c r="T25" i="76"/>
  <c r="X25" i="76" s="1"/>
  <c r="Y25" i="76" s="1"/>
  <c r="I27" i="76"/>
  <c r="J27" i="76" s="1"/>
  <c r="T27" i="76"/>
  <c r="X27" i="76" s="1"/>
  <c r="Y27" i="76" s="1"/>
  <c r="T64" i="74"/>
  <c r="X65" i="74" s="1"/>
  <c r="X70" i="74" s="1"/>
  <c r="Y70" i="74" s="1"/>
  <c r="T61" i="74"/>
  <c r="X62" i="74" s="1"/>
  <c r="X67" i="74" s="1"/>
  <c r="Y67" i="74" s="1"/>
  <c r="T58" i="74"/>
  <c r="X59" i="74" s="1"/>
  <c r="X71" i="74" s="1"/>
  <c r="Y71" i="74" s="1"/>
  <c r="J105" i="72"/>
  <c r="S90" i="72"/>
  <c r="X90" i="72" s="1"/>
  <c r="Y93" i="72" s="1"/>
  <c r="X28" i="72"/>
  <c r="V33" i="72" s="1"/>
  <c r="J32" i="71"/>
  <c r="Y102" i="70"/>
  <c r="Y105" i="70" s="1"/>
  <c r="T24" i="68"/>
  <c r="X24" i="68" s="1"/>
  <c r="Y24" i="68" s="1"/>
  <c r="I21" i="68"/>
  <c r="J21" i="68" s="1"/>
  <c r="T24" i="67"/>
  <c r="X24" i="67" s="1"/>
  <c r="Y24" i="67" s="1"/>
  <c r="Y102" i="67"/>
  <c r="Y105" i="67" s="1"/>
  <c r="I19" i="66"/>
  <c r="J19" i="66" s="1"/>
  <c r="T19" i="66"/>
  <c r="X19" i="66" s="1"/>
  <c r="Y19" i="66" s="1"/>
  <c r="I24" i="66"/>
  <c r="J24" i="66" s="1"/>
  <c r="T24" i="66"/>
  <c r="X24" i="66" s="1"/>
  <c r="Y24" i="66" s="1"/>
  <c r="I25" i="66"/>
  <c r="J25" i="66" s="1"/>
  <c r="T25" i="66"/>
  <c r="X25" i="66" s="1"/>
  <c r="Y25" i="66" s="1"/>
  <c r="I26" i="66"/>
  <c r="J26" i="66" s="1"/>
  <c r="T26" i="66"/>
  <c r="X26" i="66" s="1"/>
  <c r="Y26" i="66" s="1"/>
  <c r="I17" i="66"/>
  <c r="J17" i="66" s="1"/>
  <c r="T17" i="66"/>
  <c r="X17" i="66" s="1"/>
  <c r="Y17" i="66" s="1"/>
  <c r="I13" i="66"/>
  <c r="J13" i="66" s="1"/>
  <c r="T13" i="66"/>
  <c r="X13" i="66" s="1"/>
  <c r="Y13" i="66" s="1"/>
  <c r="I16" i="66"/>
  <c r="J16" i="66" s="1"/>
  <c r="T16" i="66"/>
  <c r="X16" i="66" s="1"/>
  <c r="Y14" i="66"/>
  <c r="I22" i="66"/>
  <c r="J22" i="66" s="1"/>
  <c r="T22" i="66"/>
  <c r="X22" i="66" s="1"/>
  <c r="Y22" i="66" s="1"/>
  <c r="I15" i="66"/>
  <c r="T15" i="66"/>
  <c r="X15" i="66" s="1"/>
  <c r="Y15" i="66" s="1"/>
  <c r="I21" i="66"/>
  <c r="J21" i="66" s="1"/>
  <c r="T21" i="66"/>
  <c r="X21" i="66" s="1"/>
  <c r="Y21" i="66" s="1"/>
  <c r="I20" i="66"/>
  <c r="J20" i="66" s="1"/>
  <c r="T20" i="66"/>
  <c r="X20" i="66" s="1"/>
  <c r="Y20" i="66" s="1"/>
  <c r="I18" i="66"/>
  <c r="J18" i="66" s="1"/>
  <c r="T18" i="66"/>
  <c r="X18" i="66" s="1"/>
  <c r="Y18" i="66" s="1"/>
  <c r="Y102" i="65"/>
  <c r="X104" i="65"/>
  <c r="Y104" i="65" s="1"/>
  <c r="T58" i="65"/>
  <c r="X59" i="65" s="1"/>
  <c r="X71" i="65" s="1"/>
  <c r="Y71" i="65" s="1"/>
  <c r="T61" i="65"/>
  <c r="X62" i="65" s="1"/>
  <c r="X67" i="65" s="1"/>
  <c r="Y67" i="65" s="1"/>
  <c r="Y28" i="65"/>
  <c r="Y33" i="65" s="1"/>
  <c r="J105" i="64"/>
  <c r="I17" i="64"/>
  <c r="J17" i="64" s="1"/>
  <c r="Y102" i="62"/>
  <c r="Y105" i="62" s="1"/>
  <c r="I21" i="61"/>
  <c r="J21" i="61" s="1"/>
  <c r="T21" i="61"/>
  <c r="X21" i="61" s="1"/>
  <c r="Y21" i="61" s="1"/>
  <c r="I25" i="61"/>
  <c r="J25" i="61" s="1"/>
  <c r="T25" i="61"/>
  <c r="X25" i="61" s="1"/>
  <c r="Y25" i="61" s="1"/>
  <c r="I22" i="61"/>
  <c r="J22" i="61" s="1"/>
  <c r="T22" i="61"/>
  <c r="X22" i="61" s="1"/>
  <c r="Y22" i="61" s="1"/>
  <c r="I18" i="61"/>
  <c r="J18" i="61" s="1"/>
  <c r="T18" i="61"/>
  <c r="X18" i="61" s="1"/>
  <c r="Y18" i="61" s="1"/>
  <c r="I27" i="61"/>
  <c r="J27" i="61" s="1"/>
  <c r="T27" i="61"/>
  <c r="X27" i="61" s="1"/>
  <c r="Y27" i="61" s="1"/>
  <c r="I13" i="61"/>
  <c r="J13" i="61" s="1"/>
  <c r="T13" i="61"/>
  <c r="I15" i="61"/>
  <c r="J15" i="61" s="1"/>
  <c r="T15" i="61"/>
  <c r="X15" i="61" s="1"/>
  <c r="Y15" i="61" s="1"/>
  <c r="I19" i="61"/>
  <c r="J19" i="61" s="1"/>
  <c r="T19" i="61"/>
  <c r="X19" i="61" s="1"/>
  <c r="Y19" i="61" s="1"/>
  <c r="I20" i="61"/>
  <c r="J20" i="61" s="1"/>
  <c r="T20" i="61"/>
  <c r="X20" i="61" s="1"/>
  <c r="Y20" i="61" s="1"/>
  <c r="I16" i="61"/>
  <c r="J16" i="61" s="1"/>
  <c r="T16" i="61"/>
  <c r="X16" i="61" s="1"/>
  <c r="I17" i="61"/>
  <c r="J17" i="61" s="1"/>
  <c r="T17" i="61"/>
  <c r="X17" i="61" s="1"/>
  <c r="Y17" i="61" s="1"/>
  <c r="I26" i="61"/>
  <c r="J26" i="61" s="1"/>
  <c r="T26" i="61"/>
  <c r="X26" i="61" s="1"/>
  <c r="Y26" i="61" s="1"/>
  <c r="Y102" i="60"/>
  <c r="X104" i="60"/>
  <c r="Y104" i="60" s="1"/>
  <c r="Y102" i="59"/>
  <c r="Y105" i="59" s="1"/>
  <c r="I19" i="58"/>
  <c r="J19" i="58" s="1"/>
  <c r="T19" i="58"/>
  <c r="X19" i="58" s="1"/>
  <c r="Y19" i="58" s="1"/>
  <c r="I23" i="58"/>
  <c r="J23" i="58" s="1"/>
  <c r="T23" i="58"/>
  <c r="X23" i="58" s="1"/>
  <c r="Y23" i="58" s="1"/>
  <c r="I26" i="58"/>
  <c r="J26" i="58" s="1"/>
  <c r="T26" i="58"/>
  <c r="X26" i="58" s="1"/>
  <c r="Y26" i="58" s="1"/>
  <c r="I14" i="58"/>
  <c r="J14" i="58" s="1"/>
  <c r="T14" i="58"/>
  <c r="X14" i="58" s="1"/>
  <c r="Y12" i="58"/>
  <c r="I27" i="58"/>
  <c r="J27" i="58" s="1"/>
  <c r="T27" i="58"/>
  <c r="X27" i="58" s="1"/>
  <c r="Y27" i="58" s="1"/>
  <c r="I13" i="58"/>
  <c r="J13" i="58" s="1"/>
  <c r="T13" i="58"/>
  <c r="I21" i="58"/>
  <c r="J21" i="58" s="1"/>
  <c r="T21" i="58"/>
  <c r="X21" i="58" s="1"/>
  <c r="Y21" i="58" s="1"/>
  <c r="I22" i="58"/>
  <c r="J22" i="58" s="1"/>
  <c r="T22" i="58"/>
  <c r="X22" i="58" s="1"/>
  <c r="Y22" i="58" s="1"/>
  <c r="I16" i="58"/>
  <c r="J16" i="58" s="1"/>
  <c r="T16" i="58"/>
  <c r="X16" i="58" s="1"/>
  <c r="I18" i="58"/>
  <c r="J18" i="58" s="1"/>
  <c r="T18" i="58"/>
  <c r="X18" i="58" s="1"/>
  <c r="Y18" i="58" s="1"/>
  <c r="I15" i="58"/>
  <c r="J15" i="58" s="1"/>
  <c r="T15" i="58"/>
  <c r="X15" i="58" s="1"/>
  <c r="Y15" i="58" s="1"/>
  <c r="I17" i="58"/>
  <c r="J17" i="58" s="1"/>
  <c r="T17" i="58"/>
  <c r="X17" i="58" s="1"/>
  <c r="Y17" i="58" s="1"/>
  <c r="I25" i="58"/>
  <c r="J25" i="58" s="1"/>
  <c r="T25" i="58"/>
  <c r="X25" i="58" s="1"/>
  <c r="Y25" i="58" s="1"/>
  <c r="I24" i="58"/>
  <c r="J24" i="58" s="1"/>
  <c r="T24" i="58"/>
  <c r="X24" i="58" s="1"/>
  <c r="Y24" i="58" s="1"/>
  <c r="B91" i="105"/>
  <c r="I91" i="105" s="1"/>
  <c r="J41" i="105"/>
  <c r="J50" i="105" s="1"/>
  <c r="E50" i="105"/>
  <c r="T58" i="105"/>
  <c r="X59" i="105" s="1"/>
  <c r="X71" i="105" s="1"/>
  <c r="Y71" i="105" s="1"/>
  <c r="T64" i="105"/>
  <c r="X65" i="105" s="1"/>
  <c r="X70" i="105" s="1"/>
  <c r="Y70" i="105" s="1"/>
  <c r="T52" i="105"/>
  <c r="X53" i="105" s="1"/>
  <c r="T61" i="105"/>
  <c r="X62" i="105" s="1"/>
  <c r="X67" i="105" s="1"/>
  <c r="Y67" i="105" s="1"/>
  <c r="E28" i="105"/>
  <c r="O56" i="54" s="1" a="1"/>
  <c r="O56" i="54" s="1"/>
  <c r="I13" i="105"/>
  <c r="J16" i="105"/>
  <c r="B92" i="105"/>
  <c r="I92" i="105" s="1"/>
  <c r="S90" i="105"/>
  <c r="X28" i="105"/>
  <c r="V33" i="105" s="1"/>
  <c r="Y28" i="105"/>
  <c r="Y33" i="105" s="1"/>
  <c r="Y28" i="104"/>
  <c r="Y33" i="104" s="1"/>
  <c r="J16" i="104"/>
  <c r="B92" i="104"/>
  <c r="I92" i="104" s="1"/>
  <c r="I12" i="104"/>
  <c r="E28" i="104"/>
  <c r="O55" i="54" s="1" a="1"/>
  <c r="O55" i="54" s="1"/>
  <c r="X90" i="104"/>
  <c r="Y93" i="104" s="1"/>
  <c r="S93" i="104"/>
  <c r="B91" i="104"/>
  <c r="I91" i="104" s="1"/>
  <c r="J41" i="104"/>
  <c r="J50" i="104" s="1"/>
  <c r="E50" i="104"/>
  <c r="T52" i="104"/>
  <c r="X53" i="104" s="1"/>
  <c r="T58" i="104"/>
  <c r="X59" i="104" s="1"/>
  <c r="X71" i="104" s="1"/>
  <c r="Y71" i="104" s="1"/>
  <c r="T61" i="104"/>
  <c r="X62" i="104" s="1"/>
  <c r="X67" i="104" s="1"/>
  <c r="Y67" i="104" s="1"/>
  <c r="T64" i="104"/>
  <c r="X65" i="104" s="1"/>
  <c r="X70" i="104" s="1"/>
  <c r="Y70" i="104" s="1"/>
  <c r="J16" i="103"/>
  <c r="B92" i="103"/>
  <c r="I92" i="103" s="1"/>
  <c r="E28" i="103"/>
  <c r="O54" i="54" s="1" a="1"/>
  <c r="O54" i="54" s="1"/>
  <c r="I13" i="103"/>
  <c r="X28" i="103"/>
  <c r="V33" i="103" s="1"/>
  <c r="S90" i="103"/>
  <c r="Y28" i="103"/>
  <c r="Y33" i="103" s="1"/>
  <c r="E50" i="103"/>
  <c r="J41" i="103"/>
  <c r="J50" i="103" s="1"/>
  <c r="Y14" i="102"/>
  <c r="J41" i="102"/>
  <c r="J50" i="102" s="1"/>
  <c r="E50" i="102"/>
  <c r="I16" i="102"/>
  <c r="T16" i="102"/>
  <c r="X16" i="102" s="1"/>
  <c r="I26" i="102"/>
  <c r="J26" i="102" s="1"/>
  <c r="T26" i="102"/>
  <c r="X26" i="102" s="1"/>
  <c r="Y26" i="102" s="1"/>
  <c r="T22" i="102"/>
  <c r="X22" i="102" s="1"/>
  <c r="Y22" i="102" s="1"/>
  <c r="I22" i="102"/>
  <c r="J22" i="102" s="1"/>
  <c r="T13" i="102"/>
  <c r="X13" i="102" s="1"/>
  <c r="Y13" i="102" s="1"/>
  <c r="I13" i="102"/>
  <c r="J13" i="102" s="1"/>
  <c r="T19" i="102"/>
  <c r="X19" i="102" s="1"/>
  <c r="Y19" i="102" s="1"/>
  <c r="I19" i="102"/>
  <c r="J19" i="102" s="1"/>
  <c r="T12" i="102"/>
  <c r="I12" i="102"/>
  <c r="E28" i="102"/>
  <c r="O53" i="54" s="1" a="1"/>
  <c r="O53" i="54" s="1"/>
  <c r="T25" i="102"/>
  <c r="X25" i="102" s="1"/>
  <c r="Y25" i="102" s="1"/>
  <c r="I25" i="102"/>
  <c r="J25" i="102" s="1"/>
  <c r="T15" i="102"/>
  <c r="X15" i="102" s="1"/>
  <c r="Y15" i="102" s="1"/>
  <c r="I15" i="102"/>
  <c r="E28" i="101"/>
  <c r="O52" i="54" s="1" a="1"/>
  <c r="O52" i="54" s="1"/>
  <c r="I12" i="101"/>
  <c r="X104" i="101"/>
  <c r="Y104" i="101" s="1"/>
  <c r="Y102" i="101"/>
  <c r="J41" i="101"/>
  <c r="J50" i="101" s="1"/>
  <c r="E50" i="101"/>
  <c r="S90" i="100"/>
  <c r="X90" i="100" s="1"/>
  <c r="Y93" i="100" s="1"/>
  <c r="X28" i="100"/>
  <c r="V33" i="100" s="1"/>
  <c r="X56" i="100" s="1"/>
  <c r="X86" i="100" s="1"/>
  <c r="Y86" i="100" s="1"/>
  <c r="Y28" i="100"/>
  <c r="Y33" i="100" s="1"/>
  <c r="J16" i="100"/>
  <c r="B92" i="100"/>
  <c r="I92" i="100" s="1"/>
  <c r="J41" i="100"/>
  <c r="J50" i="100" s="1"/>
  <c r="E50" i="100"/>
  <c r="B91" i="100"/>
  <c r="I91" i="100" s="1"/>
  <c r="I12" i="100"/>
  <c r="E28" i="100"/>
  <c r="O51" i="54" s="1" a="1"/>
  <c r="O51" i="54" s="1"/>
  <c r="E50" i="99"/>
  <c r="J41" i="99"/>
  <c r="J50" i="99" s="1"/>
  <c r="T64" i="99"/>
  <c r="X65" i="99" s="1"/>
  <c r="X70" i="99" s="1"/>
  <c r="Y70" i="99" s="1"/>
  <c r="T61" i="99"/>
  <c r="X62" i="99" s="1"/>
  <c r="X67" i="99" s="1"/>
  <c r="Y67" i="99" s="1"/>
  <c r="T58" i="99"/>
  <c r="X59" i="99" s="1"/>
  <c r="X71" i="99" s="1"/>
  <c r="Y71" i="99" s="1"/>
  <c r="T52" i="99"/>
  <c r="X53" i="99" s="1"/>
  <c r="I12" i="99"/>
  <c r="E28" i="99"/>
  <c r="O50" i="54" s="1" a="1"/>
  <c r="O50" i="54" s="1"/>
  <c r="Y102" i="99"/>
  <c r="X104" i="99"/>
  <c r="Y104" i="99" s="1"/>
  <c r="B91" i="99"/>
  <c r="I91" i="99" s="1"/>
  <c r="J16" i="99"/>
  <c r="B92" i="99"/>
  <c r="I92" i="99" s="1"/>
  <c r="X90" i="99"/>
  <c r="Y93" i="99" s="1"/>
  <c r="S93" i="99"/>
  <c r="Y28" i="99"/>
  <c r="Y33" i="99" s="1"/>
  <c r="T64" i="98"/>
  <c r="X65" i="98" s="1"/>
  <c r="X70" i="98" s="1"/>
  <c r="Y70" i="98" s="1"/>
  <c r="X53" i="98"/>
  <c r="T61" i="98"/>
  <c r="X62" i="98" s="1"/>
  <c r="X67" i="98" s="1"/>
  <c r="Y67" i="98" s="1"/>
  <c r="T58" i="98"/>
  <c r="X59" i="98" s="1"/>
  <c r="X71" i="98" s="1"/>
  <c r="Y71" i="98" s="1"/>
  <c r="B91" i="98"/>
  <c r="I91" i="98" s="1"/>
  <c r="E28" i="98"/>
  <c r="O49" i="54" s="1" a="1"/>
  <c r="O49" i="54" s="1"/>
  <c r="I12" i="98"/>
  <c r="X90" i="98"/>
  <c r="Y93" i="98" s="1"/>
  <c r="S93" i="98"/>
  <c r="J16" i="98"/>
  <c r="B92" i="98"/>
  <c r="I92" i="98" s="1"/>
  <c r="Y28" i="98"/>
  <c r="Y33" i="98" s="1"/>
  <c r="J41" i="98"/>
  <c r="J50" i="98" s="1"/>
  <c r="E50" i="98"/>
  <c r="T64" i="97"/>
  <c r="X65" i="97" s="1"/>
  <c r="X70" i="97" s="1"/>
  <c r="Y70" i="97" s="1"/>
  <c r="T52" i="97"/>
  <c r="X53" i="97" s="1"/>
  <c r="T61" i="97"/>
  <c r="X62" i="97" s="1"/>
  <c r="X67" i="97" s="1"/>
  <c r="Y67" i="97" s="1"/>
  <c r="T58" i="97"/>
  <c r="X59" i="97" s="1"/>
  <c r="X71" i="97" s="1"/>
  <c r="Y71" i="97" s="1"/>
  <c r="B91" i="97"/>
  <c r="I91" i="97" s="1"/>
  <c r="J41" i="97"/>
  <c r="J50" i="97" s="1"/>
  <c r="E50" i="97"/>
  <c r="I12" i="97"/>
  <c r="E28" i="97"/>
  <c r="X90" i="97"/>
  <c r="Y93" i="97" s="1"/>
  <c r="S93" i="97"/>
  <c r="J16" i="97"/>
  <c r="B92" i="97"/>
  <c r="I92" i="97" s="1"/>
  <c r="Y28" i="97"/>
  <c r="B91" i="96"/>
  <c r="I91" i="96" s="1"/>
  <c r="T64" i="96"/>
  <c r="X65" i="96" s="1"/>
  <c r="X70" i="96" s="1"/>
  <c r="Y70" i="96" s="1"/>
  <c r="T61" i="96"/>
  <c r="X62" i="96" s="1"/>
  <c r="X67" i="96" s="1"/>
  <c r="Y67" i="96" s="1"/>
  <c r="T58" i="96"/>
  <c r="X59" i="96" s="1"/>
  <c r="X71" i="96" s="1"/>
  <c r="Y71" i="96" s="1"/>
  <c r="S90" i="96"/>
  <c r="S93" i="96" s="1"/>
  <c r="X90" i="96"/>
  <c r="Y93" i="96" s="1"/>
  <c r="X87" i="96"/>
  <c r="Y87" i="96" s="1"/>
  <c r="X69" i="96"/>
  <c r="J16" i="96"/>
  <c r="B92" i="96"/>
  <c r="I92" i="96" s="1"/>
  <c r="I12" i="96"/>
  <c r="E28" i="96"/>
  <c r="O47" i="54" s="1" a="1"/>
  <c r="O47" i="54" s="1"/>
  <c r="Y28" i="96"/>
  <c r="Y33" i="96" s="1"/>
  <c r="Y102" i="96"/>
  <c r="Y105" i="96" s="1"/>
  <c r="J41" i="96"/>
  <c r="J50" i="96" s="1"/>
  <c r="E50" i="96"/>
  <c r="S90" i="95"/>
  <c r="X90" i="95" s="1"/>
  <c r="Y93" i="95" s="1"/>
  <c r="X104" i="95"/>
  <c r="Y104" i="95" s="1"/>
  <c r="Y102" i="95"/>
  <c r="J41" i="95"/>
  <c r="J50" i="95" s="1"/>
  <c r="E50" i="95"/>
  <c r="Y28" i="95"/>
  <c r="Y33" i="95" s="1"/>
  <c r="B91" i="95"/>
  <c r="I91" i="95" s="1"/>
  <c r="J16" i="95"/>
  <c r="B92" i="95"/>
  <c r="I92" i="95" s="1"/>
  <c r="X28" i="95"/>
  <c r="V33" i="95" s="1"/>
  <c r="I12" i="95"/>
  <c r="E28" i="95"/>
  <c r="O46" i="54" s="1" a="1"/>
  <c r="O46" i="54" s="1"/>
  <c r="J16" i="94"/>
  <c r="B92" i="94"/>
  <c r="I92" i="94" s="1"/>
  <c r="Y28" i="94"/>
  <c r="B91" i="94"/>
  <c r="I91" i="94" s="1"/>
  <c r="E50" i="94"/>
  <c r="J41" i="94"/>
  <c r="J50" i="94" s="1"/>
  <c r="E28" i="94"/>
  <c r="O45" i="54" s="1" a="1"/>
  <c r="O45" i="54" s="1"/>
  <c r="I12" i="94"/>
  <c r="X28" i="94"/>
  <c r="V33" i="94" s="1"/>
  <c r="S90" i="94"/>
  <c r="J16" i="93"/>
  <c r="B92" i="93"/>
  <c r="I92" i="93" s="1"/>
  <c r="X90" i="93"/>
  <c r="Y93" i="93" s="1"/>
  <c r="S93" i="93"/>
  <c r="E28" i="93"/>
  <c r="O44" i="54" s="1" a="1"/>
  <c r="O44" i="54" s="1"/>
  <c r="I12" i="93"/>
  <c r="E50" i="93"/>
  <c r="J41" i="93"/>
  <c r="J50" i="93" s="1"/>
  <c r="Y28" i="93"/>
  <c r="Y33" i="93" s="1"/>
  <c r="B91" i="93"/>
  <c r="I91" i="93" s="1"/>
  <c r="T58" i="93"/>
  <c r="X59" i="93" s="1"/>
  <c r="X71" i="93" s="1"/>
  <c r="Y71" i="93" s="1"/>
  <c r="T61" i="93"/>
  <c r="X62" i="93" s="1"/>
  <c r="X67" i="93" s="1"/>
  <c r="Y67" i="93" s="1"/>
  <c r="T64" i="93"/>
  <c r="X65" i="93" s="1"/>
  <c r="X70" i="93" s="1"/>
  <c r="Y70" i="93" s="1"/>
  <c r="T52" i="93"/>
  <c r="X53" i="93" s="1"/>
  <c r="T64" i="92"/>
  <c r="X65" i="92" s="1"/>
  <c r="X70" i="92" s="1"/>
  <c r="Y70" i="92" s="1"/>
  <c r="T58" i="92"/>
  <c r="X59" i="92" s="1"/>
  <c r="X71" i="92" s="1"/>
  <c r="Y71" i="92" s="1"/>
  <c r="T52" i="92"/>
  <c r="X53" i="92" s="1"/>
  <c r="X87" i="92" s="1"/>
  <c r="Y87" i="92" s="1"/>
  <c r="S90" i="92"/>
  <c r="X104" i="92"/>
  <c r="Y104" i="92" s="1"/>
  <c r="Y102" i="92"/>
  <c r="J16" i="92"/>
  <c r="B92" i="92"/>
  <c r="I92" i="92" s="1"/>
  <c r="B91" i="92"/>
  <c r="I91" i="92" s="1"/>
  <c r="J41" i="92"/>
  <c r="J50" i="92" s="1"/>
  <c r="E50" i="92"/>
  <c r="I12" i="92"/>
  <c r="E28" i="92"/>
  <c r="O43" i="54" s="1" a="1"/>
  <c r="O43" i="54" s="1"/>
  <c r="T52" i="91"/>
  <c r="X53" i="91" s="1"/>
  <c r="X69" i="91" s="1"/>
  <c r="T64" i="91"/>
  <c r="X65" i="91" s="1"/>
  <c r="X70" i="91" s="1"/>
  <c r="Y70" i="91" s="1"/>
  <c r="T61" i="91"/>
  <c r="X62" i="91" s="1"/>
  <c r="X67" i="91" s="1"/>
  <c r="Y67" i="91" s="1"/>
  <c r="Y71" i="91"/>
  <c r="J16" i="91"/>
  <c r="B92" i="91"/>
  <c r="I92" i="91" s="1"/>
  <c r="B91" i="91"/>
  <c r="I91" i="91" s="1"/>
  <c r="X104" i="91"/>
  <c r="Y104" i="91" s="1"/>
  <c r="Y102" i="91"/>
  <c r="J41" i="91"/>
  <c r="J50" i="91" s="1"/>
  <c r="E50" i="91"/>
  <c r="S90" i="91"/>
  <c r="X28" i="91"/>
  <c r="V33" i="91" s="1"/>
  <c r="Y28" i="91"/>
  <c r="Y33" i="91" s="1"/>
  <c r="I12" i="91"/>
  <c r="E28" i="91"/>
  <c r="O42" i="54" s="1" a="1"/>
  <c r="O42" i="54" s="1"/>
  <c r="B91" i="90"/>
  <c r="I91" i="90" s="1"/>
  <c r="X90" i="90"/>
  <c r="Y93" i="90" s="1"/>
  <c r="S93" i="90"/>
  <c r="Y28" i="90"/>
  <c r="Y33" i="90" s="1"/>
  <c r="T64" i="90"/>
  <c r="X65" i="90" s="1"/>
  <c r="X70" i="90" s="1"/>
  <c r="Y70" i="90" s="1"/>
  <c r="T52" i="90"/>
  <c r="X53" i="90" s="1"/>
  <c r="T58" i="90"/>
  <c r="X59" i="90" s="1"/>
  <c r="X71" i="90" s="1"/>
  <c r="Y71" i="90" s="1"/>
  <c r="T61" i="90"/>
  <c r="X62" i="90" s="1"/>
  <c r="X67" i="90" s="1"/>
  <c r="Y67" i="90" s="1"/>
  <c r="J41" i="90"/>
  <c r="J50" i="90" s="1"/>
  <c r="E50" i="90"/>
  <c r="I12" i="90"/>
  <c r="E28" i="90"/>
  <c r="O41" i="54" s="1" a="1"/>
  <c r="O41" i="54" s="1"/>
  <c r="J16" i="90"/>
  <c r="B92" i="90"/>
  <c r="I92" i="90" s="1"/>
  <c r="B91" i="89"/>
  <c r="I91" i="89" s="1"/>
  <c r="J41" i="89"/>
  <c r="J50" i="89" s="1"/>
  <c r="E50" i="89"/>
  <c r="I12" i="89"/>
  <c r="E28" i="89"/>
  <c r="O40" i="54" s="1" a="1"/>
  <c r="O40" i="54" s="1"/>
  <c r="J16" i="89"/>
  <c r="B92" i="89"/>
  <c r="I92" i="89" s="1"/>
  <c r="S90" i="89"/>
  <c r="X28" i="89"/>
  <c r="V33" i="89" s="1"/>
  <c r="X87" i="89"/>
  <c r="Y87" i="89" s="1"/>
  <c r="X69" i="89"/>
  <c r="X28" i="88"/>
  <c r="V33" i="88" s="1"/>
  <c r="Y28" i="88"/>
  <c r="Y33" i="88" s="1"/>
  <c r="X90" i="88"/>
  <c r="Y93" i="88" s="1"/>
  <c r="S93" i="88"/>
  <c r="B91" i="88"/>
  <c r="I91" i="88" s="1"/>
  <c r="J16" i="88"/>
  <c r="B92" i="88"/>
  <c r="I92" i="88" s="1"/>
  <c r="X87" i="88"/>
  <c r="Y87" i="88" s="1"/>
  <c r="X69" i="88"/>
  <c r="I12" i="88"/>
  <c r="E28" i="88"/>
  <c r="J41" i="88"/>
  <c r="J50" i="88" s="1"/>
  <c r="E50" i="88"/>
  <c r="B91" i="87"/>
  <c r="I91" i="87" s="1"/>
  <c r="S91" i="87"/>
  <c r="X91" i="87" s="1"/>
  <c r="Y14" i="87"/>
  <c r="Y28" i="87" s="1"/>
  <c r="Y33" i="87" s="1"/>
  <c r="J16" i="87"/>
  <c r="B92" i="87"/>
  <c r="I92" i="87" s="1"/>
  <c r="J41" i="87"/>
  <c r="J50" i="87" s="1"/>
  <c r="E50" i="87"/>
  <c r="X90" i="87"/>
  <c r="X87" i="87"/>
  <c r="Y87" i="87" s="1"/>
  <c r="X69" i="87"/>
  <c r="E28" i="87"/>
  <c r="O38" i="54" s="1" a="1"/>
  <c r="O38" i="54" s="1"/>
  <c r="I12" i="87"/>
  <c r="X28" i="87"/>
  <c r="V33" i="87" s="1"/>
  <c r="T58" i="86"/>
  <c r="X59" i="86" s="1"/>
  <c r="X71" i="86" s="1"/>
  <c r="Y71" i="86" s="1"/>
  <c r="B91" i="86"/>
  <c r="I91" i="86" s="1"/>
  <c r="X87" i="86"/>
  <c r="Y87" i="86" s="1"/>
  <c r="X69" i="86"/>
  <c r="X104" i="86"/>
  <c r="Y104" i="86" s="1"/>
  <c r="Y102" i="86"/>
  <c r="X28" i="86"/>
  <c r="V33" i="86" s="1"/>
  <c r="X56" i="86" s="1"/>
  <c r="J41" i="86"/>
  <c r="J50" i="86" s="1"/>
  <c r="E50" i="86"/>
  <c r="S90" i="86"/>
  <c r="E28" i="86"/>
  <c r="O37" i="54" s="1" a="1"/>
  <c r="O37" i="54" s="1"/>
  <c r="I12" i="86"/>
  <c r="J16" i="86"/>
  <c r="B92" i="86"/>
  <c r="I92" i="86" s="1"/>
  <c r="Y28" i="86"/>
  <c r="Y33" i="86" s="1"/>
  <c r="T64" i="85"/>
  <c r="X65" i="85" s="1"/>
  <c r="X70" i="85" s="1"/>
  <c r="Y70" i="85" s="1"/>
  <c r="E50" i="85"/>
  <c r="J41" i="85"/>
  <c r="J50" i="85" s="1"/>
  <c r="X28" i="85"/>
  <c r="V33" i="85" s="1"/>
  <c r="B91" i="85"/>
  <c r="I91" i="85" s="1"/>
  <c r="E28" i="85"/>
  <c r="O36" i="54" s="1" a="1"/>
  <c r="O36" i="54" s="1"/>
  <c r="I12" i="85"/>
  <c r="S90" i="85"/>
  <c r="J16" i="85"/>
  <c r="B92" i="85"/>
  <c r="I92" i="85" s="1"/>
  <c r="Y28" i="85"/>
  <c r="T61" i="84"/>
  <c r="X62" i="84" s="1"/>
  <c r="X67" i="84" s="1"/>
  <c r="Y67" i="84" s="1"/>
  <c r="B91" i="84"/>
  <c r="I91" i="84" s="1"/>
  <c r="Y28" i="84"/>
  <c r="Y33" i="84" s="1"/>
  <c r="T52" i="84"/>
  <c r="X53" i="84" s="1"/>
  <c r="X87" i="84" s="1"/>
  <c r="Y87" i="84" s="1"/>
  <c r="T58" i="84"/>
  <c r="X59" i="84" s="1"/>
  <c r="X71" i="84" s="1"/>
  <c r="Y71" i="84" s="1"/>
  <c r="X86" i="84"/>
  <c r="Y86" i="84" s="1"/>
  <c r="X85" i="84"/>
  <c r="Y85" i="84" s="1"/>
  <c r="J41" i="84"/>
  <c r="J50" i="84" s="1"/>
  <c r="E50" i="84"/>
  <c r="E28" i="84"/>
  <c r="I12" i="84"/>
  <c r="X90" i="84"/>
  <c r="Y93" i="84" s="1"/>
  <c r="S93" i="84"/>
  <c r="J16" i="84"/>
  <c r="B92" i="84"/>
  <c r="I92" i="84" s="1"/>
  <c r="B91" i="83"/>
  <c r="I91" i="83" s="1"/>
  <c r="S90" i="83"/>
  <c r="S93" i="83" s="1"/>
  <c r="X28" i="83"/>
  <c r="V33" i="83" s="1"/>
  <c r="J16" i="83"/>
  <c r="J28" i="83" s="1"/>
  <c r="B92" i="83"/>
  <c r="I92" i="83" s="1"/>
  <c r="I28" i="83"/>
  <c r="G33" i="83" s="1"/>
  <c r="E56" i="83" s="1"/>
  <c r="E28" i="83"/>
  <c r="O34" i="54" s="1" a="1"/>
  <c r="O34" i="54" s="1"/>
  <c r="B90" i="83"/>
  <c r="Y28" i="83"/>
  <c r="Y33" i="83" s="1"/>
  <c r="T58" i="83"/>
  <c r="X59" i="83" s="1"/>
  <c r="X71" i="83" s="1"/>
  <c r="Y71" i="83" s="1"/>
  <c r="T64" i="83"/>
  <c r="X65" i="83" s="1"/>
  <c r="X70" i="83" s="1"/>
  <c r="Y70" i="83" s="1"/>
  <c r="T52" i="83"/>
  <c r="X53" i="83" s="1"/>
  <c r="T61" i="83"/>
  <c r="X62" i="83" s="1"/>
  <c r="X67" i="83" s="1"/>
  <c r="Y67" i="83" s="1"/>
  <c r="J41" i="83"/>
  <c r="J50" i="83" s="1"/>
  <c r="E50" i="83"/>
  <c r="B91" i="82"/>
  <c r="I91" i="82" s="1"/>
  <c r="J16" i="82"/>
  <c r="B92" i="82"/>
  <c r="I92" i="82" s="1"/>
  <c r="X69" i="82"/>
  <c r="X87" i="82"/>
  <c r="Y87" i="82" s="1"/>
  <c r="Y28" i="82"/>
  <c r="Y33" i="82" s="1"/>
  <c r="S90" i="82"/>
  <c r="J41" i="82"/>
  <c r="J50" i="82" s="1"/>
  <c r="E50" i="82"/>
  <c r="X28" i="82"/>
  <c r="V33" i="82" s="1"/>
  <c r="I12" i="82"/>
  <c r="E28" i="82"/>
  <c r="O33" i="54" s="1" a="1"/>
  <c r="O33" i="54" s="1"/>
  <c r="I12" i="81"/>
  <c r="E28" i="81"/>
  <c r="O32" i="54" s="1" a="1"/>
  <c r="O32" i="54" s="1"/>
  <c r="X28" i="81"/>
  <c r="V33" i="81" s="1"/>
  <c r="X56" i="81" s="1"/>
  <c r="X87" i="81"/>
  <c r="Y87" i="81" s="1"/>
  <c r="X69" i="81"/>
  <c r="J16" i="81"/>
  <c r="B92" i="81"/>
  <c r="I92" i="81" s="1"/>
  <c r="J41" i="81"/>
  <c r="J50" i="81" s="1"/>
  <c r="E50" i="81"/>
  <c r="B91" i="81"/>
  <c r="I91" i="81" s="1"/>
  <c r="S90" i="81"/>
  <c r="Y28" i="81"/>
  <c r="Y33" i="81" s="1"/>
  <c r="Y71" i="81"/>
  <c r="I12" i="80"/>
  <c r="E28" i="80"/>
  <c r="O31" i="54" s="1" a="1"/>
  <c r="O31" i="54" s="1"/>
  <c r="Y102" i="80"/>
  <c r="Y105" i="80" s="1"/>
  <c r="Y28" i="80"/>
  <c r="X87" i="80"/>
  <c r="Y87" i="80" s="1"/>
  <c r="X69" i="80"/>
  <c r="J41" i="80"/>
  <c r="J50" i="80" s="1"/>
  <c r="E50" i="80"/>
  <c r="J16" i="80"/>
  <c r="B92" i="80"/>
  <c r="I92" i="80" s="1"/>
  <c r="T52" i="79"/>
  <c r="X53" i="79" s="1"/>
  <c r="X87" i="79" s="1"/>
  <c r="Y87" i="79" s="1"/>
  <c r="T58" i="79"/>
  <c r="X59" i="79" s="1"/>
  <c r="X71" i="79" s="1"/>
  <c r="Y71" i="79" s="1"/>
  <c r="T64" i="79"/>
  <c r="X65" i="79" s="1"/>
  <c r="X70" i="79" s="1"/>
  <c r="Y70" i="79" s="1"/>
  <c r="J16" i="79"/>
  <c r="B92" i="79"/>
  <c r="I92" i="79" s="1"/>
  <c r="Y28" i="79"/>
  <c r="Y33" i="79" s="1"/>
  <c r="X28" i="79"/>
  <c r="V33" i="79" s="1"/>
  <c r="B91" i="79"/>
  <c r="I91" i="79" s="1"/>
  <c r="S90" i="79"/>
  <c r="J41" i="79"/>
  <c r="J50" i="79" s="1"/>
  <c r="E50" i="79"/>
  <c r="I12" i="79"/>
  <c r="E28" i="79"/>
  <c r="O30" i="54" s="1" a="1"/>
  <c r="O30" i="54" s="1"/>
  <c r="T52" i="78"/>
  <c r="X53" i="78" s="1"/>
  <c r="T58" i="78"/>
  <c r="X59" i="78" s="1"/>
  <c r="X71" i="78" s="1"/>
  <c r="Y71" i="78" s="1"/>
  <c r="T64" i="78"/>
  <c r="X65" i="78" s="1"/>
  <c r="X70" i="78" s="1"/>
  <c r="Y70" i="78" s="1"/>
  <c r="T61" i="78"/>
  <c r="X62" i="78" s="1"/>
  <c r="X67" i="78" s="1"/>
  <c r="Y67" i="78" s="1"/>
  <c r="I12" i="78"/>
  <c r="E28" i="78"/>
  <c r="O29" i="54" s="1" a="1"/>
  <c r="O29" i="54" s="1"/>
  <c r="X90" i="78"/>
  <c r="Y93" i="78" s="1"/>
  <c r="S93" i="78"/>
  <c r="Y28" i="78"/>
  <c r="Y33" i="78" s="1"/>
  <c r="B91" i="78"/>
  <c r="I91" i="78" s="1"/>
  <c r="J16" i="78"/>
  <c r="B92" i="78"/>
  <c r="I92" i="78" s="1"/>
  <c r="J41" i="78"/>
  <c r="J50" i="78" s="1"/>
  <c r="E50" i="78"/>
  <c r="J41" i="77"/>
  <c r="J50" i="77" s="1"/>
  <c r="E50" i="77"/>
  <c r="T15" i="77"/>
  <c r="X15" i="77" s="1"/>
  <c r="I15" i="77"/>
  <c r="J15" i="77" s="1"/>
  <c r="I22" i="77"/>
  <c r="J22" i="77" s="1"/>
  <c r="T22" i="77"/>
  <c r="X22" i="77" s="1"/>
  <c r="Y22" i="77" s="1"/>
  <c r="I12" i="77"/>
  <c r="E28" i="77"/>
  <c r="O28" i="54" s="1" a="1"/>
  <c r="O28" i="54" s="1"/>
  <c r="Y102" i="77"/>
  <c r="T25" i="77"/>
  <c r="X25" i="77" s="1"/>
  <c r="Y25" i="77" s="1"/>
  <c r="I25" i="77"/>
  <c r="J25" i="77" s="1"/>
  <c r="I27" i="77"/>
  <c r="J27" i="77" s="1"/>
  <c r="T27" i="77"/>
  <c r="X27" i="77" s="1"/>
  <c r="Y27" i="77" s="1"/>
  <c r="I13" i="77"/>
  <c r="J13" i="77" s="1"/>
  <c r="T13" i="77"/>
  <c r="X13" i="77" s="1"/>
  <c r="Y13" i="77" s="1"/>
  <c r="I26" i="77"/>
  <c r="J26" i="77" s="1"/>
  <c r="T26" i="77"/>
  <c r="X26" i="77" s="1"/>
  <c r="Y26" i="77" s="1"/>
  <c r="I17" i="77"/>
  <c r="J17" i="77" s="1"/>
  <c r="T17" i="77"/>
  <c r="X17" i="77" s="1"/>
  <c r="Y17" i="77" s="1"/>
  <c r="I16" i="77"/>
  <c r="T16" i="77"/>
  <c r="X16" i="77" s="1"/>
  <c r="I18" i="77"/>
  <c r="J18" i="77" s="1"/>
  <c r="T18" i="77"/>
  <c r="X18" i="77" s="1"/>
  <c r="Y18" i="77" s="1"/>
  <c r="T19" i="77"/>
  <c r="X19" i="77" s="1"/>
  <c r="Y19" i="77" s="1"/>
  <c r="I19" i="77"/>
  <c r="J19" i="77" s="1"/>
  <c r="T21" i="77"/>
  <c r="X21" i="77" s="1"/>
  <c r="Y21" i="77" s="1"/>
  <c r="I21" i="77"/>
  <c r="J21" i="77" s="1"/>
  <c r="X104" i="76"/>
  <c r="Y104" i="76" s="1"/>
  <c r="Y102" i="76"/>
  <c r="I12" i="76"/>
  <c r="E28" i="76"/>
  <c r="O27" i="54" s="1" a="1"/>
  <c r="O27" i="54" s="1"/>
  <c r="J41" i="76"/>
  <c r="J50" i="76" s="1"/>
  <c r="E50" i="76"/>
  <c r="T61" i="75"/>
  <c r="X62" i="75" s="1"/>
  <c r="X67" i="75" s="1"/>
  <c r="Y67" i="75" s="1"/>
  <c r="T64" i="75"/>
  <c r="X65" i="75" s="1"/>
  <c r="X70" i="75" s="1"/>
  <c r="Y70" i="75" s="1"/>
  <c r="T58" i="75"/>
  <c r="X59" i="75" s="1"/>
  <c r="X71" i="75" s="1"/>
  <c r="Y71" i="75" s="1"/>
  <c r="S90" i="75"/>
  <c r="X90" i="75" s="1"/>
  <c r="Y93" i="75" s="1"/>
  <c r="X28" i="75"/>
  <c r="V33" i="75" s="1"/>
  <c r="Y28" i="75"/>
  <c r="Y33" i="75" s="1"/>
  <c r="I12" i="75"/>
  <c r="E28" i="75"/>
  <c r="O26" i="54" s="1" a="1"/>
  <c r="O26" i="54" s="1"/>
  <c r="X104" i="75"/>
  <c r="Y104" i="75" s="1"/>
  <c r="Y102" i="75"/>
  <c r="Y83" i="75"/>
  <c r="X87" i="75"/>
  <c r="Y87" i="75" s="1"/>
  <c r="X69" i="75"/>
  <c r="B91" i="75"/>
  <c r="I91" i="75" s="1"/>
  <c r="J16" i="75"/>
  <c r="B92" i="75"/>
  <c r="I92" i="75" s="1"/>
  <c r="J41" i="75"/>
  <c r="J50" i="75" s="1"/>
  <c r="E50" i="75"/>
  <c r="J16" i="74"/>
  <c r="B92" i="74"/>
  <c r="I92" i="74" s="1"/>
  <c r="B91" i="74"/>
  <c r="I91" i="74" s="1"/>
  <c r="S90" i="74"/>
  <c r="X28" i="74"/>
  <c r="V33" i="74" s="1"/>
  <c r="J41" i="74"/>
  <c r="J50" i="74" s="1"/>
  <c r="E50" i="74"/>
  <c r="I12" i="74"/>
  <c r="E28" i="74"/>
  <c r="O25" i="54" s="1" a="1"/>
  <c r="O25" i="54" s="1"/>
  <c r="Y102" i="74"/>
  <c r="Y105" i="74" s="1"/>
  <c r="X69" i="74"/>
  <c r="X87" i="74"/>
  <c r="Y87" i="74" s="1"/>
  <c r="Y28" i="74"/>
  <c r="Y33" i="74" s="1"/>
  <c r="Y28" i="73"/>
  <c r="Y33" i="73" s="1"/>
  <c r="S91" i="73"/>
  <c r="X91" i="73" s="1"/>
  <c r="X28" i="73"/>
  <c r="V33" i="73" s="1"/>
  <c r="J16" i="73"/>
  <c r="B92" i="73"/>
  <c r="I92" i="73" s="1"/>
  <c r="J41" i="73"/>
  <c r="J50" i="73" s="1"/>
  <c r="E50" i="73"/>
  <c r="X87" i="73"/>
  <c r="Y87" i="73" s="1"/>
  <c r="X69" i="73"/>
  <c r="B91" i="73"/>
  <c r="I91" i="73" s="1"/>
  <c r="I12" i="73"/>
  <c r="E28" i="73"/>
  <c r="O24" i="54" s="1" a="1"/>
  <c r="O24" i="54" s="1"/>
  <c r="X90" i="73"/>
  <c r="X104" i="73"/>
  <c r="Y104" i="73" s="1"/>
  <c r="Y102" i="73"/>
  <c r="J105" i="73"/>
  <c r="B91" i="72"/>
  <c r="I91" i="72" s="1"/>
  <c r="Y28" i="72"/>
  <c r="Y33" i="72" s="1"/>
  <c r="I12" i="72"/>
  <c r="E28" i="72"/>
  <c r="O23" i="54" s="1" a="1"/>
  <c r="O23" i="54" s="1"/>
  <c r="J41" i="72"/>
  <c r="J50" i="72" s="1"/>
  <c r="E50" i="72"/>
  <c r="J16" i="72"/>
  <c r="B92" i="72"/>
  <c r="I92" i="72" s="1"/>
  <c r="Y102" i="72"/>
  <c r="X104" i="72"/>
  <c r="Y104" i="72" s="1"/>
  <c r="Y28" i="71"/>
  <c r="Y33" i="71" s="1"/>
  <c r="S93" i="71"/>
  <c r="X90" i="71"/>
  <c r="Y93" i="71" s="1"/>
  <c r="J16" i="71"/>
  <c r="B92" i="71"/>
  <c r="I92" i="71" s="1"/>
  <c r="Y102" i="71"/>
  <c r="X104" i="71"/>
  <c r="Y104" i="71" s="1"/>
  <c r="B91" i="71"/>
  <c r="I91" i="71" s="1"/>
  <c r="E28" i="71"/>
  <c r="I12" i="71"/>
  <c r="T64" i="71"/>
  <c r="X65" i="71" s="1"/>
  <c r="X70" i="71" s="1"/>
  <c r="Y70" i="71" s="1"/>
  <c r="T52" i="71"/>
  <c r="X53" i="71" s="1"/>
  <c r="T58" i="71"/>
  <c r="X59" i="71" s="1"/>
  <c r="X71" i="71" s="1"/>
  <c r="Y71" i="71" s="1"/>
  <c r="T61" i="71"/>
  <c r="X62" i="71" s="1"/>
  <c r="X67" i="71" s="1"/>
  <c r="Y67" i="71" s="1"/>
  <c r="J41" i="71"/>
  <c r="J50" i="71" s="1"/>
  <c r="E50" i="71"/>
  <c r="Y71" i="70"/>
  <c r="J16" i="70"/>
  <c r="B92" i="70"/>
  <c r="I92" i="70" s="1"/>
  <c r="S90" i="70"/>
  <c r="X28" i="70"/>
  <c r="V33" i="70" s="1"/>
  <c r="J41" i="70"/>
  <c r="J50" i="70" s="1"/>
  <c r="E50" i="70"/>
  <c r="Y28" i="70"/>
  <c r="Y33" i="70" s="1"/>
  <c r="B91" i="70"/>
  <c r="I91" i="70" s="1"/>
  <c r="I12" i="70"/>
  <c r="E28" i="70"/>
  <c r="T12" i="69"/>
  <c r="E28" i="69"/>
  <c r="I12" i="69"/>
  <c r="T13" i="69"/>
  <c r="X13" i="69" s="1"/>
  <c r="Y13" i="69" s="1"/>
  <c r="I13" i="69"/>
  <c r="J13" i="69" s="1"/>
  <c r="T19" i="69"/>
  <c r="X19" i="69" s="1"/>
  <c r="Y19" i="69" s="1"/>
  <c r="I19" i="69"/>
  <c r="J19" i="69" s="1"/>
  <c r="T22" i="69"/>
  <c r="X22" i="69" s="1"/>
  <c r="Y22" i="69" s="1"/>
  <c r="I22" i="69"/>
  <c r="J22" i="69" s="1"/>
  <c r="J41" i="69"/>
  <c r="J50" i="69" s="1"/>
  <c r="E50" i="69"/>
  <c r="J14" i="69"/>
  <c r="I15" i="69"/>
  <c r="J15" i="69" s="1"/>
  <c r="T15" i="69"/>
  <c r="X15" i="69" s="1"/>
  <c r="I16" i="69"/>
  <c r="T16" i="69"/>
  <c r="X16" i="69" s="1"/>
  <c r="I25" i="69"/>
  <c r="J25" i="69" s="1"/>
  <c r="T25" i="69"/>
  <c r="X25" i="69" s="1"/>
  <c r="Y25" i="69" s="1"/>
  <c r="I26" i="69"/>
  <c r="J26" i="69" s="1"/>
  <c r="T26" i="69"/>
  <c r="X26" i="69" s="1"/>
  <c r="Y26" i="69" s="1"/>
  <c r="I26" i="68"/>
  <c r="J26" i="68" s="1"/>
  <c r="T26" i="68"/>
  <c r="X26" i="68" s="1"/>
  <c r="Y26" i="68" s="1"/>
  <c r="I13" i="68"/>
  <c r="J13" i="68" s="1"/>
  <c r="T13" i="68"/>
  <c r="X13" i="68" s="1"/>
  <c r="Y13" i="68" s="1"/>
  <c r="Y102" i="68"/>
  <c r="Y105" i="68" s="1"/>
  <c r="J41" i="68"/>
  <c r="J50" i="68" s="1"/>
  <c r="E50" i="68"/>
  <c r="T15" i="68"/>
  <c r="X15" i="68" s="1"/>
  <c r="Y15" i="68" s="1"/>
  <c r="I15" i="68"/>
  <c r="I16" i="68"/>
  <c r="T16" i="68"/>
  <c r="X16" i="68" s="1"/>
  <c r="I22" i="68"/>
  <c r="J22" i="68" s="1"/>
  <c r="T22" i="68"/>
  <c r="X22" i="68" s="1"/>
  <c r="Y22" i="68" s="1"/>
  <c r="I12" i="68"/>
  <c r="T12" i="68"/>
  <c r="E28" i="68"/>
  <c r="T25" i="68"/>
  <c r="X25" i="68" s="1"/>
  <c r="Y25" i="68" s="1"/>
  <c r="I25" i="68"/>
  <c r="J25" i="68" s="1"/>
  <c r="Y14" i="68"/>
  <c r="T19" i="67"/>
  <c r="X19" i="67" s="1"/>
  <c r="Y19" i="67" s="1"/>
  <c r="I19" i="67"/>
  <c r="J19" i="67" s="1"/>
  <c r="I25" i="67"/>
  <c r="J25" i="67" s="1"/>
  <c r="T25" i="67"/>
  <c r="X25" i="67" s="1"/>
  <c r="Y25" i="67" s="1"/>
  <c r="Y14" i="67"/>
  <c r="I26" i="67"/>
  <c r="J26" i="67" s="1"/>
  <c r="T26" i="67"/>
  <c r="X26" i="67" s="1"/>
  <c r="Y26" i="67" s="1"/>
  <c r="I16" i="67"/>
  <c r="T16" i="67"/>
  <c r="X16" i="67" s="1"/>
  <c r="T22" i="67"/>
  <c r="X22" i="67" s="1"/>
  <c r="Y22" i="67" s="1"/>
  <c r="I22" i="67"/>
  <c r="J22" i="67" s="1"/>
  <c r="T13" i="67"/>
  <c r="X13" i="67" s="1"/>
  <c r="Y13" i="67" s="1"/>
  <c r="I13" i="67"/>
  <c r="J13" i="67" s="1"/>
  <c r="J41" i="67"/>
  <c r="J50" i="67" s="1"/>
  <c r="E50" i="67"/>
  <c r="I15" i="67"/>
  <c r="T15" i="67"/>
  <c r="X15" i="67" s="1"/>
  <c r="Y15" i="67" s="1"/>
  <c r="T12" i="67"/>
  <c r="E28" i="67"/>
  <c r="O17" i="54" s="1" a="1"/>
  <c r="O17" i="54" s="1"/>
  <c r="I12" i="67"/>
  <c r="Y102" i="66"/>
  <c r="Y105" i="66" s="1"/>
  <c r="E28" i="66"/>
  <c r="O16" i="54" s="1" a="1"/>
  <c r="O16" i="54" s="1"/>
  <c r="J41" i="66"/>
  <c r="J50" i="66" s="1"/>
  <c r="E50" i="66"/>
  <c r="X90" i="65"/>
  <c r="Y93" i="65" s="1"/>
  <c r="S93" i="65"/>
  <c r="E28" i="65"/>
  <c r="O15" i="54" s="1" a="1"/>
  <c r="O15" i="54" s="1"/>
  <c r="I12" i="65"/>
  <c r="J16" i="65"/>
  <c r="B92" i="65"/>
  <c r="I92" i="65" s="1"/>
  <c r="X87" i="65"/>
  <c r="Y87" i="65" s="1"/>
  <c r="X69" i="65"/>
  <c r="J41" i="65"/>
  <c r="J50" i="65" s="1"/>
  <c r="E50" i="65"/>
  <c r="B91" i="65"/>
  <c r="I91" i="65" s="1"/>
  <c r="X104" i="64"/>
  <c r="Y104" i="64" s="1"/>
  <c r="Y105" i="64" s="1"/>
  <c r="I13" i="64"/>
  <c r="J13" i="64" s="1"/>
  <c r="T13" i="64"/>
  <c r="X13" i="64" s="1"/>
  <c r="Y13" i="64" s="1"/>
  <c r="I12" i="64"/>
  <c r="E28" i="64"/>
  <c r="O14" i="54" s="1" a="1"/>
  <c r="O14" i="54" s="1"/>
  <c r="T12" i="64"/>
  <c r="T19" i="64"/>
  <c r="X19" i="64" s="1"/>
  <c r="Y19" i="64" s="1"/>
  <c r="I19" i="64"/>
  <c r="J19" i="64" s="1"/>
  <c r="Y14" i="64"/>
  <c r="I26" i="64"/>
  <c r="J26" i="64" s="1"/>
  <c r="T26" i="64"/>
  <c r="X26" i="64" s="1"/>
  <c r="Y26" i="64" s="1"/>
  <c r="I16" i="64"/>
  <c r="T16" i="64"/>
  <c r="X16" i="64" s="1"/>
  <c r="I22" i="64"/>
  <c r="J22" i="64" s="1"/>
  <c r="T22" i="64"/>
  <c r="X22" i="64" s="1"/>
  <c r="Y22" i="64" s="1"/>
  <c r="J41" i="64"/>
  <c r="J50" i="64" s="1"/>
  <c r="E50" i="64"/>
  <c r="T25" i="64"/>
  <c r="X25" i="64" s="1"/>
  <c r="Y25" i="64" s="1"/>
  <c r="I25" i="64"/>
  <c r="J25" i="64" s="1"/>
  <c r="T15" i="64"/>
  <c r="X15" i="64" s="1"/>
  <c r="Y15" i="64" s="1"/>
  <c r="I15" i="64"/>
  <c r="T21" i="64"/>
  <c r="X21" i="64" s="1"/>
  <c r="Y21" i="64" s="1"/>
  <c r="I21" i="64"/>
  <c r="J21" i="64" s="1"/>
  <c r="T13" i="63"/>
  <c r="X13" i="63" s="1"/>
  <c r="Y13" i="63" s="1"/>
  <c r="I13" i="63"/>
  <c r="J13" i="63" s="1"/>
  <c r="T21" i="63"/>
  <c r="X21" i="63" s="1"/>
  <c r="Y21" i="63" s="1"/>
  <c r="I21" i="63"/>
  <c r="J21" i="63" s="1"/>
  <c r="E50" i="63"/>
  <c r="J41" i="63"/>
  <c r="J50" i="63" s="1"/>
  <c r="T18" i="63"/>
  <c r="X18" i="63" s="1"/>
  <c r="Y18" i="63" s="1"/>
  <c r="I18" i="63"/>
  <c r="J18" i="63" s="1"/>
  <c r="I16" i="63"/>
  <c r="T16" i="63"/>
  <c r="X16" i="63" s="1"/>
  <c r="I22" i="63"/>
  <c r="J22" i="63" s="1"/>
  <c r="T22" i="63"/>
  <c r="X22" i="63" s="1"/>
  <c r="Y22" i="63" s="1"/>
  <c r="T25" i="63"/>
  <c r="X25" i="63" s="1"/>
  <c r="Y25" i="63" s="1"/>
  <c r="I25" i="63"/>
  <c r="J25" i="63" s="1"/>
  <c r="T24" i="63"/>
  <c r="X24" i="63" s="1"/>
  <c r="Y24" i="63" s="1"/>
  <c r="I24" i="63"/>
  <c r="J24" i="63" s="1"/>
  <c r="T14" i="63"/>
  <c r="X14" i="63" s="1"/>
  <c r="I14" i="63"/>
  <c r="I26" i="63"/>
  <c r="J26" i="63" s="1"/>
  <c r="T26" i="63"/>
  <c r="X26" i="63" s="1"/>
  <c r="Y26" i="63" s="1"/>
  <c r="I12" i="63"/>
  <c r="T12" i="63"/>
  <c r="E28" i="63"/>
  <c r="O13" i="54" s="1" a="1"/>
  <c r="O13" i="54" s="1"/>
  <c r="T19" i="63"/>
  <c r="X19" i="63" s="1"/>
  <c r="Y19" i="63" s="1"/>
  <c r="I19" i="63"/>
  <c r="J19" i="63" s="1"/>
  <c r="T15" i="63"/>
  <c r="X15" i="63" s="1"/>
  <c r="Y15" i="63" s="1"/>
  <c r="I15" i="63"/>
  <c r="J15" i="63" s="1"/>
  <c r="I16" i="62"/>
  <c r="T16" i="62"/>
  <c r="X16" i="62" s="1"/>
  <c r="T22" i="62"/>
  <c r="X22" i="62" s="1"/>
  <c r="Y22" i="62" s="1"/>
  <c r="I22" i="62"/>
  <c r="J22" i="62" s="1"/>
  <c r="J41" i="62"/>
  <c r="J50" i="62" s="1"/>
  <c r="E50" i="62"/>
  <c r="T13" i="62"/>
  <c r="X13" i="62" s="1"/>
  <c r="Y13" i="62" s="1"/>
  <c r="I13" i="62"/>
  <c r="J13" i="62" s="1"/>
  <c r="T19" i="62"/>
  <c r="X19" i="62" s="1"/>
  <c r="Y19" i="62" s="1"/>
  <c r="I19" i="62"/>
  <c r="J19" i="62" s="1"/>
  <c r="T12" i="62"/>
  <c r="E28" i="62"/>
  <c r="O12" i="54" s="1" a="1"/>
  <c r="O12" i="54" s="1"/>
  <c r="I12" i="62"/>
  <c r="I15" i="62"/>
  <c r="T15" i="62"/>
  <c r="X15" i="62" s="1"/>
  <c r="Y15" i="62" s="1"/>
  <c r="I25" i="62"/>
  <c r="J25" i="62" s="1"/>
  <c r="T25" i="62"/>
  <c r="X25" i="62" s="1"/>
  <c r="Y25" i="62" s="1"/>
  <c r="I26" i="62"/>
  <c r="J26" i="62" s="1"/>
  <c r="T26" i="62"/>
  <c r="X26" i="62" s="1"/>
  <c r="Y26" i="62" s="1"/>
  <c r="Y14" i="61"/>
  <c r="J41" i="61"/>
  <c r="J50" i="61" s="1"/>
  <c r="E50" i="61"/>
  <c r="E28" i="61"/>
  <c r="I12" i="61"/>
  <c r="Y71" i="60"/>
  <c r="T64" i="60"/>
  <c r="X65" i="60" s="1"/>
  <c r="X70" i="60" s="1"/>
  <c r="Y70" i="60" s="1"/>
  <c r="T61" i="60"/>
  <c r="X62" i="60" s="1"/>
  <c r="X67" i="60" s="1"/>
  <c r="Y67" i="60" s="1"/>
  <c r="T52" i="60"/>
  <c r="X53" i="60" s="1"/>
  <c r="X69" i="60" s="1"/>
  <c r="B91" i="60"/>
  <c r="I91" i="60" s="1"/>
  <c r="J16" i="60"/>
  <c r="B92" i="60"/>
  <c r="I92" i="60" s="1"/>
  <c r="S90" i="60"/>
  <c r="X28" i="60"/>
  <c r="V33" i="60" s="1"/>
  <c r="J41" i="60"/>
  <c r="J50" i="60" s="1"/>
  <c r="E50" i="60"/>
  <c r="Y28" i="60"/>
  <c r="Y33" i="60" s="1"/>
  <c r="I12" i="60"/>
  <c r="E28" i="60"/>
  <c r="O10" i="54" s="1" a="1"/>
  <c r="O10" i="54" s="1"/>
  <c r="T22" i="59"/>
  <c r="X22" i="59" s="1"/>
  <c r="Y22" i="59" s="1"/>
  <c r="I27" i="59"/>
  <c r="J27" i="59" s="1"/>
  <c r="I18" i="59"/>
  <c r="J18" i="59" s="1"/>
  <c r="T18" i="59"/>
  <c r="X18" i="59" s="1"/>
  <c r="Y18" i="59" s="1"/>
  <c r="I19" i="59"/>
  <c r="J19" i="59" s="1"/>
  <c r="I25" i="59"/>
  <c r="J25" i="59" s="1"/>
  <c r="I15" i="59"/>
  <c r="J15" i="59" s="1"/>
  <c r="X12" i="59"/>
  <c r="Y14" i="59"/>
  <c r="J41" i="59"/>
  <c r="J50" i="59" s="1"/>
  <c r="E50" i="59"/>
  <c r="E28" i="59"/>
  <c r="O9" i="54" s="1" a="1"/>
  <c r="O9" i="54" s="1"/>
  <c r="I13" i="59"/>
  <c r="T13" i="59"/>
  <c r="X13" i="59" s="1"/>
  <c r="Y13" i="59" s="1"/>
  <c r="I26" i="59"/>
  <c r="J26" i="59" s="1"/>
  <c r="T26" i="59"/>
  <c r="X26" i="59" s="1"/>
  <c r="Y26" i="59" s="1"/>
  <c r="I16" i="59"/>
  <c r="T16" i="59"/>
  <c r="X16" i="59" s="1"/>
  <c r="D32" i="56"/>
  <c r="E136" i="56" s="1"/>
  <c r="I136" i="56" s="1"/>
  <c r="I138" i="56" s="1"/>
  <c r="J41" i="58"/>
  <c r="J50" i="58" s="1"/>
  <c r="E50" i="58"/>
  <c r="I12" i="58"/>
  <c r="E28" i="58"/>
  <c r="O8" i="54" s="1" a="1"/>
  <c r="O8" i="54" s="1"/>
  <c r="V33" i="80" l="1"/>
  <c r="T55" i="80"/>
  <c r="Y33" i="94"/>
  <c r="X69" i="103"/>
  <c r="X69" i="85"/>
  <c r="X69" i="94"/>
  <c r="I57" i="83"/>
  <c r="X56" i="83"/>
  <c r="X90" i="83"/>
  <c r="Y93" i="83" s="1"/>
  <c r="X87" i="72"/>
  <c r="Y87" i="72" s="1"/>
  <c r="S93" i="80"/>
  <c r="Y33" i="85"/>
  <c r="Y33" i="97"/>
  <c r="X86" i="71"/>
  <c r="Y86" i="71" s="1"/>
  <c r="Y33" i="80"/>
  <c r="B92" i="101"/>
  <c r="I92" i="101" s="1"/>
  <c r="X87" i="95"/>
  <c r="Y87" i="95" s="1"/>
  <c r="Y105" i="95"/>
  <c r="J33" i="83"/>
  <c r="X69" i="100"/>
  <c r="Y105" i="79"/>
  <c r="X85" i="100"/>
  <c r="Y85" i="100" s="1"/>
  <c r="Y105" i="86"/>
  <c r="B90" i="66"/>
  <c r="I90" i="66" s="1"/>
  <c r="Y105" i="91"/>
  <c r="Y105" i="75"/>
  <c r="Y105" i="105"/>
  <c r="Y105" i="101"/>
  <c r="Y105" i="92"/>
  <c r="Y105" i="89"/>
  <c r="Y105" i="81"/>
  <c r="Y105" i="73"/>
  <c r="X69" i="70"/>
  <c r="B91" i="101"/>
  <c r="I91" i="101" s="1"/>
  <c r="S93" i="100"/>
  <c r="S93" i="95"/>
  <c r="X69" i="79"/>
  <c r="S93" i="72"/>
  <c r="O21" i="54" a="1"/>
  <c r="O21" i="54" s="1"/>
  <c r="O20" i="54" a="1"/>
  <c r="O20" i="54" s="1"/>
  <c r="O18" i="54" a="1"/>
  <c r="O18" i="54" s="1"/>
  <c r="B92" i="66"/>
  <c r="I92" i="66" s="1"/>
  <c r="O39" i="54" a="1"/>
  <c r="O39" i="54" s="1"/>
  <c r="Y15" i="101"/>
  <c r="S91" i="101"/>
  <c r="X91" i="101" s="1"/>
  <c r="J16" i="101"/>
  <c r="T28" i="101"/>
  <c r="X13" i="101"/>
  <c r="Y16" i="101"/>
  <c r="S92" i="101"/>
  <c r="X92" i="101" s="1"/>
  <c r="X87" i="91"/>
  <c r="Y87" i="91" s="1"/>
  <c r="S93" i="87"/>
  <c r="Y105" i="85"/>
  <c r="Y14" i="76"/>
  <c r="S91" i="76"/>
  <c r="X91" i="76" s="1"/>
  <c r="S92" i="76"/>
  <c r="X92" i="76" s="1"/>
  <c r="Y16" i="76"/>
  <c r="T28" i="76"/>
  <c r="X13" i="76"/>
  <c r="B91" i="76"/>
  <c r="I91" i="76" s="1"/>
  <c r="B92" i="76"/>
  <c r="I92" i="76" s="1"/>
  <c r="Y93" i="73"/>
  <c r="S93" i="73"/>
  <c r="S92" i="66"/>
  <c r="X92" i="66" s="1"/>
  <c r="Y16" i="66"/>
  <c r="Y28" i="66" s="1"/>
  <c r="Y33" i="66" s="1"/>
  <c r="T28" i="66"/>
  <c r="J15" i="66"/>
  <c r="J28" i="66" s="1"/>
  <c r="J33" i="66" s="1"/>
  <c r="B91" i="66"/>
  <c r="I91" i="66" s="1"/>
  <c r="S90" i="66"/>
  <c r="I28" i="66"/>
  <c r="G33" i="66" s="1"/>
  <c r="X28" i="66"/>
  <c r="V33" i="66" s="1"/>
  <c r="X56" i="66" s="1"/>
  <c r="X86" i="66" s="1"/>
  <c r="Y86" i="66" s="1"/>
  <c r="S91" i="66"/>
  <c r="X91" i="66" s="1"/>
  <c r="Y105" i="65"/>
  <c r="X13" i="61"/>
  <c r="T28" i="61"/>
  <c r="S91" i="61"/>
  <c r="X91" i="61" s="1"/>
  <c r="B92" i="61"/>
  <c r="I92" i="61" s="1"/>
  <c r="B91" i="61"/>
  <c r="I91" i="61" s="1"/>
  <c r="O11" i="54" a="1"/>
  <c r="O11" i="54" s="1"/>
  <c r="Y16" i="61"/>
  <c r="S92" i="61"/>
  <c r="X92" i="61" s="1"/>
  <c r="Y105" i="60"/>
  <c r="B91" i="59"/>
  <c r="I91" i="59" s="1"/>
  <c r="B91" i="58"/>
  <c r="I91" i="58" s="1"/>
  <c r="X13" i="58"/>
  <c r="T28" i="58"/>
  <c r="S91" i="58"/>
  <c r="X91" i="58" s="1"/>
  <c r="Y14" i="58"/>
  <c r="B92" i="58"/>
  <c r="I92" i="58" s="1"/>
  <c r="Y16" i="58"/>
  <c r="S92" i="58"/>
  <c r="X92" i="58" s="1"/>
  <c r="J13" i="105"/>
  <c r="J28" i="105" s="1"/>
  <c r="J33" i="105" s="1"/>
  <c r="B90" i="105"/>
  <c r="I28" i="105"/>
  <c r="G33" i="105" s="1"/>
  <c r="E56" i="105" s="1"/>
  <c r="X87" i="105"/>
  <c r="Y87" i="105" s="1"/>
  <c r="X69" i="105"/>
  <c r="E59" i="105"/>
  <c r="I60" i="105" s="1"/>
  <c r="I72" i="105" s="1"/>
  <c r="J72" i="105" s="1"/>
  <c r="E53" i="105"/>
  <c r="I54" i="105" s="1"/>
  <c r="E65" i="105"/>
  <c r="I66" i="105" s="1"/>
  <c r="I71" i="105" s="1"/>
  <c r="J71" i="105" s="1"/>
  <c r="E62" i="105"/>
  <c r="I63" i="105" s="1"/>
  <c r="I68" i="105" s="1"/>
  <c r="J68" i="105" s="1"/>
  <c r="S93" i="105"/>
  <c r="X90" i="105"/>
  <c r="Y93" i="105" s="1"/>
  <c r="E59" i="104"/>
  <c r="I60" i="104" s="1"/>
  <c r="I72" i="104" s="1"/>
  <c r="J72" i="104" s="1"/>
  <c r="E62" i="104"/>
  <c r="I63" i="104" s="1"/>
  <c r="I68" i="104" s="1"/>
  <c r="J68" i="104" s="1"/>
  <c r="E65" i="104"/>
  <c r="I66" i="104" s="1"/>
  <c r="I71" i="104" s="1"/>
  <c r="J71" i="104" s="1"/>
  <c r="E53" i="104"/>
  <c r="I54" i="104" s="1"/>
  <c r="J12" i="104"/>
  <c r="J28" i="104" s="1"/>
  <c r="J33" i="104" s="1"/>
  <c r="I28" i="104"/>
  <c r="G33" i="104" s="1"/>
  <c r="E56" i="104" s="1"/>
  <c r="B90" i="104"/>
  <c r="X87" i="104"/>
  <c r="Y87" i="104" s="1"/>
  <c r="X69" i="104"/>
  <c r="X90" i="103"/>
  <c r="Y93" i="103" s="1"/>
  <c r="S93" i="103"/>
  <c r="J13" i="103"/>
  <c r="J28" i="103" s="1"/>
  <c r="J33" i="103" s="1"/>
  <c r="B90" i="103"/>
  <c r="I28" i="103"/>
  <c r="G33" i="103" s="1"/>
  <c r="E56" i="103" s="1"/>
  <c r="E59" i="103"/>
  <c r="I60" i="103" s="1"/>
  <c r="I72" i="103" s="1"/>
  <c r="J72" i="103" s="1"/>
  <c r="E65" i="103"/>
  <c r="I66" i="103" s="1"/>
  <c r="I71" i="103" s="1"/>
  <c r="J71" i="103" s="1"/>
  <c r="E62" i="103"/>
  <c r="I63" i="103" s="1"/>
  <c r="I68" i="103" s="1"/>
  <c r="J68" i="103" s="1"/>
  <c r="E53" i="103"/>
  <c r="I54" i="103" s="1"/>
  <c r="E59" i="102"/>
  <c r="I60" i="102" s="1"/>
  <c r="I72" i="102" s="1"/>
  <c r="J72" i="102" s="1"/>
  <c r="E62" i="102"/>
  <c r="I63" i="102" s="1"/>
  <c r="I68" i="102" s="1"/>
  <c r="J68" i="102" s="1"/>
  <c r="E65" i="102"/>
  <c r="I66" i="102" s="1"/>
  <c r="I71" i="102" s="1"/>
  <c r="J71" i="102" s="1"/>
  <c r="E53" i="102"/>
  <c r="I54" i="102" s="1"/>
  <c r="S92" i="102"/>
  <c r="X92" i="102" s="1"/>
  <c r="Y16" i="102"/>
  <c r="J12" i="102"/>
  <c r="I28" i="102"/>
  <c r="G33" i="102" s="1"/>
  <c r="E56" i="102" s="1"/>
  <c r="B90" i="102"/>
  <c r="J16" i="102"/>
  <c r="B92" i="102"/>
  <c r="I92" i="102" s="1"/>
  <c r="J15" i="102"/>
  <c r="B91" i="102"/>
  <c r="I91" i="102" s="1"/>
  <c r="X12" i="102"/>
  <c r="T28" i="102"/>
  <c r="S91" i="102"/>
  <c r="X91" i="102" s="1"/>
  <c r="E59" i="101"/>
  <c r="I60" i="101" s="1"/>
  <c r="I72" i="101" s="1"/>
  <c r="J72" i="101" s="1"/>
  <c r="E65" i="101"/>
  <c r="I66" i="101" s="1"/>
  <c r="I71" i="101" s="1"/>
  <c r="J71" i="101" s="1"/>
  <c r="E53" i="101"/>
  <c r="I54" i="101" s="1"/>
  <c r="E62" i="101"/>
  <c r="I63" i="101" s="1"/>
  <c r="I68" i="101" s="1"/>
  <c r="J68" i="101" s="1"/>
  <c r="B90" i="101"/>
  <c r="I28" i="101"/>
  <c r="G33" i="101" s="1"/>
  <c r="J12" i="101"/>
  <c r="J12" i="100"/>
  <c r="J28" i="100" s="1"/>
  <c r="J33" i="100" s="1"/>
  <c r="B90" i="100"/>
  <c r="I28" i="100"/>
  <c r="G33" i="100" s="1"/>
  <c r="E56" i="100" s="1"/>
  <c r="I57" i="100" s="1"/>
  <c r="E59" i="100"/>
  <c r="I60" i="100" s="1"/>
  <c r="I72" i="100" s="1"/>
  <c r="J72" i="100" s="1"/>
  <c r="E53" i="100"/>
  <c r="I54" i="100" s="1"/>
  <c r="E65" i="100"/>
  <c r="I66" i="100" s="1"/>
  <c r="I71" i="100" s="1"/>
  <c r="J71" i="100" s="1"/>
  <c r="E62" i="100"/>
  <c r="I63" i="100" s="1"/>
  <c r="I68" i="100" s="1"/>
  <c r="J68" i="100" s="1"/>
  <c r="X69" i="99"/>
  <c r="X87" i="99"/>
  <c r="Y87" i="99" s="1"/>
  <c r="E59" i="99"/>
  <c r="I60" i="99" s="1"/>
  <c r="I72" i="99" s="1"/>
  <c r="J72" i="99" s="1"/>
  <c r="E53" i="99"/>
  <c r="I54" i="99" s="1"/>
  <c r="E62" i="99"/>
  <c r="I63" i="99" s="1"/>
  <c r="I68" i="99" s="1"/>
  <c r="J68" i="99" s="1"/>
  <c r="E65" i="99"/>
  <c r="I66" i="99" s="1"/>
  <c r="I71" i="99" s="1"/>
  <c r="J71" i="99" s="1"/>
  <c r="Y105" i="99"/>
  <c r="B90" i="99"/>
  <c r="J12" i="99"/>
  <c r="J28" i="99" s="1"/>
  <c r="J33" i="99" s="1"/>
  <c r="I28" i="99"/>
  <c r="G33" i="99" s="1"/>
  <c r="E56" i="99" s="1"/>
  <c r="J12" i="98"/>
  <c r="J28" i="98" s="1"/>
  <c r="J33" i="98" s="1"/>
  <c r="I28" i="98"/>
  <c r="G33" i="98" s="1"/>
  <c r="E56" i="98" s="1"/>
  <c r="B90" i="98"/>
  <c r="X87" i="98"/>
  <c r="Y87" i="98" s="1"/>
  <c r="X69" i="98"/>
  <c r="Y69" i="98" s="1"/>
  <c r="E59" i="98"/>
  <c r="I60" i="98" s="1"/>
  <c r="I72" i="98" s="1"/>
  <c r="J72" i="98" s="1"/>
  <c r="E62" i="98"/>
  <c r="I63" i="98" s="1"/>
  <c r="I68" i="98" s="1"/>
  <c r="J68" i="98" s="1"/>
  <c r="E65" i="98"/>
  <c r="I66" i="98" s="1"/>
  <c r="I71" i="98" s="1"/>
  <c r="J71" i="98" s="1"/>
  <c r="E53" i="98"/>
  <c r="I54" i="98" s="1"/>
  <c r="X87" i="97"/>
  <c r="Y87" i="97" s="1"/>
  <c r="X69" i="97"/>
  <c r="E59" i="97"/>
  <c r="I60" i="97" s="1"/>
  <c r="I72" i="97" s="1"/>
  <c r="J72" i="97" s="1"/>
  <c r="E62" i="97"/>
  <c r="I63" i="97" s="1"/>
  <c r="I68" i="97" s="1"/>
  <c r="J68" i="97" s="1"/>
  <c r="E53" i="97"/>
  <c r="I54" i="97" s="1"/>
  <c r="E65" i="97"/>
  <c r="I66" i="97" s="1"/>
  <c r="I71" i="97" s="1"/>
  <c r="J71" i="97" s="1"/>
  <c r="J12" i="97"/>
  <c r="J28" i="97" s="1"/>
  <c r="J33" i="97" s="1"/>
  <c r="I28" i="97"/>
  <c r="G33" i="97" s="1"/>
  <c r="E56" i="97" s="1"/>
  <c r="B90" i="97"/>
  <c r="J12" i="96"/>
  <c r="J28" i="96" s="1"/>
  <c r="J33" i="96" s="1"/>
  <c r="I28" i="96"/>
  <c r="G33" i="96" s="1"/>
  <c r="E56" i="96" s="1"/>
  <c r="B90" i="96"/>
  <c r="E59" i="96"/>
  <c r="I60" i="96" s="1"/>
  <c r="I72" i="96" s="1"/>
  <c r="J72" i="96" s="1"/>
  <c r="E62" i="96"/>
  <c r="I63" i="96" s="1"/>
  <c r="I68" i="96" s="1"/>
  <c r="J68" i="96" s="1"/>
  <c r="E65" i="96"/>
  <c r="I66" i="96" s="1"/>
  <c r="I71" i="96" s="1"/>
  <c r="J71" i="96" s="1"/>
  <c r="E53" i="96"/>
  <c r="I54" i="96" s="1"/>
  <c r="E59" i="95"/>
  <c r="I60" i="95" s="1"/>
  <c r="I72" i="95" s="1"/>
  <c r="J72" i="95" s="1"/>
  <c r="E62" i="95"/>
  <c r="I63" i="95" s="1"/>
  <c r="I68" i="95" s="1"/>
  <c r="J68" i="95" s="1"/>
  <c r="E65" i="95"/>
  <c r="I66" i="95" s="1"/>
  <c r="I71" i="95" s="1"/>
  <c r="J71" i="95" s="1"/>
  <c r="E53" i="95"/>
  <c r="I54" i="95" s="1"/>
  <c r="J12" i="95"/>
  <c r="J28" i="95" s="1"/>
  <c r="J33" i="95" s="1"/>
  <c r="I28" i="95"/>
  <c r="G33" i="95" s="1"/>
  <c r="E56" i="95" s="1"/>
  <c r="B90" i="95"/>
  <c r="I28" i="94"/>
  <c r="G33" i="94" s="1"/>
  <c r="E56" i="94" s="1"/>
  <c r="B90" i="94"/>
  <c r="J12" i="94"/>
  <c r="J28" i="94" s="1"/>
  <c r="J33" i="94" s="1"/>
  <c r="S93" i="94"/>
  <c r="X90" i="94"/>
  <c r="Y93" i="94" s="1"/>
  <c r="E59" i="94"/>
  <c r="I60" i="94" s="1"/>
  <c r="I72" i="94" s="1"/>
  <c r="J72" i="94" s="1"/>
  <c r="E65" i="94"/>
  <c r="I66" i="94" s="1"/>
  <c r="I71" i="94" s="1"/>
  <c r="J71" i="94" s="1"/>
  <c r="E53" i="94"/>
  <c r="I54" i="94" s="1"/>
  <c r="E62" i="94"/>
  <c r="I63" i="94" s="1"/>
  <c r="I68" i="94" s="1"/>
  <c r="J68" i="94" s="1"/>
  <c r="J12" i="93"/>
  <c r="J28" i="93" s="1"/>
  <c r="J33" i="93" s="1"/>
  <c r="I28" i="93"/>
  <c r="G33" i="93" s="1"/>
  <c r="E56" i="93" s="1"/>
  <c r="B90" i="93"/>
  <c r="E59" i="93"/>
  <c r="I60" i="93" s="1"/>
  <c r="I72" i="93" s="1"/>
  <c r="J72" i="93" s="1"/>
  <c r="E65" i="93"/>
  <c r="I66" i="93" s="1"/>
  <c r="I71" i="93" s="1"/>
  <c r="J71" i="93" s="1"/>
  <c r="E62" i="93"/>
  <c r="I63" i="93" s="1"/>
  <c r="I68" i="93" s="1"/>
  <c r="J68" i="93" s="1"/>
  <c r="E53" i="93"/>
  <c r="I54" i="93" s="1"/>
  <c r="X69" i="93"/>
  <c r="X87" i="93"/>
  <c r="Y87" i="93" s="1"/>
  <c r="X69" i="92"/>
  <c r="E59" i="92"/>
  <c r="I60" i="92" s="1"/>
  <c r="I72" i="92" s="1"/>
  <c r="J72" i="92" s="1"/>
  <c r="E65" i="92"/>
  <c r="I66" i="92" s="1"/>
  <c r="I71" i="92" s="1"/>
  <c r="J71" i="92" s="1"/>
  <c r="E62" i="92"/>
  <c r="I63" i="92" s="1"/>
  <c r="I68" i="92" s="1"/>
  <c r="J68" i="92" s="1"/>
  <c r="E53" i="92"/>
  <c r="I54" i="92" s="1"/>
  <c r="J12" i="92"/>
  <c r="J28" i="92" s="1"/>
  <c r="J33" i="92" s="1"/>
  <c r="I28" i="92"/>
  <c r="G33" i="92" s="1"/>
  <c r="E56" i="92" s="1"/>
  <c r="B90" i="92"/>
  <c r="X90" i="92"/>
  <c r="Y93" i="92" s="1"/>
  <c r="S93" i="92"/>
  <c r="E62" i="91"/>
  <c r="I63" i="91" s="1"/>
  <c r="I68" i="91" s="1"/>
  <c r="J68" i="91" s="1"/>
  <c r="E65" i="91"/>
  <c r="I66" i="91" s="1"/>
  <c r="I71" i="91" s="1"/>
  <c r="J71" i="91" s="1"/>
  <c r="E59" i="91"/>
  <c r="I60" i="91" s="1"/>
  <c r="I72" i="91" s="1"/>
  <c r="J72" i="91" s="1"/>
  <c r="E53" i="91"/>
  <c r="I54" i="91" s="1"/>
  <c r="J12" i="91"/>
  <c r="J28" i="91" s="1"/>
  <c r="J33" i="91" s="1"/>
  <c r="I28" i="91"/>
  <c r="G33" i="91" s="1"/>
  <c r="E56" i="91" s="1"/>
  <c r="B90" i="91"/>
  <c r="X90" i="91"/>
  <c r="Y93" i="91" s="1"/>
  <c r="S93" i="91"/>
  <c r="J12" i="90"/>
  <c r="J28" i="90" s="1"/>
  <c r="J33" i="90" s="1"/>
  <c r="B90" i="90"/>
  <c r="I28" i="90"/>
  <c r="G33" i="90" s="1"/>
  <c r="E56" i="90" s="1"/>
  <c r="X87" i="90"/>
  <c r="Y87" i="90" s="1"/>
  <c r="X69" i="90"/>
  <c r="E59" i="90"/>
  <c r="I60" i="90" s="1"/>
  <c r="I72" i="90" s="1"/>
  <c r="J72" i="90" s="1"/>
  <c r="E53" i="90"/>
  <c r="I54" i="90" s="1"/>
  <c r="E62" i="90"/>
  <c r="I63" i="90" s="1"/>
  <c r="I68" i="90" s="1"/>
  <c r="J68" i="90" s="1"/>
  <c r="E65" i="90"/>
  <c r="I66" i="90" s="1"/>
  <c r="I71" i="90" s="1"/>
  <c r="J71" i="90" s="1"/>
  <c r="X90" i="89"/>
  <c r="Y93" i="89" s="1"/>
  <c r="S93" i="89"/>
  <c r="J12" i="89"/>
  <c r="J28" i="89" s="1"/>
  <c r="J33" i="89" s="1"/>
  <c r="B90" i="89"/>
  <c r="I28" i="89"/>
  <c r="G33" i="89" s="1"/>
  <c r="E56" i="89" s="1"/>
  <c r="E59" i="89"/>
  <c r="I60" i="89" s="1"/>
  <c r="I72" i="89" s="1"/>
  <c r="J72" i="89" s="1"/>
  <c r="E62" i="89"/>
  <c r="I63" i="89" s="1"/>
  <c r="I68" i="89" s="1"/>
  <c r="J68" i="89" s="1"/>
  <c r="E53" i="89"/>
  <c r="I54" i="89" s="1"/>
  <c r="E65" i="89"/>
  <c r="I66" i="89" s="1"/>
  <c r="I71" i="89" s="1"/>
  <c r="J71" i="89" s="1"/>
  <c r="J12" i="88"/>
  <c r="J28" i="88" s="1"/>
  <c r="J33" i="88" s="1"/>
  <c r="I28" i="88"/>
  <c r="G33" i="88" s="1"/>
  <c r="E56" i="88" s="1"/>
  <c r="B90" i="88"/>
  <c r="E59" i="88"/>
  <c r="I60" i="88" s="1"/>
  <c r="I72" i="88" s="1"/>
  <c r="J72" i="88" s="1"/>
  <c r="E62" i="88"/>
  <c r="I63" i="88" s="1"/>
  <c r="I68" i="88" s="1"/>
  <c r="J68" i="88" s="1"/>
  <c r="E65" i="88"/>
  <c r="I66" i="88" s="1"/>
  <c r="I71" i="88" s="1"/>
  <c r="J71" i="88" s="1"/>
  <c r="E53" i="88"/>
  <c r="I54" i="88" s="1"/>
  <c r="Y93" i="87"/>
  <c r="J12" i="87"/>
  <c r="J28" i="87" s="1"/>
  <c r="J33" i="87" s="1"/>
  <c r="I28" i="87"/>
  <c r="G33" i="87" s="1"/>
  <c r="E56" i="87" s="1"/>
  <c r="B90" i="87"/>
  <c r="E59" i="87"/>
  <c r="I60" i="87" s="1"/>
  <c r="I72" i="87" s="1"/>
  <c r="J72" i="87" s="1"/>
  <c r="E65" i="87"/>
  <c r="I66" i="87" s="1"/>
  <c r="I71" i="87" s="1"/>
  <c r="J71" i="87" s="1"/>
  <c r="E53" i="87"/>
  <c r="I54" i="87" s="1"/>
  <c r="E62" i="87"/>
  <c r="I63" i="87" s="1"/>
  <c r="I68" i="87" s="1"/>
  <c r="J68" i="87" s="1"/>
  <c r="X90" i="86"/>
  <c r="Y93" i="86" s="1"/>
  <c r="S93" i="86"/>
  <c r="X86" i="86"/>
  <c r="Y86" i="86" s="1"/>
  <c r="X85" i="86"/>
  <c r="Y85" i="86" s="1"/>
  <c r="J12" i="86"/>
  <c r="J28" i="86" s="1"/>
  <c r="J33" i="86" s="1"/>
  <c r="I28" i="86"/>
  <c r="G33" i="86" s="1"/>
  <c r="E56" i="86" s="1"/>
  <c r="I57" i="86" s="1"/>
  <c r="B90" i="86"/>
  <c r="Y109" i="86"/>
  <c r="J111" i="86" s="1"/>
  <c r="E65" i="86"/>
  <c r="I66" i="86" s="1"/>
  <c r="I71" i="86" s="1"/>
  <c r="J71" i="86" s="1"/>
  <c r="E62" i="86"/>
  <c r="I63" i="86" s="1"/>
  <c r="I68" i="86" s="1"/>
  <c r="J68" i="86" s="1"/>
  <c r="E59" i="86"/>
  <c r="I60" i="86" s="1"/>
  <c r="I72" i="86" s="1"/>
  <c r="J72" i="86" s="1"/>
  <c r="E53" i="86"/>
  <c r="I54" i="86" s="1"/>
  <c r="E59" i="85"/>
  <c r="I60" i="85" s="1"/>
  <c r="I72" i="85" s="1"/>
  <c r="J72" i="85" s="1"/>
  <c r="E65" i="85"/>
  <c r="I66" i="85" s="1"/>
  <c r="I71" i="85" s="1"/>
  <c r="J71" i="85" s="1"/>
  <c r="E62" i="85"/>
  <c r="I63" i="85" s="1"/>
  <c r="I68" i="85" s="1"/>
  <c r="J68" i="85" s="1"/>
  <c r="E53" i="85"/>
  <c r="I54" i="85" s="1"/>
  <c r="I28" i="85"/>
  <c r="G33" i="85" s="1"/>
  <c r="E56" i="85" s="1"/>
  <c r="J12" i="85"/>
  <c r="J28" i="85" s="1"/>
  <c r="J33" i="85" s="1"/>
  <c r="B90" i="85"/>
  <c r="S93" i="85"/>
  <c r="X90" i="85"/>
  <c r="Y93" i="85" s="1"/>
  <c r="X69" i="84"/>
  <c r="Y69" i="84" s="1"/>
  <c r="I28" i="84"/>
  <c r="G33" i="84" s="1"/>
  <c r="E56" i="84" s="1"/>
  <c r="I57" i="84" s="1"/>
  <c r="J12" i="84"/>
  <c r="J28" i="84" s="1"/>
  <c r="J33" i="84" s="1"/>
  <c r="B90" i="84"/>
  <c r="E59" i="84"/>
  <c r="I60" i="84" s="1"/>
  <c r="I72" i="84" s="1"/>
  <c r="J72" i="84" s="1"/>
  <c r="E65" i="84"/>
  <c r="I66" i="84" s="1"/>
  <c r="I71" i="84" s="1"/>
  <c r="J71" i="84" s="1"/>
  <c r="E62" i="84"/>
  <c r="I63" i="84" s="1"/>
  <c r="I68" i="84" s="1"/>
  <c r="J68" i="84" s="1"/>
  <c r="E53" i="84"/>
  <c r="I54" i="84" s="1"/>
  <c r="B93" i="83"/>
  <c r="I90" i="83"/>
  <c r="J93" i="83" s="1"/>
  <c r="E59" i="83"/>
  <c r="I60" i="83" s="1"/>
  <c r="I72" i="83" s="1"/>
  <c r="J72" i="83" s="1"/>
  <c r="E53" i="83"/>
  <c r="I54" i="83" s="1"/>
  <c r="E62" i="83"/>
  <c r="I63" i="83" s="1"/>
  <c r="I68" i="83" s="1"/>
  <c r="J68" i="83" s="1"/>
  <c r="E65" i="83"/>
  <c r="I66" i="83" s="1"/>
  <c r="I71" i="83" s="1"/>
  <c r="J71" i="83" s="1"/>
  <c r="X87" i="83"/>
  <c r="Y87" i="83" s="1"/>
  <c r="X69" i="83"/>
  <c r="Y69" i="83" s="1"/>
  <c r="I86" i="83"/>
  <c r="J86" i="83" s="1"/>
  <c r="I85" i="83"/>
  <c r="J85" i="83" s="1"/>
  <c r="E59" i="82"/>
  <c r="I60" i="82" s="1"/>
  <c r="I72" i="82" s="1"/>
  <c r="J72" i="82" s="1"/>
  <c r="E65" i="82"/>
  <c r="I66" i="82" s="1"/>
  <c r="I71" i="82" s="1"/>
  <c r="J71" i="82" s="1"/>
  <c r="E62" i="82"/>
  <c r="I63" i="82" s="1"/>
  <c r="I68" i="82" s="1"/>
  <c r="J68" i="82" s="1"/>
  <c r="E53" i="82"/>
  <c r="I54" i="82" s="1"/>
  <c r="J12" i="82"/>
  <c r="J28" i="82" s="1"/>
  <c r="J33" i="82" s="1"/>
  <c r="I28" i="82"/>
  <c r="G33" i="82" s="1"/>
  <c r="E56" i="82" s="1"/>
  <c r="B90" i="82"/>
  <c r="X90" i="82"/>
  <c r="Y93" i="82" s="1"/>
  <c r="S93" i="82"/>
  <c r="X86" i="81"/>
  <c r="Y86" i="81" s="1"/>
  <c r="X85" i="81"/>
  <c r="Y85" i="81" s="1"/>
  <c r="E59" i="81"/>
  <c r="I60" i="81" s="1"/>
  <c r="I72" i="81" s="1"/>
  <c r="J72" i="81" s="1"/>
  <c r="E62" i="81"/>
  <c r="I63" i="81" s="1"/>
  <c r="I68" i="81" s="1"/>
  <c r="J68" i="81" s="1"/>
  <c r="E53" i="81"/>
  <c r="I54" i="81" s="1"/>
  <c r="E65" i="81"/>
  <c r="I66" i="81" s="1"/>
  <c r="I71" i="81" s="1"/>
  <c r="J71" i="81" s="1"/>
  <c r="B90" i="81"/>
  <c r="J12" i="81"/>
  <c r="J28" i="81" s="1"/>
  <c r="J33" i="81" s="1"/>
  <c r="I28" i="81"/>
  <c r="G33" i="81" s="1"/>
  <c r="E56" i="81" s="1"/>
  <c r="I57" i="81" s="1"/>
  <c r="X90" i="81"/>
  <c r="Y93" i="81" s="1"/>
  <c r="S93" i="81"/>
  <c r="J12" i="80"/>
  <c r="J28" i="80" s="1"/>
  <c r="J33" i="80" s="1"/>
  <c r="B90" i="80"/>
  <c r="I28" i="80"/>
  <c r="G33" i="80" s="1"/>
  <c r="E56" i="80" s="1"/>
  <c r="E59" i="80"/>
  <c r="I60" i="80" s="1"/>
  <c r="I72" i="80" s="1"/>
  <c r="J72" i="80" s="1"/>
  <c r="E62" i="80"/>
  <c r="I63" i="80" s="1"/>
  <c r="I68" i="80" s="1"/>
  <c r="J68" i="80" s="1"/>
  <c r="E53" i="80"/>
  <c r="I54" i="80" s="1"/>
  <c r="E65" i="80"/>
  <c r="I66" i="80" s="1"/>
  <c r="I71" i="80" s="1"/>
  <c r="J71" i="80" s="1"/>
  <c r="I28" i="79"/>
  <c r="G33" i="79" s="1"/>
  <c r="E56" i="79" s="1"/>
  <c r="J12" i="79"/>
  <c r="J28" i="79" s="1"/>
  <c r="J33" i="79" s="1"/>
  <c r="B90" i="79"/>
  <c r="S93" i="79"/>
  <c r="X90" i="79"/>
  <c r="Y93" i="79" s="1"/>
  <c r="E59" i="79"/>
  <c r="I60" i="79" s="1"/>
  <c r="I72" i="79" s="1"/>
  <c r="J72" i="79" s="1"/>
  <c r="E65" i="79"/>
  <c r="I66" i="79" s="1"/>
  <c r="I71" i="79" s="1"/>
  <c r="J71" i="79" s="1"/>
  <c r="E53" i="79"/>
  <c r="I54" i="79" s="1"/>
  <c r="E62" i="79"/>
  <c r="I63" i="79" s="1"/>
  <c r="I68" i="79" s="1"/>
  <c r="J68" i="79" s="1"/>
  <c r="E59" i="78"/>
  <c r="I60" i="78" s="1"/>
  <c r="I72" i="78" s="1"/>
  <c r="J72" i="78" s="1"/>
  <c r="E53" i="78"/>
  <c r="I54" i="78" s="1"/>
  <c r="E62" i="78"/>
  <c r="I63" i="78" s="1"/>
  <c r="I68" i="78" s="1"/>
  <c r="J68" i="78" s="1"/>
  <c r="E65" i="78"/>
  <c r="I66" i="78" s="1"/>
  <c r="I71" i="78" s="1"/>
  <c r="J71" i="78" s="1"/>
  <c r="X87" i="78"/>
  <c r="Y87" i="78" s="1"/>
  <c r="X69" i="78"/>
  <c r="B90" i="78"/>
  <c r="J12" i="78"/>
  <c r="J28" i="78" s="1"/>
  <c r="J33" i="78" s="1"/>
  <c r="I28" i="78"/>
  <c r="G33" i="78" s="1"/>
  <c r="E56" i="78" s="1"/>
  <c r="J12" i="77"/>
  <c r="I28" i="77"/>
  <c r="G33" i="77" s="1"/>
  <c r="E56" i="77" s="1"/>
  <c r="B90" i="77"/>
  <c r="B91" i="77"/>
  <c r="I91" i="77" s="1"/>
  <c r="T28" i="77"/>
  <c r="T52" i="77" s="1"/>
  <c r="X12" i="77"/>
  <c r="J16" i="77"/>
  <c r="B92" i="77"/>
  <c r="I92" i="77" s="1"/>
  <c r="Y15" i="77"/>
  <c r="S91" i="77"/>
  <c r="X91" i="77" s="1"/>
  <c r="E59" i="77"/>
  <c r="I60" i="77" s="1"/>
  <c r="I72" i="77" s="1"/>
  <c r="J72" i="77" s="1"/>
  <c r="E65" i="77"/>
  <c r="I66" i="77" s="1"/>
  <c r="I71" i="77" s="1"/>
  <c r="J71" i="77" s="1"/>
  <c r="E62" i="77"/>
  <c r="I63" i="77" s="1"/>
  <c r="I68" i="77" s="1"/>
  <c r="J68" i="77" s="1"/>
  <c r="E53" i="77"/>
  <c r="I54" i="77" s="1"/>
  <c r="S92" i="77"/>
  <c r="X92" i="77" s="1"/>
  <c r="Y16" i="77"/>
  <c r="E59" i="76"/>
  <c r="I60" i="76" s="1"/>
  <c r="I72" i="76" s="1"/>
  <c r="J72" i="76" s="1"/>
  <c r="E62" i="76"/>
  <c r="I63" i="76" s="1"/>
  <c r="I68" i="76" s="1"/>
  <c r="J68" i="76" s="1"/>
  <c r="E65" i="76"/>
  <c r="I66" i="76" s="1"/>
  <c r="I71" i="76" s="1"/>
  <c r="J71" i="76" s="1"/>
  <c r="E53" i="76"/>
  <c r="I54" i="76" s="1"/>
  <c r="J12" i="76"/>
  <c r="J28" i="76" s="1"/>
  <c r="J33" i="76" s="1"/>
  <c r="I28" i="76"/>
  <c r="G33" i="76" s="1"/>
  <c r="E56" i="76" s="1"/>
  <c r="I57" i="76" s="1"/>
  <c r="B90" i="76"/>
  <c r="Y105" i="76"/>
  <c r="S93" i="75"/>
  <c r="E59" i="75"/>
  <c r="I60" i="75" s="1"/>
  <c r="I72" i="75" s="1"/>
  <c r="J72" i="75" s="1"/>
  <c r="E62" i="75"/>
  <c r="I63" i="75" s="1"/>
  <c r="I68" i="75" s="1"/>
  <c r="J68" i="75" s="1"/>
  <c r="E65" i="75"/>
  <c r="I66" i="75" s="1"/>
  <c r="I71" i="75" s="1"/>
  <c r="J71" i="75" s="1"/>
  <c r="E53" i="75"/>
  <c r="I54" i="75" s="1"/>
  <c r="J12" i="75"/>
  <c r="J28" i="75" s="1"/>
  <c r="J33" i="75" s="1"/>
  <c r="I28" i="75"/>
  <c r="G33" i="75" s="1"/>
  <c r="E56" i="75" s="1"/>
  <c r="B90" i="75"/>
  <c r="E59" i="74"/>
  <c r="I60" i="74" s="1"/>
  <c r="I72" i="74" s="1"/>
  <c r="J72" i="74" s="1"/>
  <c r="E62" i="74"/>
  <c r="I63" i="74" s="1"/>
  <c r="I68" i="74" s="1"/>
  <c r="J68" i="74" s="1"/>
  <c r="E65" i="74"/>
  <c r="I66" i="74" s="1"/>
  <c r="I71" i="74" s="1"/>
  <c r="J71" i="74" s="1"/>
  <c r="E53" i="74"/>
  <c r="I54" i="74" s="1"/>
  <c r="J12" i="74"/>
  <c r="J28" i="74" s="1"/>
  <c r="J33" i="74" s="1"/>
  <c r="I28" i="74"/>
  <c r="G33" i="74" s="1"/>
  <c r="E56" i="74" s="1"/>
  <c r="B90" i="74"/>
  <c r="X90" i="74"/>
  <c r="Y93" i="74" s="1"/>
  <c r="S93" i="74"/>
  <c r="E59" i="73"/>
  <c r="I60" i="73" s="1"/>
  <c r="I72" i="73" s="1"/>
  <c r="J72" i="73" s="1"/>
  <c r="E65" i="73"/>
  <c r="I66" i="73" s="1"/>
  <c r="I71" i="73" s="1"/>
  <c r="J71" i="73" s="1"/>
  <c r="E62" i="73"/>
  <c r="I63" i="73" s="1"/>
  <c r="I68" i="73" s="1"/>
  <c r="J68" i="73" s="1"/>
  <c r="E53" i="73"/>
  <c r="I54" i="73" s="1"/>
  <c r="I28" i="73"/>
  <c r="G33" i="73" s="1"/>
  <c r="E56" i="73" s="1"/>
  <c r="J12" i="73"/>
  <c r="J28" i="73" s="1"/>
  <c r="J33" i="73" s="1"/>
  <c r="B90" i="73"/>
  <c r="E59" i="72"/>
  <c r="I60" i="72" s="1"/>
  <c r="I72" i="72" s="1"/>
  <c r="J72" i="72" s="1"/>
  <c r="E53" i="72"/>
  <c r="I54" i="72" s="1"/>
  <c r="E62" i="72"/>
  <c r="I63" i="72" s="1"/>
  <c r="I68" i="72" s="1"/>
  <c r="J68" i="72" s="1"/>
  <c r="E65" i="72"/>
  <c r="I66" i="72" s="1"/>
  <c r="I71" i="72" s="1"/>
  <c r="J71" i="72" s="1"/>
  <c r="Y105" i="72"/>
  <c r="J12" i="72"/>
  <c r="J28" i="72" s="1"/>
  <c r="J33" i="72" s="1"/>
  <c r="I28" i="72"/>
  <c r="G33" i="72" s="1"/>
  <c r="E56" i="72" s="1"/>
  <c r="B90" i="72"/>
  <c r="X87" i="71"/>
  <c r="Y87" i="71" s="1"/>
  <c r="X69" i="71"/>
  <c r="E59" i="71"/>
  <c r="I60" i="71" s="1"/>
  <c r="I72" i="71" s="1"/>
  <c r="J72" i="71" s="1"/>
  <c r="E65" i="71"/>
  <c r="I66" i="71" s="1"/>
  <c r="I71" i="71" s="1"/>
  <c r="J71" i="71" s="1"/>
  <c r="E62" i="71"/>
  <c r="I63" i="71" s="1"/>
  <c r="I68" i="71" s="1"/>
  <c r="J68" i="71" s="1"/>
  <c r="E53" i="71"/>
  <c r="I54" i="71" s="1"/>
  <c r="I28" i="71"/>
  <c r="G33" i="71" s="1"/>
  <c r="E56" i="71" s="1"/>
  <c r="I57" i="71" s="1"/>
  <c r="B90" i="71"/>
  <c r="J12" i="71"/>
  <c r="J28" i="71" s="1"/>
  <c r="J33" i="71" s="1"/>
  <c r="Y105" i="71"/>
  <c r="J12" i="70"/>
  <c r="J28" i="70" s="1"/>
  <c r="J33" i="70" s="1"/>
  <c r="B90" i="70"/>
  <c r="I28" i="70"/>
  <c r="G33" i="70" s="1"/>
  <c r="E56" i="70" s="1"/>
  <c r="E59" i="70"/>
  <c r="I60" i="70" s="1"/>
  <c r="I72" i="70" s="1"/>
  <c r="J72" i="70" s="1"/>
  <c r="E62" i="70"/>
  <c r="I63" i="70" s="1"/>
  <c r="I68" i="70" s="1"/>
  <c r="J68" i="70" s="1"/>
  <c r="E53" i="70"/>
  <c r="I54" i="70" s="1"/>
  <c r="E65" i="70"/>
  <c r="I66" i="70" s="1"/>
  <c r="I71" i="70" s="1"/>
  <c r="J71" i="70" s="1"/>
  <c r="X90" i="70"/>
  <c r="Y93" i="70" s="1"/>
  <c r="S93" i="70"/>
  <c r="Y15" i="69"/>
  <c r="S91" i="69"/>
  <c r="X91" i="69" s="1"/>
  <c r="J16" i="69"/>
  <c r="B92" i="69"/>
  <c r="I92" i="69" s="1"/>
  <c r="B91" i="69"/>
  <c r="I91" i="69" s="1"/>
  <c r="E59" i="69"/>
  <c r="I60" i="69" s="1"/>
  <c r="I72" i="69" s="1"/>
  <c r="J72" i="69" s="1"/>
  <c r="E53" i="69"/>
  <c r="I54" i="69" s="1"/>
  <c r="E65" i="69"/>
  <c r="I66" i="69" s="1"/>
  <c r="I71" i="69" s="1"/>
  <c r="J71" i="69" s="1"/>
  <c r="E62" i="69"/>
  <c r="I63" i="69" s="1"/>
  <c r="I68" i="69" s="1"/>
  <c r="J68" i="69" s="1"/>
  <c r="J12" i="69"/>
  <c r="B90" i="69"/>
  <c r="I28" i="69"/>
  <c r="G33" i="69" s="1"/>
  <c r="E56" i="69" s="1"/>
  <c r="X12" i="69"/>
  <c r="T28" i="69"/>
  <c r="S92" i="69"/>
  <c r="X92" i="69" s="1"/>
  <c r="Y16" i="69"/>
  <c r="Y16" i="68"/>
  <c r="S92" i="68"/>
  <c r="X92" i="68" s="1"/>
  <c r="J15" i="68"/>
  <c r="B91" i="68"/>
  <c r="I91" i="68" s="1"/>
  <c r="J12" i="68"/>
  <c r="I28" i="68"/>
  <c r="G33" i="68" s="1"/>
  <c r="E56" i="68" s="1"/>
  <c r="I57" i="68" s="1"/>
  <c r="B90" i="68"/>
  <c r="J16" i="68"/>
  <c r="B92" i="68"/>
  <c r="I92" i="68" s="1"/>
  <c r="S91" i="68"/>
  <c r="X91" i="68" s="1"/>
  <c r="E59" i="68"/>
  <c r="I60" i="68" s="1"/>
  <c r="I72" i="68" s="1"/>
  <c r="J72" i="68" s="1"/>
  <c r="E62" i="68"/>
  <c r="I63" i="68" s="1"/>
  <c r="I68" i="68" s="1"/>
  <c r="J68" i="68" s="1"/>
  <c r="E65" i="68"/>
  <c r="I66" i="68" s="1"/>
  <c r="I71" i="68" s="1"/>
  <c r="J71" i="68" s="1"/>
  <c r="E53" i="68"/>
  <c r="I54" i="68" s="1"/>
  <c r="T28" i="68"/>
  <c r="X12" i="68"/>
  <c r="J16" i="67"/>
  <c r="B92" i="67"/>
  <c r="I92" i="67" s="1"/>
  <c r="I28" i="67"/>
  <c r="G33" i="67" s="1"/>
  <c r="E56" i="67" s="1"/>
  <c r="I57" i="67" s="1"/>
  <c r="J12" i="67"/>
  <c r="B90" i="67"/>
  <c r="J15" i="67"/>
  <c r="B91" i="67"/>
  <c r="I91" i="67" s="1"/>
  <c r="S92" i="67"/>
  <c r="X92" i="67" s="1"/>
  <c r="Y16" i="67"/>
  <c r="S91" i="67"/>
  <c r="X91" i="67" s="1"/>
  <c r="E59" i="67"/>
  <c r="I60" i="67" s="1"/>
  <c r="I72" i="67" s="1"/>
  <c r="J72" i="67" s="1"/>
  <c r="E65" i="67"/>
  <c r="I66" i="67" s="1"/>
  <c r="I71" i="67" s="1"/>
  <c r="J71" i="67" s="1"/>
  <c r="E53" i="67"/>
  <c r="I54" i="67" s="1"/>
  <c r="E62" i="67"/>
  <c r="I63" i="67" s="1"/>
  <c r="I68" i="67" s="1"/>
  <c r="J68" i="67" s="1"/>
  <c r="X12" i="67"/>
  <c r="T28" i="67"/>
  <c r="E59" i="66"/>
  <c r="I60" i="66" s="1"/>
  <c r="I72" i="66" s="1"/>
  <c r="J72" i="66" s="1"/>
  <c r="E62" i="66"/>
  <c r="I63" i="66" s="1"/>
  <c r="I68" i="66" s="1"/>
  <c r="J68" i="66" s="1"/>
  <c r="E65" i="66"/>
  <c r="I66" i="66" s="1"/>
  <c r="I71" i="66" s="1"/>
  <c r="J71" i="66" s="1"/>
  <c r="E53" i="66"/>
  <c r="I54" i="66" s="1"/>
  <c r="E59" i="65"/>
  <c r="I60" i="65" s="1"/>
  <c r="I72" i="65" s="1"/>
  <c r="J72" i="65" s="1"/>
  <c r="E65" i="65"/>
  <c r="I66" i="65" s="1"/>
  <c r="I71" i="65" s="1"/>
  <c r="J71" i="65" s="1"/>
  <c r="E62" i="65"/>
  <c r="I63" i="65" s="1"/>
  <c r="I68" i="65" s="1"/>
  <c r="J68" i="65" s="1"/>
  <c r="E53" i="65"/>
  <c r="I54" i="65" s="1"/>
  <c r="J12" i="65"/>
  <c r="J28" i="65" s="1"/>
  <c r="J33" i="65" s="1"/>
  <c r="B90" i="65"/>
  <c r="I28" i="65"/>
  <c r="G33" i="65" s="1"/>
  <c r="E56" i="65" s="1"/>
  <c r="S91" i="64"/>
  <c r="X91" i="64" s="1"/>
  <c r="J15" i="64"/>
  <c r="B91" i="64"/>
  <c r="I91" i="64" s="1"/>
  <c r="J12" i="64"/>
  <c r="I28" i="64"/>
  <c r="G33" i="64" s="1"/>
  <c r="E56" i="64" s="1"/>
  <c r="B90" i="64"/>
  <c r="Y16" i="64"/>
  <c r="S92" i="64"/>
  <c r="X92" i="64" s="1"/>
  <c r="T28" i="64"/>
  <c r="X12" i="64"/>
  <c r="J16" i="64"/>
  <c r="B92" i="64"/>
  <c r="I92" i="64" s="1"/>
  <c r="E59" i="64"/>
  <c r="I60" i="64" s="1"/>
  <c r="I72" i="64" s="1"/>
  <c r="J72" i="64" s="1"/>
  <c r="E65" i="64"/>
  <c r="I66" i="64" s="1"/>
  <c r="I71" i="64" s="1"/>
  <c r="J71" i="64" s="1"/>
  <c r="E62" i="64"/>
  <c r="I63" i="64" s="1"/>
  <c r="I68" i="64" s="1"/>
  <c r="J68" i="64" s="1"/>
  <c r="E53" i="64"/>
  <c r="I54" i="64" s="1"/>
  <c r="J16" i="63"/>
  <c r="B92" i="63"/>
  <c r="I92" i="63" s="1"/>
  <c r="X12" i="63"/>
  <c r="T28" i="63"/>
  <c r="S91" i="63"/>
  <c r="X91" i="63" s="1"/>
  <c r="Y14" i="63"/>
  <c r="Y16" i="63"/>
  <c r="S92" i="63"/>
  <c r="X92" i="63" s="1"/>
  <c r="E59" i="63"/>
  <c r="I60" i="63" s="1"/>
  <c r="I72" i="63" s="1"/>
  <c r="J72" i="63" s="1"/>
  <c r="E65" i="63"/>
  <c r="I66" i="63" s="1"/>
  <c r="I71" i="63" s="1"/>
  <c r="J71" i="63" s="1"/>
  <c r="E53" i="63"/>
  <c r="I54" i="63" s="1"/>
  <c r="E62" i="63"/>
  <c r="I63" i="63" s="1"/>
  <c r="I68" i="63" s="1"/>
  <c r="J68" i="63" s="1"/>
  <c r="J12" i="63"/>
  <c r="I28" i="63"/>
  <c r="G33" i="63" s="1"/>
  <c r="E56" i="63" s="1"/>
  <c r="I57" i="63" s="1"/>
  <c r="B90" i="63"/>
  <c r="B91" i="63"/>
  <c r="I91" i="63" s="1"/>
  <c r="J14" i="63"/>
  <c r="S91" i="62"/>
  <c r="X91" i="62" s="1"/>
  <c r="E59" i="62"/>
  <c r="I60" i="62" s="1"/>
  <c r="I72" i="62" s="1"/>
  <c r="J72" i="62" s="1"/>
  <c r="E62" i="62"/>
  <c r="I63" i="62" s="1"/>
  <c r="I68" i="62" s="1"/>
  <c r="J68" i="62" s="1"/>
  <c r="E65" i="62"/>
  <c r="I66" i="62" s="1"/>
  <c r="I71" i="62" s="1"/>
  <c r="J71" i="62" s="1"/>
  <c r="E53" i="62"/>
  <c r="I54" i="62" s="1"/>
  <c r="Y16" i="62"/>
  <c r="S92" i="62"/>
  <c r="X92" i="62" s="1"/>
  <c r="X12" i="62"/>
  <c r="T28" i="62"/>
  <c r="J16" i="62"/>
  <c r="B92" i="62"/>
  <c r="I92" i="62" s="1"/>
  <c r="J12" i="62"/>
  <c r="I28" i="62"/>
  <c r="G33" i="62" s="1"/>
  <c r="E56" i="62" s="1"/>
  <c r="I57" i="62" s="1"/>
  <c r="B90" i="62"/>
  <c r="J15" i="62"/>
  <c r="B91" i="62"/>
  <c r="I91" i="62" s="1"/>
  <c r="I28" i="61"/>
  <c r="G33" i="61" s="1"/>
  <c r="E56" i="61" s="1"/>
  <c r="I57" i="61" s="1"/>
  <c r="J12" i="61"/>
  <c r="J28" i="61" s="1"/>
  <c r="J33" i="61" s="1"/>
  <c r="B90" i="61"/>
  <c r="E59" i="61"/>
  <c r="I60" i="61" s="1"/>
  <c r="I72" i="61" s="1"/>
  <c r="J72" i="61" s="1"/>
  <c r="E65" i="61"/>
  <c r="I66" i="61" s="1"/>
  <c r="I71" i="61" s="1"/>
  <c r="J71" i="61" s="1"/>
  <c r="E53" i="61"/>
  <c r="I54" i="61" s="1"/>
  <c r="E62" i="61"/>
  <c r="I63" i="61" s="1"/>
  <c r="I68" i="61" s="1"/>
  <c r="J68" i="61" s="1"/>
  <c r="X87" i="60"/>
  <c r="Y87" i="60" s="1"/>
  <c r="E59" i="60"/>
  <c r="I60" i="60" s="1"/>
  <c r="I72" i="60" s="1"/>
  <c r="J72" i="60" s="1"/>
  <c r="E53" i="60"/>
  <c r="I54" i="60" s="1"/>
  <c r="E62" i="60"/>
  <c r="I63" i="60" s="1"/>
  <c r="I68" i="60" s="1"/>
  <c r="J68" i="60" s="1"/>
  <c r="E65" i="60"/>
  <c r="I66" i="60" s="1"/>
  <c r="I71" i="60" s="1"/>
  <c r="J71" i="60" s="1"/>
  <c r="B90" i="60"/>
  <c r="J12" i="60"/>
  <c r="J28" i="60" s="1"/>
  <c r="J33" i="60" s="1"/>
  <c r="I28" i="60"/>
  <c r="G33" i="60" s="1"/>
  <c r="E56" i="60" s="1"/>
  <c r="X90" i="60"/>
  <c r="Y93" i="60" s="1"/>
  <c r="S93" i="60"/>
  <c r="S91" i="59"/>
  <c r="X91" i="59" s="1"/>
  <c r="S92" i="59"/>
  <c r="X92" i="59" s="1"/>
  <c r="Y16" i="59"/>
  <c r="J16" i="59"/>
  <c r="B92" i="59"/>
  <c r="I92" i="59" s="1"/>
  <c r="J13" i="59"/>
  <c r="I28" i="59"/>
  <c r="G33" i="59" s="1"/>
  <c r="C56" i="59" s="1"/>
  <c r="B90" i="59"/>
  <c r="C59" i="59"/>
  <c r="I60" i="59" s="1"/>
  <c r="I72" i="59" s="1"/>
  <c r="J72" i="59" s="1"/>
  <c r="C65" i="59"/>
  <c r="I66" i="59" s="1"/>
  <c r="I71" i="59" s="1"/>
  <c r="J71" i="59" s="1"/>
  <c r="C53" i="59"/>
  <c r="I54" i="59" s="1"/>
  <c r="C62" i="59"/>
  <c r="I63" i="59" s="1"/>
  <c r="I68" i="59" s="1"/>
  <c r="J68" i="59" s="1"/>
  <c r="T28" i="59"/>
  <c r="Y12" i="59"/>
  <c r="X28" i="59"/>
  <c r="V33" i="59" s="1"/>
  <c r="S90" i="59"/>
  <c r="B90" i="58"/>
  <c r="I28" i="58"/>
  <c r="G33" i="58" s="1"/>
  <c r="C56" i="58" s="1"/>
  <c r="I57" i="58" s="1"/>
  <c r="J12" i="58"/>
  <c r="J28" i="58" s="1"/>
  <c r="J33" i="58" s="1"/>
  <c r="C59" i="58"/>
  <c r="I60" i="58" s="1"/>
  <c r="I72" i="58" s="1"/>
  <c r="J72" i="58" s="1"/>
  <c r="C53" i="58"/>
  <c r="I54" i="58" s="1"/>
  <c r="C62" i="58"/>
  <c r="I63" i="58" s="1"/>
  <c r="I68" i="58" s="1"/>
  <c r="J68" i="58" s="1"/>
  <c r="C65" i="58"/>
  <c r="I66" i="58" s="1"/>
  <c r="I71" i="58" s="1"/>
  <c r="J71" i="58" s="1"/>
  <c r="I57" i="105" l="1"/>
  <c r="X56" i="105"/>
  <c r="I57" i="104"/>
  <c r="X56" i="104"/>
  <c r="I57" i="103"/>
  <c r="X56" i="103"/>
  <c r="I57" i="102"/>
  <c r="I57" i="99"/>
  <c r="I86" i="99" s="1"/>
  <c r="J86" i="99" s="1"/>
  <c r="X56" i="99"/>
  <c r="I57" i="98"/>
  <c r="I86" i="98" s="1"/>
  <c r="J86" i="98" s="1"/>
  <c r="X56" i="98"/>
  <c r="I57" i="96"/>
  <c r="X56" i="96"/>
  <c r="I57" i="95"/>
  <c r="I86" i="95" s="1"/>
  <c r="J86" i="95" s="1"/>
  <c r="X56" i="95"/>
  <c r="I57" i="94"/>
  <c r="I85" i="94" s="1"/>
  <c r="J85" i="94" s="1"/>
  <c r="T55" i="94"/>
  <c r="X56" i="94" s="1"/>
  <c r="I57" i="93"/>
  <c r="I86" i="93" s="1"/>
  <c r="J86" i="93" s="1"/>
  <c r="X56" i="93"/>
  <c r="I57" i="92"/>
  <c r="I86" i="92" s="1"/>
  <c r="J86" i="92" s="1"/>
  <c r="X56" i="92"/>
  <c r="I57" i="91"/>
  <c r="I85" i="91" s="1"/>
  <c r="J85" i="91" s="1"/>
  <c r="T55" i="91"/>
  <c r="X56" i="91" s="1"/>
  <c r="I57" i="90"/>
  <c r="I86" i="90" s="1"/>
  <c r="J86" i="90" s="1"/>
  <c r="X56" i="90"/>
  <c r="I57" i="89"/>
  <c r="I85" i="89" s="1"/>
  <c r="J85" i="89" s="1"/>
  <c r="X56" i="89"/>
  <c r="I57" i="88"/>
  <c r="I86" i="88" s="1"/>
  <c r="J86" i="88" s="1"/>
  <c r="X56" i="88"/>
  <c r="I57" i="87"/>
  <c r="I86" i="87" s="1"/>
  <c r="J86" i="87" s="1"/>
  <c r="X56" i="87"/>
  <c r="I57" i="85"/>
  <c r="I86" i="85" s="1"/>
  <c r="J86" i="85" s="1"/>
  <c r="X56" i="85"/>
  <c r="X86" i="83"/>
  <c r="Y86" i="83" s="1"/>
  <c r="X85" i="83"/>
  <c r="Y85" i="83" s="1"/>
  <c r="I57" i="82"/>
  <c r="I86" i="82" s="1"/>
  <c r="J86" i="82" s="1"/>
  <c r="X56" i="82"/>
  <c r="I57" i="80"/>
  <c r="I86" i="80" s="1"/>
  <c r="J86" i="80" s="1"/>
  <c r="X56" i="80"/>
  <c r="I57" i="79"/>
  <c r="X56" i="79"/>
  <c r="I57" i="78"/>
  <c r="I86" i="78" s="1"/>
  <c r="J86" i="78" s="1"/>
  <c r="X56" i="78"/>
  <c r="I57" i="77"/>
  <c r="I86" i="77" s="1"/>
  <c r="J86" i="77" s="1"/>
  <c r="I57" i="75"/>
  <c r="I86" i="75" s="1"/>
  <c r="J86" i="75" s="1"/>
  <c r="X56" i="75"/>
  <c r="I57" i="74"/>
  <c r="I86" i="74" s="1"/>
  <c r="J86" i="74" s="1"/>
  <c r="X56" i="74"/>
  <c r="I57" i="73"/>
  <c r="I85" i="73" s="1"/>
  <c r="J85" i="73" s="1"/>
  <c r="X56" i="73"/>
  <c r="I57" i="72"/>
  <c r="I86" i="72" s="1"/>
  <c r="J86" i="72" s="1"/>
  <c r="X56" i="72"/>
  <c r="I57" i="70"/>
  <c r="I86" i="70" s="1"/>
  <c r="J86" i="70" s="1"/>
  <c r="X56" i="70"/>
  <c r="I57" i="69"/>
  <c r="I86" i="69" s="1"/>
  <c r="J86" i="69" s="1"/>
  <c r="I57" i="65"/>
  <c r="I86" i="65" s="1"/>
  <c r="J86" i="65" s="1"/>
  <c r="X56" i="65"/>
  <c r="I57" i="64"/>
  <c r="I86" i="64" s="1"/>
  <c r="J86" i="64" s="1"/>
  <c r="T55" i="101"/>
  <c r="T52" i="101"/>
  <c r="X53" i="101" s="1"/>
  <c r="E56" i="101"/>
  <c r="I57" i="101" s="1"/>
  <c r="J93" i="66"/>
  <c r="Y107" i="84"/>
  <c r="Y109" i="84" s="1"/>
  <c r="J111" i="84" s="1"/>
  <c r="I57" i="60"/>
  <c r="I86" i="60" s="1"/>
  <c r="J86" i="60" s="1"/>
  <c r="T55" i="60"/>
  <c r="X56" i="60" s="1"/>
  <c r="I57" i="97"/>
  <c r="I86" i="97" s="1"/>
  <c r="J86" i="97" s="1"/>
  <c r="T55" i="97"/>
  <c r="X56" i="97" s="1"/>
  <c r="I57" i="59"/>
  <c r="I86" i="59" s="1"/>
  <c r="J86" i="59" s="1"/>
  <c r="X56" i="59"/>
  <c r="J28" i="101"/>
  <c r="J33" i="101" s="1"/>
  <c r="J28" i="59"/>
  <c r="J33" i="59" s="1"/>
  <c r="X85" i="66"/>
  <c r="Y85" i="66" s="1"/>
  <c r="S93" i="66"/>
  <c r="B93" i="66"/>
  <c r="T61" i="101"/>
  <c r="X62" i="101" s="1"/>
  <c r="X67" i="101" s="1"/>
  <c r="Y67" i="101" s="1"/>
  <c r="T58" i="101"/>
  <c r="X59" i="101" s="1"/>
  <c r="X71" i="101" s="1"/>
  <c r="Y71" i="101" s="1"/>
  <c r="T64" i="101"/>
  <c r="X65" i="101" s="1"/>
  <c r="X70" i="101" s="1"/>
  <c r="Y70" i="101" s="1"/>
  <c r="Y13" i="101"/>
  <c r="Y28" i="101" s="1"/>
  <c r="Y33" i="101" s="1"/>
  <c r="S90" i="101"/>
  <c r="X28" i="101"/>
  <c r="V33" i="101" s="1"/>
  <c r="Y13" i="76"/>
  <c r="Y28" i="76" s="1"/>
  <c r="Y33" i="76" s="1"/>
  <c r="S90" i="76"/>
  <c r="X28" i="76"/>
  <c r="V33" i="76" s="1"/>
  <c r="X56" i="76" s="1"/>
  <c r="T58" i="76"/>
  <c r="X59" i="76" s="1"/>
  <c r="X71" i="76" s="1"/>
  <c r="Y71" i="76" s="1"/>
  <c r="T64" i="76"/>
  <c r="X65" i="76" s="1"/>
  <c r="X70" i="76" s="1"/>
  <c r="Y70" i="76" s="1"/>
  <c r="T52" i="76"/>
  <c r="X53" i="76" s="1"/>
  <c r="T61" i="76"/>
  <c r="X62" i="76" s="1"/>
  <c r="X67" i="76" s="1"/>
  <c r="Y67" i="76" s="1"/>
  <c r="X90" i="66"/>
  <c r="Y93" i="66" s="1"/>
  <c r="T58" i="66"/>
  <c r="X59" i="66" s="1"/>
  <c r="X71" i="66" s="1"/>
  <c r="Y71" i="66" s="1"/>
  <c r="T64" i="66"/>
  <c r="X65" i="66" s="1"/>
  <c r="X70" i="66" s="1"/>
  <c r="Y70" i="66" s="1"/>
  <c r="T52" i="66"/>
  <c r="X53" i="66" s="1"/>
  <c r="T61" i="66"/>
  <c r="X62" i="66" s="1"/>
  <c r="X67" i="66" s="1"/>
  <c r="Y67" i="66" s="1"/>
  <c r="E56" i="66"/>
  <c r="I57" i="66" s="1"/>
  <c r="T64" i="61"/>
  <c r="X65" i="61" s="1"/>
  <c r="X70" i="61" s="1"/>
  <c r="Y70" i="61" s="1"/>
  <c r="T58" i="61"/>
  <c r="X59" i="61" s="1"/>
  <c r="X71" i="61" s="1"/>
  <c r="Y71" i="61" s="1"/>
  <c r="T52" i="61"/>
  <c r="X53" i="61" s="1"/>
  <c r="T61" i="61"/>
  <c r="X62" i="61" s="1"/>
  <c r="X67" i="61" s="1"/>
  <c r="Y67" i="61" s="1"/>
  <c r="Y13" i="61"/>
  <c r="Y28" i="61" s="1"/>
  <c r="Y33" i="61" s="1"/>
  <c r="S90" i="61"/>
  <c r="X28" i="61"/>
  <c r="V33" i="61" s="1"/>
  <c r="X56" i="61" s="1"/>
  <c r="Y28" i="59"/>
  <c r="Y33" i="59" s="1"/>
  <c r="T58" i="58"/>
  <c r="X59" i="58" s="1"/>
  <c r="X71" i="58" s="1"/>
  <c r="Y71" i="58" s="1"/>
  <c r="T52" i="58"/>
  <c r="X53" i="58" s="1"/>
  <c r="T61" i="58"/>
  <c r="X62" i="58" s="1"/>
  <c r="X67" i="58" s="1"/>
  <c r="Y67" i="58" s="1"/>
  <c r="T64" i="58"/>
  <c r="X65" i="58" s="1"/>
  <c r="X70" i="58" s="1"/>
  <c r="Y70" i="58" s="1"/>
  <c r="Y13" i="58"/>
  <c r="Y28" i="58" s="1"/>
  <c r="Y33" i="58" s="1"/>
  <c r="S90" i="58"/>
  <c r="X28" i="58"/>
  <c r="V33" i="58" s="1"/>
  <c r="X56" i="58" s="1"/>
  <c r="I87" i="105"/>
  <c r="J87" i="105" s="1"/>
  <c r="I70" i="105"/>
  <c r="B93" i="105"/>
  <c r="I90" i="105"/>
  <c r="J93" i="105" s="1"/>
  <c r="I86" i="105"/>
  <c r="J86" i="105" s="1"/>
  <c r="I85" i="105"/>
  <c r="J85" i="105" s="1"/>
  <c r="I86" i="104"/>
  <c r="J86" i="104" s="1"/>
  <c r="I85" i="104"/>
  <c r="J85" i="104" s="1"/>
  <c r="B93" i="104"/>
  <c r="I90" i="104"/>
  <c r="J93" i="104" s="1"/>
  <c r="I70" i="104"/>
  <c r="I87" i="104"/>
  <c r="J87" i="104" s="1"/>
  <c r="I70" i="103"/>
  <c r="I87" i="103"/>
  <c r="J87" i="103" s="1"/>
  <c r="B93" i="103"/>
  <c r="I90" i="103"/>
  <c r="J93" i="103" s="1"/>
  <c r="I86" i="103"/>
  <c r="J86" i="103" s="1"/>
  <c r="I85" i="103"/>
  <c r="J85" i="103" s="1"/>
  <c r="J28" i="102"/>
  <c r="J33" i="102" s="1"/>
  <c r="I70" i="102"/>
  <c r="I87" i="102"/>
  <c r="J87" i="102" s="1"/>
  <c r="Y12" i="102"/>
  <c r="Y28" i="102" s="1"/>
  <c r="Y33" i="102" s="1"/>
  <c r="X28" i="102"/>
  <c r="V33" i="102" s="1"/>
  <c r="X56" i="102" s="1"/>
  <c r="S90" i="102"/>
  <c r="B93" i="102"/>
  <c r="I90" i="102"/>
  <c r="J93" i="102" s="1"/>
  <c r="T52" i="102"/>
  <c r="X53" i="102" s="1"/>
  <c r="T64" i="102"/>
  <c r="X65" i="102" s="1"/>
  <c r="X70" i="102" s="1"/>
  <c r="Y70" i="102" s="1"/>
  <c r="T58" i="102"/>
  <c r="X59" i="102" s="1"/>
  <c r="X71" i="102" s="1"/>
  <c r="Y71" i="102" s="1"/>
  <c r="T61" i="102"/>
  <c r="X62" i="102" s="1"/>
  <c r="X67" i="102" s="1"/>
  <c r="Y67" i="102" s="1"/>
  <c r="I86" i="102"/>
  <c r="J86" i="102" s="1"/>
  <c r="I85" i="102"/>
  <c r="J85" i="102" s="1"/>
  <c r="B93" i="101"/>
  <c r="I90" i="101"/>
  <c r="J93" i="101" s="1"/>
  <c r="I87" i="101"/>
  <c r="J87" i="101" s="1"/>
  <c r="I70" i="101"/>
  <c r="I87" i="100"/>
  <c r="J87" i="100" s="1"/>
  <c r="I70" i="100"/>
  <c r="I86" i="100"/>
  <c r="J86" i="100" s="1"/>
  <c r="I85" i="100"/>
  <c r="J85" i="100" s="1"/>
  <c r="B93" i="100"/>
  <c r="I90" i="100"/>
  <c r="J93" i="100" s="1"/>
  <c r="B93" i="99"/>
  <c r="I90" i="99"/>
  <c r="J93" i="99" s="1"/>
  <c r="I87" i="99"/>
  <c r="J87" i="99" s="1"/>
  <c r="I70" i="99"/>
  <c r="I70" i="98"/>
  <c r="J70" i="98" s="1"/>
  <c r="I87" i="98"/>
  <c r="J87" i="98" s="1"/>
  <c r="B93" i="98"/>
  <c r="I90" i="98"/>
  <c r="J93" i="98" s="1"/>
  <c r="I70" i="97"/>
  <c r="I87" i="97"/>
  <c r="J87" i="97" s="1"/>
  <c r="B93" i="97"/>
  <c r="I90" i="97"/>
  <c r="J93" i="97" s="1"/>
  <c r="I70" i="96"/>
  <c r="I87" i="96"/>
  <c r="J87" i="96" s="1"/>
  <c r="B93" i="96"/>
  <c r="I90" i="96"/>
  <c r="J93" i="96" s="1"/>
  <c r="I86" i="96"/>
  <c r="J86" i="96" s="1"/>
  <c r="I85" i="96"/>
  <c r="J85" i="96" s="1"/>
  <c r="I85" i="95"/>
  <c r="J85" i="95" s="1"/>
  <c r="I87" i="95"/>
  <c r="J87" i="95" s="1"/>
  <c r="I70" i="95"/>
  <c r="B93" i="95"/>
  <c r="I90" i="95"/>
  <c r="J93" i="95" s="1"/>
  <c r="I70" i="94"/>
  <c r="I87" i="94"/>
  <c r="J87" i="94" s="1"/>
  <c r="B93" i="94"/>
  <c r="I90" i="94"/>
  <c r="J93" i="94" s="1"/>
  <c r="I87" i="93"/>
  <c r="J87" i="93" s="1"/>
  <c r="I70" i="93"/>
  <c r="B93" i="93"/>
  <c r="I90" i="93"/>
  <c r="J93" i="93" s="1"/>
  <c r="I87" i="92"/>
  <c r="J87" i="92" s="1"/>
  <c r="I70" i="92"/>
  <c r="B93" i="92"/>
  <c r="I90" i="92"/>
  <c r="J93" i="92" s="1"/>
  <c r="B93" i="91"/>
  <c r="I90" i="91"/>
  <c r="J93" i="91" s="1"/>
  <c r="I70" i="91"/>
  <c r="I87" i="91"/>
  <c r="J87" i="91" s="1"/>
  <c r="B93" i="90"/>
  <c r="I90" i="90"/>
  <c r="J93" i="90" s="1"/>
  <c r="I70" i="90"/>
  <c r="I87" i="90"/>
  <c r="J87" i="90" s="1"/>
  <c r="I70" i="89"/>
  <c r="I87" i="89"/>
  <c r="J87" i="89" s="1"/>
  <c r="B93" i="89"/>
  <c r="I90" i="89"/>
  <c r="J93" i="89" s="1"/>
  <c r="I70" i="88"/>
  <c r="I87" i="88"/>
  <c r="J87" i="88" s="1"/>
  <c r="B93" i="88"/>
  <c r="I90" i="88"/>
  <c r="J93" i="88" s="1"/>
  <c r="I70" i="87"/>
  <c r="I87" i="87"/>
  <c r="J87" i="87" s="1"/>
  <c r="B93" i="87"/>
  <c r="I90" i="87"/>
  <c r="J93" i="87" s="1"/>
  <c r="I70" i="86"/>
  <c r="I87" i="86"/>
  <c r="J87" i="86" s="1"/>
  <c r="I86" i="86"/>
  <c r="J86" i="86" s="1"/>
  <c r="I85" i="86"/>
  <c r="J85" i="86" s="1"/>
  <c r="B93" i="86"/>
  <c r="I90" i="86"/>
  <c r="J93" i="86" s="1"/>
  <c r="B93" i="85"/>
  <c r="I90" i="85"/>
  <c r="J93" i="85" s="1"/>
  <c r="I70" i="85"/>
  <c r="I87" i="85"/>
  <c r="J87" i="85" s="1"/>
  <c r="B93" i="84"/>
  <c r="I90" i="84"/>
  <c r="J93" i="84" s="1"/>
  <c r="I70" i="84"/>
  <c r="J70" i="84" s="1"/>
  <c r="I87" i="84"/>
  <c r="J87" i="84" s="1"/>
  <c r="I86" i="84"/>
  <c r="J86" i="84" s="1"/>
  <c r="I85" i="84"/>
  <c r="J85" i="84" s="1"/>
  <c r="I70" i="83"/>
  <c r="J70" i="83" s="1"/>
  <c r="I87" i="83"/>
  <c r="J87" i="83" s="1"/>
  <c r="B93" i="82"/>
  <c r="I90" i="82"/>
  <c r="J93" i="82" s="1"/>
  <c r="I70" i="82"/>
  <c r="I87" i="82"/>
  <c r="J87" i="82" s="1"/>
  <c r="I86" i="81"/>
  <c r="J86" i="81" s="1"/>
  <c r="I85" i="81"/>
  <c r="J85" i="81" s="1"/>
  <c r="B93" i="81"/>
  <c r="I90" i="81"/>
  <c r="J93" i="81" s="1"/>
  <c r="I70" i="81"/>
  <c r="I87" i="81"/>
  <c r="J87" i="81" s="1"/>
  <c r="I70" i="80"/>
  <c r="I87" i="80"/>
  <c r="J87" i="80" s="1"/>
  <c r="B93" i="80"/>
  <c r="I90" i="80"/>
  <c r="J93" i="80" s="1"/>
  <c r="Y109" i="79"/>
  <c r="J111" i="79" s="1"/>
  <c r="B93" i="79"/>
  <c r="I90" i="79"/>
  <c r="J93" i="79" s="1"/>
  <c r="I70" i="79"/>
  <c r="I87" i="79"/>
  <c r="J87" i="79" s="1"/>
  <c r="I86" i="79"/>
  <c r="J86" i="79" s="1"/>
  <c r="I85" i="79"/>
  <c r="J85" i="79" s="1"/>
  <c r="B93" i="78"/>
  <c r="I90" i="78"/>
  <c r="J93" i="78" s="1"/>
  <c r="I70" i="78"/>
  <c r="I87" i="78"/>
  <c r="J87" i="78" s="1"/>
  <c r="I70" i="77"/>
  <c r="I87" i="77"/>
  <c r="J87" i="77" s="1"/>
  <c r="X28" i="77"/>
  <c r="V33" i="77" s="1"/>
  <c r="Y12" i="77"/>
  <c r="Y28" i="77" s="1"/>
  <c r="Y33" i="77" s="1"/>
  <c r="S90" i="77"/>
  <c r="B93" i="77"/>
  <c r="I90" i="77"/>
  <c r="J93" i="77" s="1"/>
  <c r="T58" i="77"/>
  <c r="X59" i="77" s="1"/>
  <c r="X71" i="77" s="1"/>
  <c r="Y71" i="77" s="1"/>
  <c r="T64" i="77"/>
  <c r="X65" i="77" s="1"/>
  <c r="X70" i="77" s="1"/>
  <c r="Y70" i="77" s="1"/>
  <c r="X53" i="77"/>
  <c r="T61" i="77"/>
  <c r="X62" i="77" s="1"/>
  <c r="X67" i="77" s="1"/>
  <c r="Y67" i="77" s="1"/>
  <c r="J28" i="77"/>
  <c r="J33" i="77" s="1"/>
  <c r="B93" i="76"/>
  <c r="I90" i="76"/>
  <c r="J93" i="76" s="1"/>
  <c r="I70" i="76"/>
  <c r="I87" i="76"/>
  <c r="J87" i="76" s="1"/>
  <c r="I86" i="76"/>
  <c r="J86" i="76" s="1"/>
  <c r="I85" i="76"/>
  <c r="J85" i="76" s="1"/>
  <c r="B93" i="75"/>
  <c r="I90" i="75"/>
  <c r="J93" i="75" s="1"/>
  <c r="I70" i="75"/>
  <c r="I87" i="75"/>
  <c r="J87" i="75" s="1"/>
  <c r="B93" i="74"/>
  <c r="I90" i="74"/>
  <c r="J93" i="74" s="1"/>
  <c r="I87" i="74"/>
  <c r="J87" i="74" s="1"/>
  <c r="I70" i="74"/>
  <c r="B93" i="73"/>
  <c r="I90" i="73"/>
  <c r="J93" i="73" s="1"/>
  <c r="I70" i="73"/>
  <c r="I87" i="73"/>
  <c r="J87" i="73" s="1"/>
  <c r="B93" i="72"/>
  <c r="I90" i="72"/>
  <c r="J93" i="72" s="1"/>
  <c r="I70" i="72"/>
  <c r="I87" i="72"/>
  <c r="J87" i="72" s="1"/>
  <c r="B93" i="71"/>
  <c r="I90" i="71"/>
  <c r="J93" i="71" s="1"/>
  <c r="I70" i="71"/>
  <c r="I87" i="71"/>
  <c r="J87" i="71" s="1"/>
  <c r="I85" i="71"/>
  <c r="J85" i="71" s="1"/>
  <c r="I86" i="71"/>
  <c r="J86" i="71" s="1"/>
  <c r="I70" i="70"/>
  <c r="I87" i="70"/>
  <c r="J87" i="70" s="1"/>
  <c r="B93" i="70"/>
  <c r="I90" i="70"/>
  <c r="J93" i="70" s="1"/>
  <c r="T61" i="69"/>
  <c r="X62" i="69" s="1"/>
  <c r="X67" i="69" s="1"/>
  <c r="Y67" i="69" s="1"/>
  <c r="T58" i="69"/>
  <c r="X59" i="69" s="1"/>
  <c r="X71" i="69" s="1"/>
  <c r="Y71" i="69" s="1"/>
  <c r="T64" i="69"/>
  <c r="X65" i="69" s="1"/>
  <c r="X70" i="69" s="1"/>
  <c r="Y70" i="69" s="1"/>
  <c r="T52" i="69"/>
  <c r="X53" i="69" s="1"/>
  <c r="B93" i="69"/>
  <c r="I90" i="69"/>
  <c r="J93" i="69" s="1"/>
  <c r="Y12" i="69"/>
  <c r="Y28" i="69" s="1"/>
  <c r="Y33" i="69" s="1"/>
  <c r="X28" i="69"/>
  <c r="V33" i="69" s="1"/>
  <c r="S90" i="69"/>
  <c r="J28" i="69"/>
  <c r="J33" i="69" s="1"/>
  <c r="I87" i="69"/>
  <c r="J87" i="69" s="1"/>
  <c r="I70" i="69"/>
  <c r="I87" i="68"/>
  <c r="J87" i="68" s="1"/>
  <c r="I70" i="68"/>
  <c r="B93" i="68"/>
  <c r="I90" i="68"/>
  <c r="J93" i="68" s="1"/>
  <c r="T64" i="68"/>
  <c r="X65" i="68" s="1"/>
  <c r="X70" i="68" s="1"/>
  <c r="Y70" i="68" s="1"/>
  <c r="T58" i="68"/>
  <c r="X59" i="68" s="1"/>
  <c r="X71" i="68" s="1"/>
  <c r="Y71" i="68" s="1"/>
  <c r="T61" i="68"/>
  <c r="X62" i="68" s="1"/>
  <c r="X67" i="68" s="1"/>
  <c r="Y67" i="68" s="1"/>
  <c r="T52" i="68"/>
  <c r="X53" i="68" s="1"/>
  <c r="I86" i="68"/>
  <c r="J86" i="68" s="1"/>
  <c r="I85" i="68"/>
  <c r="J85" i="68" s="1"/>
  <c r="Y12" i="68"/>
  <c r="Y28" i="68" s="1"/>
  <c r="Y33" i="68" s="1"/>
  <c r="X28" i="68"/>
  <c r="V33" i="68" s="1"/>
  <c r="X56" i="68" s="1"/>
  <c r="S90" i="68"/>
  <c r="J28" i="68"/>
  <c r="J33" i="68" s="1"/>
  <c r="T64" i="67"/>
  <c r="X65" i="67" s="1"/>
  <c r="X70" i="67" s="1"/>
  <c r="Y70" i="67" s="1"/>
  <c r="T52" i="67"/>
  <c r="X53" i="67" s="1"/>
  <c r="T58" i="67"/>
  <c r="X59" i="67" s="1"/>
  <c r="X71" i="67" s="1"/>
  <c r="Y71" i="67" s="1"/>
  <c r="T61" i="67"/>
  <c r="X62" i="67" s="1"/>
  <c r="X67" i="67" s="1"/>
  <c r="Y67" i="67" s="1"/>
  <c r="S90" i="67"/>
  <c r="Y12" i="67"/>
  <c r="Y28" i="67" s="1"/>
  <c r="Y33" i="67" s="1"/>
  <c r="X28" i="67"/>
  <c r="V33" i="67" s="1"/>
  <c r="X56" i="67" s="1"/>
  <c r="I70" i="67"/>
  <c r="I87" i="67"/>
  <c r="J87" i="67" s="1"/>
  <c r="J28" i="67"/>
  <c r="J33" i="67" s="1"/>
  <c r="I86" i="67"/>
  <c r="J86" i="67" s="1"/>
  <c r="I85" i="67"/>
  <c r="J85" i="67" s="1"/>
  <c r="B93" i="67"/>
  <c r="I90" i="67"/>
  <c r="J93" i="67" s="1"/>
  <c r="I70" i="66"/>
  <c r="I87" i="66"/>
  <c r="J87" i="66" s="1"/>
  <c r="B93" i="65"/>
  <c r="I90" i="65"/>
  <c r="J93" i="65" s="1"/>
  <c r="I70" i="65"/>
  <c r="I87" i="65"/>
  <c r="J87" i="65" s="1"/>
  <c r="T52" i="64"/>
  <c r="X53" i="64" s="1"/>
  <c r="T58" i="64"/>
  <c r="X59" i="64" s="1"/>
  <c r="X71" i="64" s="1"/>
  <c r="Y71" i="64" s="1"/>
  <c r="T64" i="64"/>
  <c r="X65" i="64" s="1"/>
  <c r="X70" i="64" s="1"/>
  <c r="Y70" i="64" s="1"/>
  <c r="T61" i="64"/>
  <c r="X62" i="64" s="1"/>
  <c r="X67" i="64" s="1"/>
  <c r="Y67" i="64" s="1"/>
  <c r="J28" i="64"/>
  <c r="J33" i="64" s="1"/>
  <c r="I70" i="64"/>
  <c r="I87" i="64"/>
  <c r="J87" i="64" s="1"/>
  <c r="B93" i="64"/>
  <c r="I90" i="64"/>
  <c r="J93" i="64" s="1"/>
  <c r="X28" i="64"/>
  <c r="V33" i="64" s="1"/>
  <c r="X56" i="64" s="1"/>
  <c r="S90" i="64"/>
  <c r="Y12" i="64"/>
  <c r="Y28" i="64" s="1"/>
  <c r="Y33" i="64" s="1"/>
  <c r="J28" i="63"/>
  <c r="J33" i="63" s="1"/>
  <c r="I70" i="63"/>
  <c r="I87" i="63"/>
  <c r="J87" i="63" s="1"/>
  <c r="I86" i="63"/>
  <c r="J86" i="63" s="1"/>
  <c r="I85" i="63"/>
  <c r="J85" i="63" s="1"/>
  <c r="Y12" i="63"/>
  <c r="Y28" i="63" s="1"/>
  <c r="Y33" i="63" s="1"/>
  <c r="X28" i="63"/>
  <c r="V33" i="63" s="1"/>
  <c r="X56" i="63" s="1"/>
  <c r="S90" i="63"/>
  <c r="B93" i="63"/>
  <c r="I90" i="63"/>
  <c r="J93" i="63" s="1"/>
  <c r="T58" i="63"/>
  <c r="X59" i="63" s="1"/>
  <c r="X71" i="63" s="1"/>
  <c r="Y71" i="63" s="1"/>
  <c r="T64" i="63"/>
  <c r="X65" i="63" s="1"/>
  <c r="X70" i="63" s="1"/>
  <c r="Y70" i="63" s="1"/>
  <c r="T52" i="63"/>
  <c r="X53" i="63" s="1"/>
  <c r="T61" i="63"/>
  <c r="X62" i="63" s="1"/>
  <c r="X67" i="63" s="1"/>
  <c r="Y67" i="63" s="1"/>
  <c r="T64" i="62"/>
  <c r="X65" i="62" s="1"/>
  <c r="X70" i="62" s="1"/>
  <c r="Y70" i="62" s="1"/>
  <c r="T52" i="62"/>
  <c r="X53" i="62" s="1"/>
  <c r="T61" i="62"/>
  <c r="X62" i="62" s="1"/>
  <c r="X67" i="62" s="1"/>
  <c r="Y67" i="62" s="1"/>
  <c r="T58" i="62"/>
  <c r="X59" i="62" s="1"/>
  <c r="X71" i="62" s="1"/>
  <c r="Y71" i="62" s="1"/>
  <c r="B93" i="62"/>
  <c r="I90" i="62"/>
  <c r="J93" i="62" s="1"/>
  <c r="J28" i="62"/>
  <c r="J33" i="62" s="1"/>
  <c r="Y12" i="62"/>
  <c r="Y28" i="62" s="1"/>
  <c r="Y33" i="62" s="1"/>
  <c r="X28" i="62"/>
  <c r="V33" i="62" s="1"/>
  <c r="X56" i="62" s="1"/>
  <c r="S90" i="62"/>
  <c r="I86" i="62"/>
  <c r="J86" i="62" s="1"/>
  <c r="I85" i="62"/>
  <c r="J85" i="62" s="1"/>
  <c r="I70" i="62"/>
  <c r="I87" i="62"/>
  <c r="J87" i="62" s="1"/>
  <c r="I70" i="61"/>
  <c r="I87" i="61"/>
  <c r="J87" i="61" s="1"/>
  <c r="I86" i="61"/>
  <c r="J86" i="61" s="1"/>
  <c r="I85" i="61"/>
  <c r="J85" i="61" s="1"/>
  <c r="B93" i="61"/>
  <c r="I90" i="61"/>
  <c r="J93" i="61" s="1"/>
  <c r="B93" i="60"/>
  <c r="I90" i="60"/>
  <c r="J93" i="60" s="1"/>
  <c r="I70" i="60"/>
  <c r="I87" i="60"/>
  <c r="J87" i="60" s="1"/>
  <c r="S93" i="59"/>
  <c r="X90" i="59"/>
  <c r="Y93" i="59" s="1"/>
  <c r="T58" i="59"/>
  <c r="X59" i="59" s="1"/>
  <c r="X71" i="59" s="1"/>
  <c r="Y71" i="59" s="1"/>
  <c r="T52" i="59"/>
  <c r="X53" i="59" s="1"/>
  <c r="T64" i="59"/>
  <c r="X65" i="59" s="1"/>
  <c r="X70" i="59" s="1"/>
  <c r="Y70" i="59" s="1"/>
  <c r="T61" i="59"/>
  <c r="X62" i="59" s="1"/>
  <c r="X67" i="59" s="1"/>
  <c r="Y67" i="59" s="1"/>
  <c r="I70" i="59"/>
  <c r="I87" i="59"/>
  <c r="J87" i="59" s="1"/>
  <c r="B93" i="59"/>
  <c r="I90" i="59"/>
  <c r="J93" i="59" s="1"/>
  <c r="Y38" i="58"/>
  <c r="B93" i="58"/>
  <c r="I90" i="58"/>
  <c r="J93" i="58" s="1"/>
  <c r="I70" i="58"/>
  <c r="I87" i="58"/>
  <c r="J87" i="58" s="1"/>
  <c r="I86" i="58"/>
  <c r="J86" i="58" s="1"/>
  <c r="I85" i="58"/>
  <c r="J85" i="58" s="1"/>
  <c r="Y107" i="83" l="1"/>
  <c r="Y109" i="83" s="1"/>
  <c r="J111" i="83" s="1"/>
  <c r="I85" i="88"/>
  <c r="J85" i="88" s="1"/>
  <c r="I85" i="93"/>
  <c r="J85" i="93" s="1"/>
  <c r="I85" i="90"/>
  <c r="J85" i="90" s="1"/>
  <c r="I86" i="89"/>
  <c r="J86" i="89" s="1"/>
  <c r="I85" i="82"/>
  <c r="J85" i="82" s="1"/>
  <c r="I85" i="99"/>
  <c r="J85" i="99" s="1"/>
  <c r="I85" i="78"/>
  <c r="J85" i="78" s="1"/>
  <c r="I85" i="98"/>
  <c r="J85" i="98" s="1"/>
  <c r="I85" i="85"/>
  <c r="J85" i="85" s="1"/>
  <c r="I85" i="87"/>
  <c r="J85" i="87" s="1"/>
  <c r="I85" i="92"/>
  <c r="J85" i="92" s="1"/>
  <c r="I86" i="94"/>
  <c r="J86" i="94" s="1"/>
  <c r="X86" i="105"/>
  <c r="Y86" i="105" s="1"/>
  <c r="X85" i="105"/>
  <c r="Y85" i="105" s="1"/>
  <c r="X86" i="104"/>
  <c r="Y86" i="104" s="1"/>
  <c r="X85" i="104"/>
  <c r="Y85" i="104" s="1"/>
  <c r="X85" i="103"/>
  <c r="Y85" i="103" s="1"/>
  <c r="X86" i="103"/>
  <c r="Y86" i="103" s="1"/>
  <c r="X86" i="99"/>
  <c r="Y86" i="99" s="1"/>
  <c r="X85" i="99"/>
  <c r="Y85" i="99" s="1"/>
  <c r="X86" i="98"/>
  <c r="Y86" i="98" s="1"/>
  <c r="X85" i="98"/>
  <c r="Y85" i="98" s="1"/>
  <c r="X86" i="96"/>
  <c r="Y86" i="96" s="1"/>
  <c r="X85" i="96"/>
  <c r="Y85" i="96" s="1"/>
  <c r="X86" i="95"/>
  <c r="Y86" i="95" s="1"/>
  <c r="X85" i="95"/>
  <c r="Y85" i="95" s="1"/>
  <c r="X86" i="94"/>
  <c r="Y86" i="94" s="1"/>
  <c r="X85" i="94"/>
  <c r="Y85" i="94" s="1"/>
  <c r="X85" i="93"/>
  <c r="Y85" i="93" s="1"/>
  <c r="X86" i="93"/>
  <c r="Y86" i="93" s="1"/>
  <c r="X86" i="92"/>
  <c r="Y86" i="92" s="1"/>
  <c r="X85" i="92"/>
  <c r="Y85" i="92" s="1"/>
  <c r="I86" i="91"/>
  <c r="J86" i="91" s="1"/>
  <c r="X85" i="91"/>
  <c r="Y85" i="91" s="1"/>
  <c r="X86" i="91"/>
  <c r="Y86" i="91" s="1"/>
  <c r="X86" i="90"/>
  <c r="Y86" i="90" s="1"/>
  <c r="X85" i="90"/>
  <c r="Y85" i="90" s="1"/>
  <c r="X86" i="89"/>
  <c r="Y86" i="89" s="1"/>
  <c r="X85" i="89"/>
  <c r="Y85" i="89" s="1"/>
  <c r="X86" i="88"/>
  <c r="Y86" i="88" s="1"/>
  <c r="X85" i="88"/>
  <c r="Y85" i="88" s="1"/>
  <c r="X86" i="87"/>
  <c r="Y86" i="87" s="1"/>
  <c r="X85" i="87"/>
  <c r="Y85" i="87" s="1"/>
  <c r="X85" i="85"/>
  <c r="Y85" i="85" s="1"/>
  <c r="X86" i="85"/>
  <c r="Y86" i="85" s="1"/>
  <c r="X85" i="82"/>
  <c r="Y85" i="82" s="1"/>
  <c r="X86" i="82"/>
  <c r="Y86" i="82" s="1"/>
  <c r="X56" i="77"/>
  <c r="X86" i="77" s="1"/>
  <c r="Y86" i="77" s="1"/>
  <c r="I85" i="70"/>
  <c r="J85" i="70" s="1"/>
  <c r="I86" i="73"/>
  <c r="J86" i="73" s="1"/>
  <c r="I85" i="80"/>
  <c r="J85" i="80" s="1"/>
  <c r="I85" i="64"/>
  <c r="J85" i="64" s="1"/>
  <c r="I85" i="69"/>
  <c r="J85" i="69" s="1"/>
  <c r="X86" i="80"/>
  <c r="Y86" i="80" s="1"/>
  <c r="X85" i="80"/>
  <c r="Y85" i="80" s="1"/>
  <c r="X85" i="79"/>
  <c r="Y85" i="79" s="1"/>
  <c r="X86" i="79"/>
  <c r="Y86" i="79" s="1"/>
  <c r="X85" i="78"/>
  <c r="Y85" i="78" s="1"/>
  <c r="X86" i="78"/>
  <c r="Y86" i="78" s="1"/>
  <c r="I85" i="77"/>
  <c r="J85" i="77" s="1"/>
  <c r="I85" i="75"/>
  <c r="J85" i="75" s="1"/>
  <c r="X86" i="75"/>
  <c r="Y86" i="75" s="1"/>
  <c r="X85" i="75"/>
  <c r="Y85" i="75" s="1"/>
  <c r="I85" i="74"/>
  <c r="J85" i="74" s="1"/>
  <c r="X86" i="74"/>
  <c r="Y86" i="74" s="1"/>
  <c r="X85" i="74"/>
  <c r="Y85" i="74" s="1"/>
  <c r="X86" i="73"/>
  <c r="Y86" i="73" s="1"/>
  <c r="X85" i="73"/>
  <c r="Y85" i="73" s="1"/>
  <c r="I85" i="72"/>
  <c r="J85" i="72" s="1"/>
  <c r="X86" i="72"/>
  <c r="Y86" i="72" s="1"/>
  <c r="X85" i="72"/>
  <c r="Y85" i="72" s="1"/>
  <c r="X85" i="70"/>
  <c r="Y85" i="70" s="1"/>
  <c r="X86" i="70"/>
  <c r="Y86" i="70" s="1"/>
  <c r="X56" i="69"/>
  <c r="X85" i="69" s="1"/>
  <c r="Y85" i="69" s="1"/>
  <c r="I85" i="65"/>
  <c r="J85" i="65" s="1"/>
  <c r="X86" i="65"/>
  <c r="Y86" i="65" s="1"/>
  <c r="X85" i="65"/>
  <c r="Y85" i="65" s="1"/>
  <c r="X56" i="101"/>
  <c r="X85" i="101" s="1"/>
  <c r="Y85" i="101" s="1"/>
  <c r="I85" i="101"/>
  <c r="J85" i="101" s="1"/>
  <c r="I86" i="101"/>
  <c r="J86" i="101" s="1"/>
  <c r="I85" i="60"/>
  <c r="J85" i="60" s="1"/>
  <c r="I85" i="97"/>
  <c r="J85" i="97" s="1"/>
  <c r="I85" i="59"/>
  <c r="J85" i="59" s="1"/>
  <c r="X86" i="60"/>
  <c r="Y86" i="60" s="1"/>
  <c r="X85" i="60"/>
  <c r="Y85" i="60" s="1"/>
  <c r="X85" i="97"/>
  <c r="Y85" i="97" s="1"/>
  <c r="X86" i="97"/>
  <c r="Y86" i="97" s="1"/>
  <c r="X85" i="59"/>
  <c r="Y85" i="59" s="1"/>
  <c r="X86" i="59"/>
  <c r="Y86" i="59" s="1"/>
  <c r="J107" i="98"/>
  <c r="I49" i="54" s="1"/>
  <c r="X87" i="101"/>
  <c r="Y87" i="101" s="1"/>
  <c r="X69" i="101"/>
  <c r="S93" i="101"/>
  <c r="X90" i="101"/>
  <c r="Y93" i="101" s="1"/>
  <c r="X87" i="76"/>
  <c r="Y87" i="76" s="1"/>
  <c r="X69" i="76"/>
  <c r="X85" i="76"/>
  <c r="Y85" i="76" s="1"/>
  <c r="X86" i="76"/>
  <c r="Y86" i="76" s="1"/>
  <c r="X90" i="76"/>
  <c r="Y93" i="76" s="1"/>
  <c r="S93" i="76"/>
  <c r="I86" i="66"/>
  <c r="J86" i="66" s="1"/>
  <c r="I85" i="66"/>
  <c r="J85" i="66" s="1"/>
  <c r="X69" i="66"/>
  <c r="X87" i="66"/>
  <c r="Y87" i="66" s="1"/>
  <c r="X85" i="61"/>
  <c r="Y85" i="61" s="1"/>
  <c r="X86" i="61"/>
  <c r="Y86" i="61" s="1"/>
  <c r="X87" i="61"/>
  <c r="Y87" i="61" s="1"/>
  <c r="X69" i="61"/>
  <c r="X90" i="61"/>
  <c r="Y93" i="61" s="1"/>
  <c r="S93" i="61"/>
  <c r="X86" i="58"/>
  <c r="Y86" i="58" s="1"/>
  <c r="X85" i="58"/>
  <c r="Y85" i="58" s="1"/>
  <c r="X90" i="58"/>
  <c r="Y93" i="58" s="1"/>
  <c r="S93" i="58"/>
  <c r="X87" i="58"/>
  <c r="Y87" i="58" s="1"/>
  <c r="X69" i="58"/>
  <c r="X90" i="102"/>
  <c r="Y93" i="102" s="1"/>
  <c r="S93" i="102"/>
  <c r="X86" i="102"/>
  <c r="Y86" i="102" s="1"/>
  <c r="X85" i="102"/>
  <c r="Y85" i="102" s="1"/>
  <c r="X87" i="102"/>
  <c r="Y87" i="102" s="1"/>
  <c r="X69" i="102"/>
  <c r="J107" i="84"/>
  <c r="J107" i="83"/>
  <c r="S93" i="77"/>
  <c r="X90" i="77"/>
  <c r="Y93" i="77" s="1"/>
  <c r="X87" i="77"/>
  <c r="Y87" i="77" s="1"/>
  <c r="X69" i="77"/>
  <c r="X90" i="69"/>
  <c r="Y93" i="69" s="1"/>
  <c r="S93" i="69"/>
  <c r="X87" i="69"/>
  <c r="Y87" i="69" s="1"/>
  <c r="X69" i="69"/>
  <c r="X90" i="68"/>
  <c r="Y93" i="68" s="1"/>
  <c r="S93" i="68"/>
  <c r="X69" i="68"/>
  <c r="X87" i="68"/>
  <c r="Y87" i="68" s="1"/>
  <c r="X86" i="68"/>
  <c r="Y86" i="68" s="1"/>
  <c r="X85" i="68"/>
  <c r="Y85" i="68" s="1"/>
  <c r="X86" i="67"/>
  <c r="Y86" i="67" s="1"/>
  <c r="X85" i="67"/>
  <c r="Y85" i="67" s="1"/>
  <c r="X90" i="67"/>
  <c r="Y93" i="67" s="1"/>
  <c r="S93" i="67"/>
  <c r="X87" i="67"/>
  <c r="Y87" i="67" s="1"/>
  <c r="X69" i="67"/>
  <c r="X90" i="64"/>
  <c r="Y93" i="64" s="1"/>
  <c r="S93" i="64"/>
  <c r="X87" i="64"/>
  <c r="Y87" i="64" s="1"/>
  <c r="X69" i="64"/>
  <c r="X86" i="64"/>
  <c r="Y86" i="64" s="1"/>
  <c r="X85" i="64"/>
  <c r="Y85" i="64" s="1"/>
  <c r="X69" i="63"/>
  <c r="X87" i="63"/>
  <c r="Y87" i="63" s="1"/>
  <c r="X86" i="63"/>
  <c r="Y86" i="63" s="1"/>
  <c r="X85" i="63"/>
  <c r="Y85" i="63" s="1"/>
  <c r="S93" i="63"/>
  <c r="X90" i="63"/>
  <c r="Y93" i="63" s="1"/>
  <c r="X90" i="62"/>
  <c r="Y93" i="62" s="1"/>
  <c r="S93" i="62"/>
  <c r="X86" i="62"/>
  <c r="Y86" i="62" s="1"/>
  <c r="X85" i="62"/>
  <c r="Y85" i="62" s="1"/>
  <c r="X87" i="62"/>
  <c r="Y87" i="62" s="1"/>
  <c r="X69" i="62"/>
  <c r="X87" i="59"/>
  <c r="Y87" i="59" s="1"/>
  <c r="X69" i="59"/>
  <c r="X85" i="77" l="1"/>
  <c r="Y85" i="77" s="1"/>
  <c r="X86" i="101"/>
  <c r="Y86" i="101" s="1"/>
  <c r="Y107" i="98"/>
  <c r="Y109" i="98" s="1"/>
  <c r="J111" i="98" s="1"/>
  <c r="X86" i="69"/>
  <c r="Y86" i="69" s="1"/>
  <c r="J109" i="98"/>
  <c r="J49" i="54" s="1"/>
  <c r="J109" i="83"/>
  <c r="I34" i="54"/>
  <c r="Q34" i="54" s="1"/>
  <c r="J114" i="97"/>
  <c r="J109" i="84"/>
  <c r="I114" i="84" s="1"/>
  <c r="I114" i="98" l="1"/>
  <c r="J114" i="98" s="1"/>
  <c r="J116" i="98" s="1"/>
  <c r="I114" i="83"/>
  <c r="J114" i="83" s="1"/>
  <c r="J126" i="83" s="1"/>
  <c r="J34" i="54"/>
  <c r="J114" i="84"/>
  <c r="J116" i="84" s="1"/>
  <c r="J120" i="84" s="1"/>
  <c r="J124" i="84" s="1"/>
  <c r="E280" i="106" s="1"/>
  <c r="G280" i="106" s="1"/>
  <c r="J114" i="71"/>
  <c r="J126" i="98" l="1"/>
  <c r="K49" i="54"/>
  <c r="J120" i="98"/>
  <c r="J124" i="98" s="1"/>
  <c r="L49" i="54"/>
  <c r="J116" i="83"/>
  <c r="K34" i="54"/>
  <c r="J126" i="84"/>
  <c r="M49" i="54" l="1"/>
  <c r="Z49" i="54" s="1"/>
  <c r="E404" i="106"/>
  <c r="G404" i="106" s="1"/>
  <c r="G34" i="54"/>
  <c r="R34" i="54"/>
  <c r="F34" i="54"/>
  <c r="J120" i="83"/>
  <c r="J124" i="83" s="1"/>
  <c r="L34" i="54"/>
  <c r="S34" i="54" s="1"/>
  <c r="U34" i="54" s="1"/>
  <c r="W34" i="54" s="1"/>
  <c r="M34" i="54" l="1"/>
  <c r="Z34" i="54" s="1"/>
  <c r="E270" i="106"/>
  <c r="G270" i="106" s="1"/>
  <c r="I112" i="56" l="1"/>
  <c r="I110" i="56" l="1"/>
  <c r="E39" i="56" l="1"/>
  <c r="I39" i="56" l="1"/>
  <c r="I43" i="56" l="1"/>
  <c r="E43" i="56"/>
  <c r="I41" i="56"/>
  <c r="E41" i="56"/>
  <c r="I42" i="56"/>
  <c r="E42" i="56"/>
  <c r="I40" i="56"/>
  <c r="E40" i="56"/>
  <c r="I44" i="56"/>
  <c r="E44" i="56"/>
  <c r="I45" i="56" l="1"/>
  <c r="I47" i="56" s="1"/>
  <c r="E45" i="56"/>
  <c r="Q49" i="54" l="1"/>
  <c r="R49" i="54" l="1"/>
  <c r="F49" i="54"/>
  <c r="G49" i="54"/>
  <c r="S49" i="54"/>
  <c r="W49" i="54" s="1"/>
  <c r="E127" i="56" l="1"/>
  <c r="T6" i="2" l="1"/>
  <c r="G90" i="2"/>
  <c r="R2" i="2"/>
  <c r="X103" i="2"/>
  <c r="X102" i="2"/>
  <c r="T91" i="2"/>
  <c r="T90" i="2"/>
  <c r="Y80" i="2"/>
  <c r="T31" i="2"/>
  <c r="T92" i="2"/>
  <c r="J37" i="2"/>
  <c r="I54" i="56" s="1"/>
  <c r="J36" i="2"/>
  <c r="I53" i="56" s="1"/>
  <c r="I55" i="56" l="1"/>
  <c r="V90" i="2"/>
  <c r="F118" i="56"/>
  <c r="V67" i="2"/>
  <c r="F86" i="56"/>
  <c r="J38" i="2"/>
  <c r="X104" i="2"/>
  <c r="Y104" i="2" s="1"/>
  <c r="V102" i="2"/>
  <c r="V103" i="2" s="1"/>
  <c r="Y103" i="2" s="1"/>
  <c r="X83" i="2"/>
  <c r="Y102" i="2" l="1"/>
  <c r="Y105" i="2" s="1"/>
  <c r="E98" i="2" l="1"/>
  <c r="D50" i="2"/>
  <c r="E46" i="2" s="1"/>
  <c r="E64" i="56" s="1"/>
  <c r="C50" i="2"/>
  <c r="D28" i="2"/>
  <c r="C28" i="2"/>
  <c r="E27" i="2" l="1"/>
  <c r="E15" i="2"/>
  <c r="E12" i="2"/>
  <c r="E49" i="2"/>
  <c r="E67" i="56" s="1"/>
  <c r="E48" i="2"/>
  <c r="E66" i="56" s="1"/>
  <c r="E47" i="2"/>
  <c r="E65" i="56" s="1"/>
  <c r="E16" i="2"/>
  <c r="E13" i="2"/>
  <c r="E17" i="2"/>
  <c r="E18" i="2"/>
  <c r="E19" i="2"/>
  <c r="E20" i="2"/>
  <c r="E21" i="2"/>
  <c r="E22" i="2"/>
  <c r="E41" i="2"/>
  <c r="E59" i="56" s="1"/>
  <c r="E23" i="2"/>
  <c r="E42" i="2"/>
  <c r="E60" i="56" s="1"/>
  <c r="E24" i="2"/>
  <c r="E43" i="2"/>
  <c r="E61" i="56" s="1"/>
  <c r="E25" i="2"/>
  <c r="E44" i="2"/>
  <c r="E62" i="56" s="1"/>
  <c r="E26" i="2"/>
  <c r="E45" i="2"/>
  <c r="E63" i="56" s="1"/>
  <c r="T24" i="2" l="1"/>
  <c r="X24" i="2" s="1"/>
  <c r="E26" i="56"/>
  <c r="T23" i="2"/>
  <c r="X23" i="2" s="1"/>
  <c r="E25" i="56"/>
  <c r="T21" i="2"/>
  <c r="X21" i="2" s="1"/>
  <c r="E23" i="56"/>
  <c r="T16" i="2"/>
  <c r="X16" i="2" s="1"/>
  <c r="E18" i="56"/>
  <c r="T15" i="2"/>
  <c r="X15" i="2" s="1"/>
  <c r="E17" i="56"/>
  <c r="E68" i="56"/>
  <c r="T22" i="2"/>
  <c r="X22" i="2" s="1"/>
  <c r="E24" i="56"/>
  <c r="T20" i="2"/>
  <c r="X20" i="2" s="1"/>
  <c r="E22" i="56"/>
  <c r="T19" i="2"/>
  <c r="X19" i="2" s="1"/>
  <c r="E21" i="56"/>
  <c r="T18" i="2"/>
  <c r="X18" i="2" s="1"/>
  <c r="E20" i="56"/>
  <c r="T17" i="2"/>
  <c r="X17" i="2" s="1"/>
  <c r="E19" i="56"/>
  <c r="T13" i="2"/>
  <c r="X13" i="2" s="1"/>
  <c r="E15" i="56"/>
  <c r="T12" i="2"/>
  <c r="X12" i="2" s="1"/>
  <c r="E14" i="56"/>
  <c r="T26" i="2"/>
  <c r="X26" i="2" s="1"/>
  <c r="E28" i="56"/>
  <c r="T14" i="2"/>
  <c r="X14" i="2" s="1"/>
  <c r="E16" i="56"/>
  <c r="T25" i="2"/>
  <c r="X25" i="2" s="1"/>
  <c r="E27" i="56"/>
  <c r="T27" i="2"/>
  <c r="X27" i="2" s="1"/>
  <c r="E29" i="56"/>
  <c r="E28" i="2"/>
  <c r="O6" i="54" s="1" a="1"/>
  <c r="O6" i="54" s="1"/>
  <c r="O58" i="54" s="1"/>
  <c r="S92" i="2" l="1"/>
  <c r="S91" i="2"/>
  <c r="S90" i="2"/>
  <c r="X90" i="2" s="1"/>
  <c r="E30" i="56"/>
  <c r="E32" i="56" s="1"/>
  <c r="T28" i="2"/>
  <c r="T64" i="2" s="1"/>
  <c r="X28" i="2"/>
  <c r="V33" i="2" s="1"/>
  <c r="I103" i="2"/>
  <c r="I102" i="2"/>
  <c r="I104" i="2" s="1"/>
  <c r="J104" i="2" s="1"/>
  <c r="G102" i="2"/>
  <c r="G103" i="2" s="1"/>
  <c r="G128" i="56"/>
  <c r="G127" i="56"/>
  <c r="G92" i="2"/>
  <c r="G91" i="2"/>
  <c r="F106" i="56"/>
  <c r="J81" i="2"/>
  <c r="I84" i="2" s="1"/>
  <c r="G70" i="2"/>
  <c r="E50" i="2"/>
  <c r="I49" i="2"/>
  <c r="H67" i="56" s="1"/>
  <c r="I48" i="2"/>
  <c r="H66" i="56" s="1"/>
  <c r="I47" i="2"/>
  <c r="H65" i="56" s="1"/>
  <c r="I46" i="2"/>
  <c r="H64" i="56" s="1"/>
  <c r="I45" i="2"/>
  <c r="H63" i="56" s="1"/>
  <c r="I44" i="2"/>
  <c r="H62" i="56" s="1"/>
  <c r="I43" i="2"/>
  <c r="H61" i="56" s="1"/>
  <c r="I42" i="2"/>
  <c r="H60" i="56" s="1"/>
  <c r="I41" i="2"/>
  <c r="H59" i="56" s="1"/>
  <c r="I27" i="2"/>
  <c r="I26" i="2"/>
  <c r="I25" i="2"/>
  <c r="I24" i="2"/>
  <c r="H26" i="56" s="1"/>
  <c r="I23" i="2"/>
  <c r="H25" i="56" s="1"/>
  <c r="I22" i="2"/>
  <c r="H24" i="56" s="1"/>
  <c r="I21" i="2"/>
  <c r="H23" i="56" s="1"/>
  <c r="I20" i="2"/>
  <c r="H22" i="56" s="1"/>
  <c r="I19" i="2"/>
  <c r="H21" i="56" s="1"/>
  <c r="I18" i="2"/>
  <c r="H20" i="56" s="1"/>
  <c r="I17" i="2"/>
  <c r="H19" i="56" s="1"/>
  <c r="I16" i="2"/>
  <c r="H18" i="56" s="1"/>
  <c r="I15" i="2"/>
  <c r="H17" i="56" s="1"/>
  <c r="I14" i="2"/>
  <c r="H16" i="56" s="1"/>
  <c r="I13" i="2"/>
  <c r="H15" i="56" s="1"/>
  <c r="I12" i="2"/>
  <c r="H14" i="56" s="1"/>
  <c r="I7" i="2"/>
  <c r="I6" i="2"/>
  <c r="G70" i="88" l="1"/>
  <c r="G70" i="61"/>
  <c r="G70" i="60"/>
  <c r="G70" i="86"/>
  <c r="G70" i="74"/>
  <c r="G70" i="64"/>
  <c r="G70" i="104"/>
  <c r="G70" i="102"/>
  <c r="G70" i="66"/>
  <c r="G70" i="96"/>
  <c r="G70" i="58"/>
  <c r="G70" i="94"/>
  <c r="G70" i="81"/>
  <c r="G70" i="65"/>
  <c r="G70" i="82"/>
  <c r="G70" i="80"/>
  <c r="G70" i="91"/>
  <c r="G70" i="68"/>
  <c r="G70" i="72"/>
  <c r="G70" i="100"/>
  <c r="G70" i="105"/>
  <c r="G70" i="70"/>
  <c r="G70" i="99"/>
  <c r="G70" i="76"/>
  <c r="G70" i="103"/>
  <c r="G70" i="92"/>
  <c r="G70" i="79"/>
  <c r="G70" i="75"/>
  <c r="G70" i="93"/>
  <c r="G70" i="108"/>
  <c r="G70" i="101"/>
  <c r="G70" i="90"/>
  <c r="G70" i="77"/>
  <c r="G70" i="67"/>
  <c r="G70" i="87"/>
  <c r="G70" i="95"/>
  <c r="G70" i="107"/>
  <c r="G70" i="69"/>
  <c r="G70" i="89"/>
  <c r="G70" i="97"/>
  <c r="G70" i="59"/>
  <c r="G70" i="85"/>
  <c r="G70" i="73"/>
  <c r="G70" i="63"/>
  <c r="G70" i="71"/>
  <c r="G70" i="78"/>
  <c r="T61" i="2"/>
  <c r="T52" i="2"/>
  <c r="T58" i="2"/>
  <c r="J26" i="2"/>
  <c r="I28" i="56" s="1"/>
  <c r="H28" i="56"/>
  <c r="V85" i="2"/>
  <c r="F108" i="56"/>
  <c r="V92" i="2"/>
  <c r="X92" i="2" s="1"/>
  <c r="F120" i="56"/>
  <c r="X52" i="2"/>
  <c r="X53" i="2" s="1"/>
  <c r="X69" i="2" s="1"/>
  <c r="H71" i="56"/>
  <c r="X58" i="2"/>
  <c r="X59" i="2" s="1"/>
  <c r="X71" i="2" s="1"/>
  <c r="H77" i="56"/>
  <c r="V91" i="2"/>
  <c r="X91" i="2" s="1"/>
  <c r="F119" i="56"/>
  <c r="X61" i="2"/>
  <c r="X62" i="2" s="1"/>
  <c r="X67" i="2" s="1"/>
  <c r="Y67" i="2" s="1"/>
  <c r="H80" i="56"/>
  <c r="V71" i="2"/>
  <c r="F93" i="56"/>
  <c r="J27" i="2"/>
  <c r="I29" i="56" s="1"/>
  <c r="H29" i="56"/>
  <c r="X64" i="2"/>
  <c r="X65" i="2" s="1"/>
  <c r="X70" i="2" s="1"/>
  <c r="H83" i="56"/>
  <c r="X55" i="2"/>
  <c r="H74" i="56"/>
  <c r="V69" i="2"/>
  <c r="F89" i="56"/>
  <c r="V105" i="56"/>
  <c r="Y105" i="56" s="1"/>
  <c r="J106" i="56"/>
  <c r="J25" i="2"/>
  <c r="I27" i="56" s="1"/>
  <c r="H27" i="56"/>
  <c r="V70" i="2"/>
  <c r="F91" i="56"/>
  <c r="J24" i="2"/>
  <c r="I26" i="56" s="1"/>
  <c r="J19" i="2"/>
  <c r="I21" i="56" s="1"/>
  <c r="J20" i="2"/>
  <c r="I22" i="56" s="1"/>
  <c r="J21" i="2"/>
  <c r="I23" i="56" s="1"/>
  <c r="J22" i="2"/>
  <c r="I24" i="56" s="1"/>
  <c r="J23" i="2"/>
  <c r="I25" i="56" s="1"/>
  <c r="Y24" i="2"/>
  <c r="Y21" i="2"/>
  <c r="Y23" i="2"/>
  <c r="Y15" i="2"/>
  <c r="Y26" i="2"/>
  <c r="Y17" i="2"/>
  <c r="Y14" i="2"/>
  <c r="Y22" i="2"/>
  <c r="Y12" i="2"/>
  <c r="Y27" i="2"/>
  <c r="Y20" i="2"/>
  <c r="Y25" i="2"/>
  <c r="Y19" i="2"/>
  <c r="Y18" i="2"/>
  <c r="Y16" i="2"/>
  <c r="J14" i="2"/>
  <c r="I16" i="56" s="1"/>
  <c r="Y13" i="2"/>
  <c r="S93" i="2"/>
  <c r="J84" i="2"/>
  <c r="V83" i="2"/>
  <c r="Y83" i="2" s="1"/>
  <c r="J42" i="2"/>
  <c r="I60" i="56" s="1"/>
  <c r="X42" i="2"/>
  <c r="Y42" i="2" s="1"/>
  <c r="J44" i="2"/>
  <c r="I62" i="56" s="1"/>
  <c r="X44" i="2"/>
  <c r="Y44" i="2" s="1"/>
  <c r="J48" i="2"/>
  <c r="I66" i="56" s="1"/>
  <c r="X48" i="2"/>
  <c r="Y48" i="2" s="1"/>
  <c r="D92" i="2"/>
  <c r="J13" i="2"/>
  <c r="I15" i="56" s="1"/>
  <c r="J45" i="2"/>
  <c r="I63" i="56" s="1"/>
  <c r="X45" i="2"/>
  <c r="Y45" i="2" s="1"/>
  <c r="J46" i="2"/>
  <c r="I64" i="56" s="1"/>
  <c r="X46" i="2"/>
  <c r="Y46" i="2" s="1"/>
  <c r="J98" i="2"/>
  <c r="I128" i="56" s="1"/>
  <c r="X97" i="2"/>
  <c r="Y97" i="2" s="1"/>
  <c r="J16" i="2"/>
  <c r="I18" i="56" s="1"/>
  <c r="J17" i="2"/>
  <c r="I19" i="56" s="1"/>
  <c r="J41" i="2"/>
  <c r="I59" i="56" s="1"/>
  <c r="X41" i="2"/>
  <c r="Y41" i="2" s="1"/>
  <c r="X43" i="2"/>
  <c r="Y43" i="2" s="1"/>
  <c r="J43" i="2"/>
  <c r="I61" i="56" s="1"/>
  <c r="J12" i="2"/>
  <c r="I14" i="56" s="1"/>
  <c r="J97" i="2"/>
  <c r="I127" i="56" s="1"/>
  <c r="X96" i="2"/>
  <c r="Y96" i="2" s="1"/>
  <c r="J15" i="2"/>
  <c r="I17" i="56" s="1"/>
  <c r="J47" i="2"/>
  <c r="I65" i="56" s="1"/>
  <c r="X47" i="2"/>
  <c r="Y47" i="2" s="1"/>
  <c r="J49" i="2"/>
  <c r="I67" i="56" s="1"/>
  <c r="X49" i="2"/>
  <c r="Y49" i="2" s="1"/>
  <c r="J18" i="2"/>
  <c r="I20" i="56" s="1"/>
  <c r="C62" i="2"/>
  <c r="C53" i="2"/>
  <c r="B91" i="2"/>
  <c r="C119" i="56" s="1"/>
  <c r="B92" i="2"/>
  <c r="C120" i="56" s="1"/>
  <c r="I28" i="2"/>
  <c r="C65" i="2"/>
  <c r="J103" i="2"/>
  <c r="J31" i="2"/>
  <c r="B90" i="2"/>
  <c r="C118" i="56" s="1"/>
  <c r="J102" i="2"/>
  <c r="D90" i="2"/>
  <c r="C59" i="2"/>
  <c r="D91" i="2"/>
  <c r="V69" i="61" l="1"/>
  <c r="Y69" i="61" s="1"/>
  <c r="Y107" i="61" s="1"/>
  <c r="Y109" i="61" s="1"/>
  <c r="J111" i="61" s="1"/>
  <c r="I114" i="61" s="1"/>
  <c r="J70" i="61"/>
  <c r="J107" i="61" s="1"/>
  <c r="V69" i="88"/>
  <c r="Y69" i="88" s="1"/>
  <c r="Y107" i="88" s="1"/>
  <c r="Y109" i="88" s="1"/>
  <c r="J111" i="88" s="1"/>
  <c r="J70" i="88"/>
  <c r="J107" i="88" s="1"/>
  <c r="V69" i="85"/>
  <c r="Y69" i="85" s="1"/>
  <c r="Y107" i="85" s="1"/>
  <c r="Y109" i="85" s="1"/>
  <c r="J111" i="85" s="1"/>
  <c r="J70" i="85"/>
  <c r="J107" i="85" s="1"/>
  <c r="V69" i="70"/>
  <c r="Y69" i="70" s="1"/>
  <c r="Y107" i="70" s="1"/>
  <c r="Y109" i="70" s="1"/>
  <c r="J111" i="70" s="1"/>
  <c r="J70" i="70"/>
  <c r="J107" i="70" s="1"/>
  <c r="V69" i="59"/>
  <c r="Y69" i="59" s="1"/>
  <c r="Y107" i="59" s="1"/>
  <c r="Y109" i="59" s="1"/>
  <c r="J111" i="59" s="1"/>
  <c r="J70" i="59"/>
  <c r="J107" i="59" s="1"/>
  <c r="V69" i="105"/>
  <c r="Y69" i="105" s="1"/>
  <c r="Y107" i="105" s="1"/>
  <c r="Y109" i="105" s="1"/>
  <c r="J111" i="105" s="1"/>
  <c r="J70" i="105"/>
  <c r="J107" i="105" s="1"/>
  <c r="V69" i="97"/>
  <c r="Y69" i="97" s="1"/>
  <c r="Y107" i="97" s="1"/>
  <c r="Y109" i="97" s="1"/>
  <c r="J111" i="97" s="1"/>
  <c r="J70" i="97"/>
  <c r="J107" i="97" s="1"/>
  <c r="V69" i="100"/>
  <c r="Y69" i="100" s="1"/>
  <c r="Y107" i="100" s="1"/>
  <c r="Y109" i="100" s="1"/>
  <c r="J111" i="100" s="1"/>
  <c r="J70" i="100"/>
  <c r="J107" i="100" s="1"/>
  <c r="V69" i="89"/>
  <c r="Y69" i="89" s="1"/>
  <c r="Y107" i="89" s="1"/>
  <c r="Y109" i="89" s="1"/>
  <c r="J111" i="89" s="1"/>
  <c r="J70" i="89"/>
  <c r="J107" i="89" s="1"/>
  <c r="V69" i="72"/>
  <c r="Y69" i="72" s="1"/>
  <c r="Y107" i="72" s="1"/>
  <c r="Y109" i="72" s="1"/>
  <c r="J111" i="72" s="1"/>
  <c r="J70" i="72"/>
  <c r="J107" i="72" s="1"/>
  <c r="V69" i="69"/>
  <c r="Y69" i="69" s="1"/>
  <c r="Y107" i="69" s="1"/>
  <c r="Y109" i="69" s="1"/>
  <c r="J111" i="69" s="1"/>
  <c r="J70" i="69"/>
  <c r="J107" i="69" s="1"/>
  <c r="V69" i="68"/>
  <c r="Y69" i="68" s="1"/>
  <c r="Y107" i="68" s="1"/>
  <c r="Y109" i="68" s="1"/>
  <c r="J111" i="68" s="1"/>
  <c r="I114" i="68" s="1"/>
  <c r="J70" i="68"/>
  <c r="J107" i="68" s="1"/>
  <c r="G70" i="62"/>
  <c r="V69" i="107"/>
  <c r="Y69" i="107" s="1"/>
  <c r="Y107" i="107" s="1"/>
  <c r="Y109" i="107" s="1"/>
  <c r="J111" i="107" s="1"/>
  <c r="J70" i="107"/>
  <c r="J107" i="107" s="1"/>
  <c r="V69" i="91"/>
  <c r="Y69" i="91" s="1"/>
  <c r="Y107" i="91" s="1"/>
  <c r="Y109" i="91" s="1"/>
  <c r="J111" i="91" s="1"/>
  <c r="J70" i="91"/>
  <c r="J107" i="91" s="1"/>
  <c r="V69" i="95"/>
  <c r="Y69" i="95" s="1"/>
  <c r="Y107" i="95" s="1"/>
  <c r="Y109" i="95" s="1"/>
  <c r="J111" i="95" s="1"/>
  <c r="J70" i="95"/>
  <c r="J107" i="95" s="1"/>
  <c r="V69" i="80"/>
  <c r="Y69" i="80" s="1"/>
  <c r="Y107" i="80" s="1"/>
  <c r="Y109" i="80" s="1"/>
  <c r="J111" i="80" s="1"/>
  <c r="J70" i="80"/>
  <c r="J107" i="80" s="1"/>
  <c r="V69" i="87"/>
  <c r="Y69" i="87" s="1"/>
  <c r="Y107" i="87" s="1"/>
  <c r="Y109" i="87" s="1"/>
  <c r="J111" i="87" s="1"/>
  <c r="J70" i="87"/>
  <c r="J107" i="87" s="1"/>
  <c r="V69" i="82"/>
  <c r="Y69" i="82" s="1"/>
  <c r="Y107" i="82" s="1"/>
  <c r="Y109" i="82" s="1"/>
  <c r="J111" i="82" s="1"/>
  <c r="J70" i="82"/>
  <c r="J107" i="82" s="1"/>
  <c r="V69" i="65"/>
  <c r="Y69" i="65" s="1"/>
  <c r="Y107" i="65" s="1"/>
  <c r="Y109" i="65" s="1"/>
  <c r="J111" i="65" s="1"/>
  <c r="J70" i="65"/>
  <c r="J107" i="65" s="1"/>
  <c r="V69" i="77"/>
  <c r="Y69" i="77" s="1"/>
  <c r="Y107" i="77" s="1"/>
  <c r="Y109" i="77" s="1"/>
  <c r="J111" i="77" s="1"/>
  <c r="J70" i="77"/>
  <c r="J107" i="77" s="1"/>
  <c r="V69" i="81"/>
  <c r="Y69" i="81" s="1"/>
  <c r="Y107" i="81" s="1"/>
  <c r="Y109" i="81" s="1"/>
  <c r="J111" i="81" s="1"/>
  <c r="J70" i="81"/>
  <c r="J107" i="81" s="1"/>
  <c r="V69" i="90"/>
  <c r="Y69" i="90" s="1"/>
  <c r="Y107" i="90" s="1"/>
  <c r="Y109" i="90" s="1"/>
  <c r="J111" i="90" s="1"/>
  <c r="J70" i="90"/>
  <c r="J107" i="90" s="1"/>
  <c r="V69" i="94"/>
  <c r="Y69" i="94" s="1"/>
  <c r="Y107" i="94" s="1"/>
  <c r="Y109" i="94" s="1"/>
  <c r="J111" i="94" s="1"/>
  <c r="J70" i="94"/>
  <c r="J107" i="94" s="1"/>
  <c r="V69" i="101"/>
  <c r="Y69" i="101" s="1"/>
  <c r="Y107" i="101" s="1"/>
  <c r="Y109" i="101" s="1"/>
  <c r="J111" i="101" s="1"/>
  <c r="I114" i="101" s="1"/>
  <c r="J70" i="101"/>
  <c r="J107" i="101" s="1"/>
  <c r="V69" i="58"/>
  <c r="Y69" i="58" s="1"/>
  <c r="Y107" i="58" s="1"/>
  <c r="Y109" i="58" s="1"/>
  <c r="J111" i="58" s="1"/>
  <c r="I114" i="58" s="1"/>
  <c r="J70" i="58"/>
  <c r="J107" i="58" s="1"/>
  <c r="V69" i="108"/>
  <c r="Y69" i="108" s="1"/>
  <c r="Y107" i="108" s="1"/>
  <c r="Y109" i="108" s="1"/>
  <c r="J111" i="108" s="1"/>
  <c r="J70" i="108"/>
  <c r="J107" i="108" s="1"/>
  <c r="V69" i="96"/>
  <c r="Y69" i="96" s="1"/>
  <c r="Y107" i="96" s="1"/>
  <c r="Y109" i="96" s="1"/>
  <c r="J111" i="96" s="1"/>
  <c r="J70" i="96"/>
  <c r="J107" i="96" s="1"/>
  <c r="V69" i="67"/>
  <c r="Y69" i="67" s="1"/>
  <c r="Y107" i="67" s="1"/>
  <c r="Y109" i="67" s="1"/>
  <c r="J111" i="67" s="1"/>
  <c r="I114" i="67" s="1"/>
  <c r="J70" i="67"/>
  <c r="J107" i="67" s="1"/>
  <c r="V69" i="93"/>
  <c r="Y69" i="93" s="1"/>
  <c r="Y107" i="93" s="1"/>
  <c r="Y109" i="93" s="1"/>
  <c r="J111" i="93" s="1"/>
  <c r="J70" i="93"/>
  <c r="J107" i="93" s="1"/>
  <c r="V69" i="66"/>
  <c r="Y69" i="66" s="1"/>
  <c r="Y107" i="66" s="1"/>
  <c r="Y109" i="66" s="1"/>
  <c r="J111" i="66" s="1"/>
  <c r="I114" i="66" s="1"/>
  <c r="J114" i="66" s="1"/>
  <c r="J70" i="66"/>
  <c r="J107" i="66" s="1"/>
  <c r="V69" i="75"/>
  <c r="Y69" i="75" s="1"/>
  <c r="Y107" i="75" s="1"/>
  <c r="Y109" i="75" s="1"/>
  <c r="J111" i="75" s="1"/>
  <c r="J70" i="75"/>
  <c r="J107" i="75" s="1"/>
  <c r="V69" i="102"/>
  <c r="Y69" i="102" s="1"/>
  <c r="Y107" i="102" s="1"/>
  <c r="Y109" i="102" s="1"/>
  <c r="J111" i="102" s="1"/>
  <c r="J70" i="102"/>
  <c r="J107" i="102" s="1"/>
  <c r="V69" i="79"/>
  <c r="Y69" i="79" s="1"/>
  <c r="J70" i="79"/>
  <c r="J107" i="79" s="1"/>
  <c r="V69" i="104"/>
  <c r="Y69" i="104" s="1"/>
  <c r="Y107" i="104" s="1"/>
  <c r="Y109" i="104" s="1"/>
  <c r="J111" i="104" s="1"/>
  <c r="J70" i="104"/>
  <c r="J107" i="104" s="1"/>
  <c r="V69" i="78"/>
  <c r="Y69" i="78" s="1"/>
  <c r="Y107" i="78" s="1"/>
  <c r="Y109" i="78" s="1"/>
  <c r="J111" i="78" s="1"/>
  <c r="J70" i="78"/>
  <c r="J107" i="78" s="1"/>
  <c r="V69" i="92"/>
  <c r="Y69" i="92" s="1"/>
  <c r="Y107" i="92" s="1"/>
  <c r="Y109" i="92" s="1"/>
  <c r="J111" i="92" s="1"/>
  <c r="J70" i="92"/>
  <c r="J107" i="92" s="1"/>
  <c r="V69" i="64"/>
  <c r="Y69" i="64" s="1"/>
  <c r="Y107" i="64" s="1"/>
  <c r="Y109" i="64" s="1"/>
  <c r="J111" i="64" s="1"/>
  <c r="J70" i="64"/>
  <c r="J107" i="64" s="1"/>
  <c r="V69" i="71"/>
  <c r="Y69" i="71" s="1"/>
  <c r="Y107" i="71" s="1"/>
  <c r="Y109" i="71" s="1"/>
  <c r="J111" i="71" s="1"/>
  <c r="J70" i="71"/>
  <c r="J107" i="71" s="1"/>
  <c r="V69" i="103"/>
  <c r="Y69" i="103" s="1"/>
  <c r="Y107" i="103" s="1"/>
  <c r="Y109" i="103" s="1"/>
  <c r="J111" i="103" s="1"/>
  <c r="J70" i="103"/>
  <c r="J107" i="103" s="1"/>
  <c r="V69" i="74"/>
  <c r="Y69" i="74" s="1"/>
  <c r="Y107" i="74" s="1"/>
  <c r="Y109" i="74" s="1"/>
  <c r="J111" i="74" s="1"/>
  <c r="J70" i="74"/>
  <c r="J107" i="74" s="1"/>
  <c r="V69" i="63"/>
  <c r="Y69" i="63" s="1"/>
  <c r="Y107" i="63" s="1"/>
  <c r="Y109" i="63" s="1"/>
  <c r="J111" i="63" s="1"/>
  <c r="I114" i="63" s="1"/>
  <c r="J114" i="63" s="1"/>
  <c r="J70" i="63"/>
  <c r="J107" i="63" s="1"/>
  <c r="V69" i="76"/>
  <c r="Y69" i="76" s="1"/>
  <c r="Y107" i="76" s="1"/>
  <c r="Y109" i="76" s="1"/>
  <c r="J111" i="76" s="1"/>
  <c r="I114" i="76" s="1"/>
  <c r="J70" i="76"/>
  <c r="J107" i="76" s="1"/>
  <c r="V69" i="86"/>
  <c r="Y69" i="86" s="1"/>
  <c r="J70" i="86"/>
  <c r="J107" i="86" s="1"/>
  <c r="V69" i="73"/>
  <c r="Y69" i="73" s="1"/>
  <c r="Y107" i="73" s="1"/>
  <c r="Y109" i="73" s="1"/>
  <c r="J111" i="73" s="1"/>
  <c r="J70" i="73"/>
  <c r="J107" i="73" s="1"/>
  <c r="V69" i="99"/>
  <c r="Y69" i="99" s="1"/>
  <c r="Y107" i="99" s="1"/>
  <c r="Y109" i="99" s="1"/>
  <c r="J111" i="99" s="1"/>
  <c r="J70" i="99"/>
  <c r="J107" i="99" s="1"/>
  <c r="V69" i="60"/>
  <c r="Y69" i="60" s="1"/>
  <c r="Y107" i="60" s="1"/>
  <c r="Y109" i="60" s="1"/>
  <c r="J111" i="60" s="1"/>
  <c r="J70" i="60"/>
  <c r="J107" i="60" s="1"/>
  <c r="H30" i="56"/>
  <c r="E47" i="56" s="1"/>
  <c r="G33" i="2"/>
  <c r="C56" i="2" s="1"/>
  <c r="Y69" i="2"/>
  <c r="Y93" i="2"/>
  <c r="Y70" i="2"/>
  <c r="Y71" i="2"/>
  <c r="I68" i="56"/>
  <c r="I66" i="2"/>
  <c r="I71" i="2" s="1"/>
  <c r="J71" i="2" s="1"/>
  <c r="I91" i="56" s="1"/>
  <c r="C83" i="56"/>
  <c r="H84" i="56" s="1"/>
  <c r="H91" i="56" s="1"/>
  <c r="K91" i="56" s="1"/>
  <c r="I54" i="2"/>
  <c r="I87" i="2" s="1"/>
  <c r="J87" i="2" s="1"/>
  <c r="C71" i="56"/>
  <c r="H72" i="56" s="1"/>
  <c r="I63" i="2"/>
  <c r="I68" i="2" s="1"/>
  <c r="J68" i="2" s="1"/>
  <c r="I86" i="56" s="1"/>
  <c r="C80" i="56"/>
  <c r="H81" i="56" s="1"/>
  <c r="H86" i="56" s="1"/>
  <c r="K86" i="56" s="1"/>
  <c r="I60" i="2"/>
  <c r="I72" i="2" s="1"/>
  <c r="J72" i="2" s="1"/>
  <c r="I93" i="56" s="1"/>
  <c r="C77" i="56"/>
  <c r="H78" i="56" s="1"/>
  <c r="H93" i="56" s="1"/>
  <c r="K93" i="56" s="1"/>
  <c r="I91" i="2"/>
  <c r="H119" i="56" s="1"/>
  <c r="J50" i="2"/>
  <c r="X87" i="2"/>
  <c r="Y87" i="2" s="1"/>
  <c r="J28" i="2"/>
  <c r="I30" i="56" s="1"/>
  <c r="Y28" i="2"/>
  <c r="I90" i="2"/>
  <c r="H118" i="56" s="1"/>
  <c r="I92" i="2"/>
  <c r="H120" i="56" s="1"/>
  <c r="Y50" i="2"/>
  <c r="J32" i="2"/>
  <c r="Y31" i="2"/>
  <c r="Y32" i="2" s="1"/>
  <c r="J105" i="2"/>
  <c r="B93" i="2"/>
  <c r="C121" i="56" s="1"/>
  <c r="I39" i="54" l="1"/>
  <c r="Q39" i="54" s="1"/>
  <c r="J109" i="88"/>
  <c r="J109" i="61"/>
  <c r="J11" i="54" s="1"/>
  <c r="I11" i="54"/>
  <c r="Q11" i="54" s="1"/>
  <c r="J114" i="61"/>
  <c r="J126" i="61" s="1"/>
  <c r="J114" i="76"/>
  <c r="K27" i="54" s="1"/>
  <c r="I20" i="54"/>
  <c r="Q20" i="54" s="1"/>
  <c r="J109" i="69"/>
  <c r="I25" i="54"/>
  <c r="Q25" i="54" s="1"/>
  <c r="J109" i="74"/>
  <c r="J109" i="63"/>
  <c r="J13" i="54" s="1"/>
  <c r="I13" i="54"/>
  <c r="Q13" i="54" s="1"/>
  <c r="J116" i="63"/>
  <c r="I16" i="54"/>
  <c r="Q16" i="54" s="1"/>
  <c r="J109" i="66"/>
  <c r="J16" i="54" s="1"/>
  <c r="J116" i="66"/>
  <c r="J126" i="66"/>
  <c r="K16" i="54"/>
  <c r="I23" i="54"/>
  <c r="Q23" i="54" s="1"/>
  <c r="J109" i="72"/>
  <c r="I54" i="54"/>
  <c r="J109" i="103"/>
  <c r="I44" i="54"/>
  <c r="Q44" i="54" s="1"/>
  <c r="J109" i="93"/>
  <c r="I15" i="54"/>
  <c r="Q15" i="54" s="1"/>
  <c r="J109" i="65"/>
  <c r="I40" i="54"/>
  <c r="Q40" i="54" s="1"/>
  <c r="J109" i="89"/>
  <c r="J109" i="71"/>
  <c r="I114" i="71" s="1"/>
  <c r="J126" i="71" s="1"/>
  <c r="J116" i="71"/>
  <c r="J120" i="71" s="1"/>
  <c r="J124" i="71" s="1"/>
  <c r="E160" i="106" s="1"/>
  <c r="G160" i="106" s="1"/>
  <c r="I17" i="54"/>
  <c r="Q17" i="54" s="1"/>
  <c r="J109" i="67"/>
  <c r="J17" i="54" s="1"/>
  <c r="I33" i="54"/>
  <c r="Q33" i="54" s="1"/>
  <c r="J109" i="82"/>
  <c r="I32" i="54"/>
  <c r="Q32" i="54" s="1"/>
  <c r="J109" i="81"/>
  <c r="I28" i="54"/>
  <c r="Q28" i="54" s="1"/>
  <c r="J109" i="77"/>
  <c r="J114" i="67"/>
  <c r="K17" i="54" s="1"/>
  <c r="I51" i="54"/>
  <c r="Q51" i="54" s="1"/>
  <c r="J109" i="100"/>
  <c r="J109" i="68"/>
  <c r="J18" i="54" s="1"/>
  <c r="I18" i="54"/>
  <c r="Q18" i="54" s="1"/>
  <c r="I47" i="54"/>
  <c r="Q47" i="54" s="1"/>
  <c r="J109" i="96"/>
  <c r="J109" i="97"/>
  <c r="I114" i="97" s="1"/>
  <c r="J126" i="97" s="1"/>
  <c r="J116" i="97"/>
  <c r="J120" i="97" s="1"/>
  <c r="I43" i="54"/>
  <c r="Q43" i="54" s="1"/>
  <c r="J109" i="92"/>
  <c r="J109" i="108"/>
  <c r="I19" i="54"/>
  <c r="Q19" i="54" s="1"/>
  <c r="J109" i="80"/>
  <c r="I31" i="54"/>
  <c r="Q31" i="54" s="1"/>
  <c r="I38" i="54"/>
  <c r="Q38" i="54" s="1"/>
  <c r="J109" i="87"/>
  <c r="I56" i="54"/>
  <c r="J109" i="105"/>
  <c r="J109" i="99"/>
  <c r="I50" i="54"/>
  <c r="Q50" i="54" s="1"/>
  <c r="I46" i="54"/>
  <c r="Q46" i="54" s="1"/>
  <c r="J109" i="95"/>
  <c r="J114" i="68"/>
  <c r="K18" i="54" s="1"/>
  <c r="J109" i="64"/>
  <c r="I14" i="54"/>
  <c r="Q14" i="54" s="1"/>
  <c r="I9" i="54"/>
  <c r="Q9" i="54" s="1"/>
  <c r="J109" i="59"/>
  <c r="I29" i="54"/>
  <c r="Q29" i="54" s="1"/>
  <c r="J109" i="78"/>
  <c r="J114" i="58"/>
  <c r="J126" i="58" s="1"/>
  <c r="I24" i="54"/>
  <c r="Q24" i="54" s="1"/>
  <c r="J109" i="73"/>
  <c r="I52" i="54"/>
  <c r="Q52" i="54" s="1"/>
  <c r="J109" i="101"/>
  <c r="J52" i="54" s="1"/>
  <c r="J126" i="63"/>
  <c r="K13" i="54"/>
  <c r="I10" i="54"/>
  <c r="Q10" i="54" s="1"/>
  <c r="J109" i="60"/>
  <c r="I55" i="54"/>
  <c r="J109" i="104"/>
  <c r="J114" i="101"/>
  <c r="K52" i="54" s="1"/>
  <c r="I21" i="54"/>
  <c r="Q21" i="54" s="1"/>
  <c r="J109" i="70"/>
  <c r="I37" i="54"/>
  <c r="Q37" i="54" s="1"/>
  <c r="J109" i="86"/>
  <c r="I30" i="54"/>
  <c r="Q30" i="54" s="1"/>
  <c r="J109" i="79"/>
  <c r="I45" i="54"/>
  <c r="Q45" i="54" s="1"/>
  <c r="J109" i="94"/>
  <c r="I7" i="54"/>
  <c r="Q7" i="54" s="1"/>
  <c r="J109" i="107"/>
  <c r="I36" i="54"/>
  <c r="Q36" i="54" s="1"/>
  <c r="J109" i="85"/>
  <c r="I26" i="54"/>
  <c r="Q26" i="54" s="1"/>
  <c r="J109" i="75"/>
  <c r="I8" i="54"/>
  <c r="Q8" i="54" s="1"/>
  <c r="J109" i="58"/>
  <c r="J8" i="54" s="1"/>
  <c r="I42" i="54"/>
  <c r="Q42" i="54" s="1"/>
  <c r="J109" i="91"/>
  <c r="I27" i="54"/>
  <c r="Q27" i="54" s="1"/>
  <c r="J109" i="76"/>
  <c r="J27" i="54" s="1"/>
  <c r="I53" i="54"/>
  <c r="J109" i="102"/>
  <c r="I41" i="54"/>
  <c r="Q41" i="54" s="1"/>
  <c r="J109" i="90"/>
  <c r="V69" i="62"/>
  <c r="Y69" i="62" s="1"/>
  <c r="Y107" i="62" s="1"/>
  <c r="Y109" i="62" s="1"/>
  <c r="J111" i="62" s="1"/>
  <c r="I114" i="62" s="1"/>
  <c r="J70" i="62"/>
  <c r="J107" i="62" s="1"/>
  <c r="I70" i="2"/>
  <c r="J70" i="2" s="1"/>
  <c r="L93" i="56"/>
  <c r="H89" i="56"/>
  <c r="H112" i="56"/>
  <c r="I57" i="2"/>
  <c r="I86" i="2" s="1"/>
  <c r="J86" i="2" s="1"/>
  <c r="C74" i="56"/>
  <c r="H75" i="56" s="1"/>
  <c r="L86" i="56"/>
  <c r="L91" i="56"/>
  <c r="J33" i="2"/>
  <c r="J93" i="2"/>
  <c r="I121" i="56" s="1"/>
  <c r="Y33" i="2"/>
  <c r="T55" i="2" s="1"/>
  <c r="X56" i="2" s="1"/>
  <c r="V37" i="2"/>
  <c r="Y37" i="2" s="1"/>
  <c r="V36" i="2"/>
  <c r="Y36" i="2" s="1"/>
  <c r="J116" i="76" l="1"/>
  <c r="J116" i="61"/>
  <c r="K11" i="54"/>
  <c r="I114" i="88"/>
  <c r="J39" i="54"/>
  <c r="J126" i="101"/>
  <c r="J126" i="76"/>
  <c r="J116" i="68"/>
  <c r="L18" i="54" s="1"/>
  <c r="S18" i="54" s="1"/>
  <c r="V18" i="54" s="1"/>
  <c r="W18" i="54" s="1"/>
  <c r="J126" i="68"/>
  <c r="J116" i="101"/>
  <c r="L52" i="54" s="1"/>
  <c r="S52" i="54" s="1"/>
  <c r="V52" i="54" s="1"/>
  <c r="W52" i="54" s="1"/>
  <c r="J114" i="62"/>
  <c r="K12" i="54" s="1"/>
  <c r="J43" i="54"/>
  <c r="I114" i="92"/>
  <c r="Q54" i="54"/>
  <c r="J10" i="54"/>
  <c r="I114" i="60"/>
  <c r="J7" i="54"/>
  <c r="I114" i="107"/>
  <c r="F18" i="54"/>
  <c r="G18" i="54"/>
  <c r="R18" i="54"/>
  <c r="I114" i="82"/>
  <c r="J114" i="82" s="1"/>
  <c r="J33" i="54"/>
  <c r="J23" i="54"/>
  <c r="I114" i="72"/>
  <c r="F13" i="54"/>
  <c r="R13" i="54"/>
  <c r="G13" i="54"/>
  <c r="I114" i="79"/>
  <c r="J30" i="54"/>
  <c r="I114" i="90"/>
  <c r="J41" i="54"/>
  <c r="G16" i="54"/>
  <c r="F16" i="54"/>
  <c r="R16" i="54"/>
  <c r="I114" i="94"/>
  <c r="J45" i="54"/>
  <c r="J116" i="67"/>
  <c r="J53" i="54"/>
  <c r="I114" i="102"/>
  <c r="J114" i="102" s="1"/>
  <c r="I114" i="96"/>
  <c r="J47" i="54"/>
  <c r="J46" i="54"/>
  <c r="I114" i="95"/>
  <c r="J50" i="54"/>
  <c r="I114" i="99"/>
  <c r="J114" i="99" s="1"/>
  <c r="L16" i="54"/>
  <c r="S16" i="54" s="1"/>
  <c r="V16" i="54" s="1"/>
  <c r="W16" i="54" s="1"/>
  <c r="J120" i="66"/>
  <c r="J124" i="66" s="1"/>
  <c r="J120" i="68"/>
  <c r="J124" i="68" s="1"/>
  <c r="J24" i="54"/>
  <c r="I114" i="73"/>
  <c r="J56" i="54"/>
  <c r="I114" i="105"/>
  <c r="Q56" i="54"/>
  <c r="J120" i="63"/>
  <c r="J124" i="63" s="1"/>
  <c r="L13" i="54"/>
  <c r="S13" i="54" s="1"/>
  <c r="V13" i="54" s="1"/>
  <c r="W13" i="54" s="1"/>
  <c r="I114" i="86"/>
  <c r="J37" i="54"/>
  <c r="J40" i="54"/>
  <c r="I114" i="89"/>
  <c r="J42" i="54"/>
  <c r="I114" i="91"/>
  <c r="J116" i="58"/>
  <c r="K8" i="54"/>
  <c r="J38" i="54"/>
  <c r="I114" i="87"/>
  <c r="J114" i="87" s="1"/>
  <c r="I114" i="100"/>
  <c r="J51" i="54"/>
  <c r="J120" i="76"/>
  <c r="J124" i="76" s="1"/>
  <c r="L27" i="54"/>
  <c r="S27" i="54" s="1"/>
  <c r="V27" i="54" s="1"/>
  <c r="W27" i="54" s="1"/>
  <c r="I114" i="74"/>
  <c r="J114" i="74" s="1"/>
  <c r="J25" i="54"/>
  <c r="G17" i="54"/>
  <c r="F17" i="54"/>
  <c r="R17" i="54"/>
  <c r="J9" i="54"/>
  <c r="I114" i="59"/>
  <c r="I114" i="80"/>
  <c r="J31" i="54"/>
  <c r="J28" i="54"/>
  <c r="I114" i="77"/>
  <c r="I114" i="93"/>
  <c r="J114" i="93" s="1"/>
  <c r="J44" i="54"/>
  <c r="J20" i="54"/>
  <c r="I114" i="69"/>
  <c r="J126" i="67"/>
  <c r="I114" i="75"/>
  <c r="J26" i="54"/>
  <c r="G52" i="54"/>
  <c r="R52" i="54"/>
  <c r="F52" i="54"/>
  <c r="I114" i="104"/>
  <c r="J55" i="54"/>
  <c r="I114" i="108"/>
  <c r="J19" i="54"/>
  <c r="J21" i="54"/>
  <c r="I114" i="70"/>
  <c r="I114" i="78"/>
  <c r="J29" i="54"/>
  <c r="I114" i="65"/>
  <c r="J15" i="54"/>
  <c r="J109" i="62"/>
  <c r="J12" i="54" s="1"/>
  <c r="I12" i="54"/>
  <c r="Q12" i="54" s="1"/>
  <c r="I114" i="85"/>
  <c r="J36" i="54"/>
  <c r="Q55" i="54"/>
  <c r="J14" i="54"/>
  <c r="I114" i="64"/>
  <c r="I114" i="81"/>
  <c r="J32" i="54"/>
  <c r="J54" i="54"/>
  <c r="I114" i="103"/>
  <c r="G27" i="54"/>
  <c r="F27" i="54"/>
  <c r="R27" i="54"/>
  <c r="X85" i="2"/>
  <c r="Y85" i="2" s="1"/>
  <c r="X86" i="2"/>
  <c r="Y86" i="2" s="1"/>
  <c r="I85" i="2"/>
  <c r="J85" i="2" s="1"/>
  <c r="I108" i="56" s="1"/>
  <c r="Y38" i="2"/>
  <c r="H108" i="56"/>
  <c r="K108" i="56" s="1"/>
  <c r="H110" i="56"/>
  <c r="J114" i="88" l="1"/>
  <c r="J126" i="88" s="1"/>
  <c r="F11" i="54"/>
  <c r="G11" i="54"/>
  <c r="R11" i="54"/>
  <c r="J120" i="61"/>
  <c r="J124" i="61" s="1"/>
  <c r="L11" i="54"/>
  <c r="S11" i="54" s="1"/>
  <c r="V11" i="54" s="1"/>
  <c r="W11" i="54" s="1"/>
  <c r="J120" i="101"/>
  <c r="J124" i="101" s="1"/>
  <c r="M52" i="54" s="1"/>
  <c r="Z52" i="54" s="1"/>
  <c r="J116" i="62"/>
  <c r="J126" i="62"/>
  <c r="L8" i="54"/>
  <c r="S8" i="54" s="1"/>
  <c r="V8" i="54" s="1"/>
  <c r="W8" i="54" s="1"/>
  <c r="J120" i="58"/>
  <c r="J124" i="58" s="1"/>
  <c r="J126" i="82"/>
  <c r="K33" i="54"/>
  <c r="J116" i="82"/>
  <c r="J114" i="77"/>
  <c r="J126" i="77" s="1"/>
  <c r="J120" i="67"/>
  <c r="J124" i="67" s="1"/>
  <c r="L17" i="54"/>
  <c r="S17" i="54" s="1"/>
  <c r="V17" i="54" s="1"/>
  <c r="W17" i="54" s="1"/>
  <c r="J126" i="93"/>
  <c r="K44" i="54"/>
  <c r="J116" i="93"/>
  <c r="J114" i="89"/>
  <c r="J126" i="89" s="1"/>
  <c r="F8" i="54"/>
  <c r="R8" i="54"/>
  <c r="G8" i="54"/>
  <c r="J114" i="107"/>
  <c r="J114" i="72"/>
  <c r="J126" i="72" s="1"/>
  <c r="J114" i="78"/>
  <c r="J126" i="78" s="1"/>
  <c r="E88" i="106"/>
  <c r="G88" i="106" s="1"/>
  <c r="M13" i="54"/>
  <c r="Z13" i="54" s="1"/>
  <c r="J114" i="60"/>
  <c r="J126" i="60" s="1"/>
  <c r="L12" i="54"/>
  <c r="S12" i="54" s="1"/>
  <c r="V12" i="54" s="1"/>
  <c r="J120" i="62"/>
  <c r="J124" i="62" s="1"/>
  <c r="J114" i="91"/>
  <c r="J126" i="91" s="1"/>
  <c r="J114" i="108"/>
  <c r="J126" i="108" s="1"/>
  <c r="J126" i="102"/>
  <c r="K53" i="54"/>
  <c r="J116" i="102"/>
  <c r="J114" i="103"/>
  <c r="J126" i="103" s="1"/>
  <c r="J126" i="74"/>
  <c r="K25" i="54"/>
  <c r="J116" i="74"/>
  <c r="E203" i="106"/>
  <c r="G203" i="106" s="1"/>
  <c r="M27" i="54"/>
  <c r="Z27" i="54" s="1"/>
  <c r="J114" i="80"/>
  <c r="J126" i="80" s="1"/>
  <c r="J114" i="59"/>
  <c r="J126" i="59" s="1"/>
  <c r="J114" i="105"/>
  <c r="J126" i="105" s="1"/>
  <c r="J114" i="81"/>
  <c r="E134" i="106"/>
  <c r="G134" i="106" s="1"/>
  <c r="M18" i="54"/>
  <c r="Z18" i="54" s="1"/>
  <c r="J114" i="92"/>
  <c r="J126" i="92" s="1"/>
  <c r="J126" i="99"/>
  <c r="K50" i="54"/>
  <c r="J116" i="99"/>
  <c r="J114" i="100"/>
  <c r="J126" i="100" s="1"/>
  <c r="J114" i="90"/>
  <c r="J126" i="90" s="1"/>
  <c r="J114" i="65"/>
  <c r="J126" i="65" s="1"/>
  <c r="J114" i="96"/>
  <c r="J126" i="96" s="1"/>
  <c r="J114" i="70"/>
  <c r="J114" i="94"/>
  <c r="J126" i="94" s="1"/>
  <c r="J114" i="64"/>
  <c r="J126" i="64" s="1"/>
  <c r="J114" i="75"/>
  <c r="J126" i="75" s="1"/>
  <c r="J126" i="87"/>
  <c r="K38" i="54"/>
  <c r="J116" i="87"/>
  <c r="M16" i="54"/>
  <c r="Z16" i="54" s="1"/>
  <c r="E117" i="106"/>
  <c r="G117" i="106" s="1"/>
  <c r="J114" i="95"/>
  <c r="J126" i="95" s="1"/>
  <c r="J114" i="86"/>
  <c r="J126" i="86" s="1"/>
  <c r="J114" i="104"/>
  <c r="J126" i="104" s="1"/>
  <c r="J114" i="73"/>
  <c r="J126" i="73" s="1"/>
  <c r="J114" i="85"/>
  <c r="J126" i="85" s="1"/>
  <c r="J114" i="69"/>
  <c r="J126" i="69" s="1"/>
  <c r="J114" i="79"/>
  <c r="J126" i="79" s="1"/>
  <c r="G12" i="54"/>
  <c r="F12" i="54"/>
  <c r="R12" i="54"/>
  <c r="Y107" i="2"/>
  <c r="Y109" i="2" s="1"/>
  <c r="J111" i="2" s="1"/>
  <c r="I147" i="56" s="1"/>
  <c r="J107" i="2"/>
  <c r="I142" i="56" s="1"/>
  <c r="I60" i="54" s="1"/>
  <c r="L108" i="56"/>
  <c r="E433" i="106" l="1"/>
  <c r="G433" i="106" s="1"/>
  <c r="E69" i="106"/>
  <c r="G69" i="106" s="1"/>
  <c r="M11" i="54"/>
  <c r="Z11" i="54" s="1"/>
  <c r="K39" i="54"/>
  <c r="J116" i="88"/>
  <c r="F38" i="54"/>
  <c r="R38" i="54"/>
  <c r="G38" i="54"/>
  <c r="K19" i="54"/>
  <c r="J116" i="108"/>
  <c r="K40" i="54"/>
  <c r="J116" i="89"/>
  <c r="K32" i="54"/>
  <c r="J116" i="81"/>
  <c r="K42" i="54"/>
  <c r="J116" i="91"/>
  <c r="J120" i="93"/>
  <c r="J124" i="93" s="1"/>
  <c r="L44" i="54"/>
  <c r="S44" i="54" s="1"/>
  <c r="U44" i="54" s="1"/>
  <c r="W44" i="54" s="1"/>
  <c r="F44" i="54"/>
  <c r="G44" i="54"/>
  <c r="R44" i="54"/>
  <c r="L53" i="54"/>
  <c r="J120" i="102"/>
  <c r="J124" i="102" s="1"/>
  <c r="K21" i="54"/>
  <c r="J116" i="70"/>
  <c r="K54" i="54"/>
  <c r="J116" i="103"/>
  <c r="F53" i="54"/>
  <c r="G53" i="54"/>
  <c r="J126" i="81"/>
  <c r="K45" i="54"/>
  <c r="J116" i="94"/>
  <c r="J126" i="70"/>
  <c r="J116" i="59"/>
  <c r="K9" i="54"/>
  <c r="J116" i="60"/>
  <c r="K10" i="54"/>
  <c r="M17" i="54"/>
  <c r="Z17" i="54" s="1"/>
  <c r="E126" i="106"/>
  <c r="G126" i="106" s="1"/>
  <c r="M12" i="54"/>
  <c r="Z12" i="54" s="1"/>
  <c r="E76" i="106"/>
  <c r="G76" i="106" s="1"/>
  <c r="L50" i="54"/>
  <c r="S50" i="54" s="1"/>
  <c r="W50" i="54" s="1"/>
  <c r="J120" i="99"/>
  <c r="J124" i="99" s="1"/>
  <c r="L38" i="54"/>
  <c r="S38" i="54" s="1"/>
  <c r="W38" i="54" s="1"/>
  <c r="J120" i="87"/>
  <c r="J124" i="87" s="1"/>
  <c r="F50" i="54"/>
  <c r="R50" i="54"/>
  <c r="G50" i="54"/>
  <c r="K28" i="54"/>
  <c r="J116" i="77"/>
  <c r="K30" i="54"/>
  <c r="J116" i="79"/>
  <c r="K20" i="54"/>
  <c r="J116" i="69"/>
  <c r="K56" i="54"/>
  <c r="J116" i="105"/>
  <c r="K55" i="54"/>
  <c r="J116" i="104"/>
  <c r="K15" i="54"/>
  <c r="J116" i="65"/>
  <c r="L33" i="54"/>
  <c r="S33" i="54" s="1"/>
  <c r="W33" i="54" s="1"/>
  <c r="J120" i="82"/>
  <c r="J124" i="82" s="1"/>
  <c r="K43" i="54"/>
  <c r="J116" i="92"/>
  <c r="K26" i="54"/>
  <c r="J116" i="75"/>
  <c r="K29" i="54"/>
  <c r="J116" i="78"/>
  <c r="F33" i="54"/>
  <c r="R33" i="54"/>
  <c r="G33" i="54"/>
  <c r="K37" i="54"/>
  <c r="J116" i="86"/>
  <c r="J120" i="74"/>
  <c r="J124" i="74" s="1"/>
  <c r="L25" i="54"/>
  <c r="S25" i="54" s="1"/>
  <c r="U25" i="54" s="1"/>
  <c r="W25" i="54" s="1"/>
  <c r="K14" i="54"/>
  <c r="J116" i="64"/>
  <c r="W12" i="54"/>
  <c r="V58" i="54"/>
  <c r="K47" i="54"/>
  <c r="J116" i="96"/>
  <c r="K31" i="54"/>
  <c r="J116" i="80"/>
  <c r="K41" i="54"/>
  <c r="J116" i="90"/>
  <c r="J116" i="95"/>
  <c r="K46" i="54"/>
  <c r="G25" i="54"/>
  <c r="R25" i="54"/>
  <c r="F25" i="54"/>
  <c r="K23" i="54"/>
  <c r="J116" i="72"/>
  <c r="M8" i="54"/>
  <c r="Z8" i="54" s="1"/>
  <c r="E10" i="106"/>
  <c r="G10" i="106" s="1"/>
  <c r="J116" i="107"/>
  <c r="K7" i="54"/>
  <c r="K36" i="54"/>
  <c r="J116" i="85"/>
  <c r="K24" i="54"/>
  <c r="J116" i="73"/>
  <c r="K51" i="54"/>
  <c r="J116" i="100"/>
  <c r="J126" i="107"/>
  <c r="J109" i="2"/>
  <c r="I144" i="56" s="1"/>
  <c r="J60" i="54" s="1"/>
  <c r="I6" i="54"/>
  <c r="Q6" i="54" s="1"/>
  <c r="Q58" i="54" s="1"/>
  <c r="L39" i="54" l="1"/>
  <c r="S39" i="54" s="1"/>
  <c r="U39" i="54" s="1"/>
  <c r="W39" i="54" s="1"/>
  <c r="J120" i="88"/>
  <c r="J124" i="88" s="1"/>
  <c r="R39" i="54"/>
  <c r="F39" i="54"/>
  <c r="G39" i="54"/>
  <c r="L15" i="54"/>
  <c r="S15" i="54" s="1"/>
  <c r="U15" i="54" s="1"/>
  <c r="W15" i="54" s="1"/>
  <c r="J120" i="65"/>
  <c r="J124" i="65" s="1"/>
  <c r="M38" i="54"/>
  <c r="Z38" i="54" s="1"/>
  <c r="E305" i="106"/>
  <c r="G305" i="106" s="1"/>
  <c r="F41" i="54"/>
  <c r="G41" i="54"/>
  <c r="R41" i="54"/>
  <c r="E442" i="106"/>
  <c r="G442" i="106" s="1"/>
  <c r="M53" i="54"/>
  <c r="Z53" i="54" s="1"/>
  <c r="G47" i="54"/>
  <c r="F47" i="54"/>
  <c r="R47" i="54"/>
  <c r="E413" i="106"/>
  <c r="M50" i="54"/>
  <c r="Z50" i="54" s="1"/>
  <c r="L43" i="54"/>
  <c r="S43" i="54" s="1"/>
  <c r="W43" i="54" s="1"/>
  <c r="J120" i="92"/>
  <c r="J124" i="92" s="1"/>
  <c r="F21" i="54"/>
  <c r="R21" i="54"/>
  <c r="G21" i="54"/>
  <c r="L55" i="54"/>
  <c r="S55" i="54" s="1"/>
  <c r="W55" i="54" s="1"/>
  <c r="J120" i="104"/>
  <c r="J124" i="104" s="1"/>
  <c r="G36" i="54"/>
  <c r="R36" i="54"/>
  <c r="F36" i="54"/>
  <c r="J120" i="96"/>
  <c r="J124" i="96" s="1"/>
  <c r="L47" i="54"/>
  <c r="S47" i="54" s="1"/>
  <c r="W47" i="54" s="1"/>
  <c r="L14" i="54"/>
  <c r="S14" i="54" s="1"/>
  <c r="W14" i="54" s="1"/>
  <c r="J120" i="64"/>
  <c r="J124" i="64" s="1"/>
  <c r="F10" i="54"/>
  <c r="R10" i="54"/>
  <c r="G10" i="54"/>
  <c r="F7" i="54"/>
  <c r="G7" i="54"/>
  <c r="R7" i="54"/>
  <c r="J120" i="107"/>
  <c r="J124" i="107" s="1"/>
  <c r="L7" i="54"/>
  <c r="S7" i="54" s="1"/>
  <c r="W7" i="54" s="1"/>
  <c r="R56" i="54"/>
  <c r="G56" i="54"/>
  <c r="F56" i="54"/>
  <c r="F43" i="54"/>
  <c r="G43" i="54"/>
  <c r="R43" i="54"/>
  <c r="J120" i="100"/>
  <c r="J124" i="100" s="1"/>
  <c r="L51" i="54"/>
  <c r="S51" i="54" s="1"/>
  <c r="W51" i="54" s="1"/>
  <c r="R42" i="54"/>
  <c r="F42" i="54"/>
  <c r="G42" i="54"/>
  <c r="J120" i="90"/>
  <c r="J124" i="90" s="1"/>
  <c r="L41" i="54"/>
  <c r="S41" i="54" s="1"/>
  <c r="W41" i="54" s="1"/>
  <c r="J120" i="80"/>
  <c r="J124" i="80" s="1"/>
  <c r="L31" i="54"/>
  <c r="S31" i="54" s="1"/>
  <c r="U31" i="54" s="1"/>
  <c r="W31" i="54" s="1"/>
  <c r="J120" i="73"/>
  <c r="J124" i="73" s="1"/>
  <c r="L24" i="54"/>
  <c r="S24" i="54" s="1"/>
  <c r="W24" i="54" s="1"/>
  <c r="R24" i="54"/>
  <c r="G24" i="54"/>
  <c r="F24" i="54"/>
  <c r="F14" i="54"/>
  <c r="R14" i="54"/>
  <c r="G14" i="54"/>
  <c r="E188" i="106"/>
  <c r="G188" i="106" s="1"/>
  <c r="M25" i="54"/>
  <c r="Z25" i="54" s="1"/>
  <c r="J120" i="69"/>
  <c r="J124" i="69" s="1"/>
  <c r="L20" i="54"/>
  <c r="S20" i="54" s="1"/>
  <c r="U20" i="54" s="1"/>
  <c r="W20" i="54" s="1"/>
  <c r="L37" i="54"/>
  <c r="S37" i="54" s="1"/>
  <c r="W37" i="54" s="1"/>
  <c r="J120" i="86"/>
  <c r="J124" i="86" s="1"/>
  <c r="J120" i="108"/>
  <c r="J124" i="108" s="1"/>
  <c r="L19" i="54"/>
  <c r="S19" i="54" s="1"/>
  <c r="W19" i="54" s="1"/>
  <c r="F26" i="54"/>
  <c r="G26" i="54"/>
  <c r="R26" i="54"/>
  <c r="M33" i="54"/>
  <c r="Z33" i="54" s="1"/>
  <c r="E260" i="106"/>
  <c r="G260" i="106" s="1"/>
  <c r="R51" i="54"/>
  <c r="G51" i="54"/>
  <c r="F51" i="54"/>
  <c r="F15" i="54"/>
  <c r="R15" i="54"/>
  <c r="G15" i="54"/>
  <c r="J120" i="60"/>
  <c r="J124" i="60" s="1"/>
  <c r="L10" i="54"/>
  <c r="S10" i="54" s="1"/>
  <c r="U10" i="54" s="1"/>
  <c r="W10" i="54" s="1"/>
  <c r="R9" i="54"/>
  <c r="F9" i="54"/>
  <c r="G9" i="54"/>
  <c r="J120" i="79"/>
  <c r="J124" i="79" s="1"/>
  <c r="L30" i="54"/>
  <c r="S30" i="54" s="1"/>
  <c r="W30" i="54" s="1"/>
  <c r="G23" i="54"/>
  <c r="R23" i="54"/>
  <c r="F23" i="54"/>
  <c r="R30" i="54"/>
  <c r="G30" i="54"/>
  <c r="F30" i="54"/>
  <c r="G40" i="54"/>
  <c r="F40" i="54"/>
  <c r="R40" i="54"/>
  <c r="R19" i="54"/>
  <c r="G19" i="54"/>
  <c r="F19" i="54"/>
  <c r="E361" i="106"/>
  <c r="G361" i="106" s="1"/>
  <c r="M44" i="54"/>
  <c r="Z44" i="54" s="1"/>
  <c r="L42" i="54"/>
  <c r="S42" i="54" s="1"/>
  <c r="W42" i="54" s="1"/>
  <c r="J120" i="91"/>
  <c r="J124" i="91" s="1"/>
  <c r="L32" i="54"/>
  <c r="S32" i="54" s="1"/>
  <c r="U32" i="54" s="1"/>
  <c r="J120" i="81"/>
  <c r="J124" i="81" s="1"/>
  <c r="J120" i="72"/>
  <c r="J124" i="72" s="1"/>
  <c r="L23" i="54"/>
  <c r="S23" i="54" s="1"/>
  <c r="W23" i="54" s="1"/>
  <c r="R37" i="54"/>
  <c r="G37" i="54"/>
  <c r="F37" i="54"/>
  <c r="F45" i="54"/>
  <c r="R45" i="54"/>
  <c r="G45" i="54"/>
  <c r="L28" i="54"/>
  <c r="S28" i="54" s="1"/>
  <c r="W28" i="54" s="1"/>
  <c r="J120" i="77"/>
  <c r="J124" i="77" s="1"/>
  <c r="L21" i="54"/>
  <c r="S21" i="54" s="1"/>
  <c r="W21" i="54" s="1"/>
  <c r="J120" i="70"/>
  <c r="J124" i="70" s="1"/>
  <c r="G31" i="54"/>
  <c r="R31" i="54"/>
  <c r="F31" i="54"/>
  <c r="L36" i="54"/>
  <c r="S36" i="54" s="1"/>
  <c r="W36" i="54" s="1"/>
  <c r="J120" i="85"/>
  <c r="J124" i="85" s="1"/>
  <c r="G55" i="54"/>
  <c r="R55" i="54"/>
  <c r="F55" i="54"/>
  <c r="L56" i="54"/>
  <c r="S56" i="54" s="1"/>
  <c r="W56" i="54" s="1"/>
  <c r="J120" i="105"/>
  <c r="J124" i="105" s="1"/>
  <c r="J120" i="59"/>
  <c r="J124" i="59" s="1"/>
  <c r="L9" i="54"/>
  <c r="S9" i="54" s="1"/>
  <c r="U9" i="54" s="1"/>
  <c r="W9" i="54" s="1"/>
  <c r="G20" i="54"/>
  <c r="R20" i="54"/>
  <c r="F20" i="54"/>
  <c r="F32" i="54"/>
  <c r="G32" i="54"/>
  <c r="R32" i="54"/>
  <c r="J120" i="94"/>
  <c r="J124" i="94" s="1"/>
  <c r="L45" i="54"/>
  <c r="S45" i="54" s="1"/>
  <c r="W45" i="54" s="1"/>
  <c r="G46" i="54"/>
  <c r="F46" i="54"/>
  <c r="R46" i="54"/>
  <c r="G29" i="54"/>
  <c r="R29" i="54"/>
  <c r="F29" i="54"/>
  <c r="J120" i="103"/>
  <c r="J124" i="103" s="1"/>
  <c r="L54" i="54"/>
  <c r="S54" i="54" s="1"/>
  <c r="W54" i="54" s="1"/>
  <c r="J120" i="89"/>
  <c r="J124" i="89" s="1"/>
  <c r="L40" i="54"/>
  <c r="S40" i="54" s="1"/>
  <c r="U40" i="54" s="1"/>
  <c r="W40" i="54" s="1"/>
  <c r="R28" i="54"/>
  <c r="F28" i="54"/>
  <c r="G28" i="54"/>
  <c r="L29" i="54"/>
  <c r="S29" i="54" s="1"/>
  <c r="U29" i="54" s="1"/>
  <c r="W29" i="54" s="1"/>
  <c r="J120" i="78"/>
  <c r="J124" i="78" s="1"/>
  <c r="J120" i="95"/>
  <c r="J124" i="95" s="1"/>
  <c r="L46" i="54"/>
  <c r="S46" i="54" s="1"/>
  <c r="W46" i="54" s="1"/>
  <c r="L26" i="54"/>
  <c r="S26" i="54" s="1"/>
  <c r="W26" i="54" s="1"/>
  <c r="J120" i="75"/>
  <c r="J124" i="75" s="1"/>
  <c r="G54" i="54"/>
  <c r="R54" i="54"/>
  <c r="F54" i="54"/>
  <c r="I114" i="2"/>
  <c r="I149" i="56" s="1"/>
  <c r="J6" i="54"/>
  <c r="J58" i="54" s="1"/>
  <c r="J62" i="54" s="1"/>
  <c r="I58" i="54"/>
  <c r="I62" i="54" s="1"/>
  <c r="H149" i="56"/>
  <c r="E315" i="106" l="1"/>
  <c r="G315" i="106" s="1"/>
  <c r="M39" i="54"/>
  <c r="Z39" i="54" s="1"/>
  <c r="E288" i="106"/>
  <c r="G288" i="106" s="1"/>
  <c r="M36" i="54"/>
  <c r="Z36" i="54" s="1"/>
  <c r="M7" i="54"/>
  <c r="Z7" i="54" s="1"/>
  <c r="E8" i="106"/>
  <c r="G8" i="106" s="1"/>
  <c r="E151" i="106"/>
  <c r="G151" i="106" s="1"/>
  <c r="M21" i="54"/>
  <c r="Z21" i="54" s="1"/>
  <c r="E53" i="106"/>
  <c r="G53" i="106" s="1"/>
  <c r="G479" i="106" s="1"/>
  <c r="M10" i="54"/>
  <c r="Z10" i="54" s="1"/>
  <c r="E211" i="106"/>
  <c r="G211" i="106" s="1"/>
  <c r="M28" i="54"/>
  <c r="Z28" i="54" s="1"/>
  <c r="E379" i="106"/>
  <c r="G379" i="106" s="1"/>
  <c r="M46" i="54"/>
  <c r="Z46" i="54" s="1"/>
  <c r="M31" i="54"/>
  <c r="Z31" i="54" s="1"/>
  <c r="E241" i="106"/>
  <c r="G241" i="106" s="1"/>
  <c r="M37" i="54"/>
  <c r="Z37" i="54" s="1"/>
  <c r="E296" i="106"/>
  <c r="G296" i="106" s="1"/>
  <c r="M47" i="54"/>
  <c r="Z47" i="54" s="1"/>
  <c r="E388" i="106"/>
  <c r="G388" i="106" s="1"/>
  <c r="E179" i="106"/>
  <c r="G179" i="106" s="1"/>
  <c r="M24" i="54"/>
  <c r="Z24" i="54" s="1"/>
  <c r="E169" i="106"/>
  <c r="G169" i="106" s="1"/>
  <c r="M23" i="54"/>
  <c r="Z23" i="54" s="1"/>
  <c r="M30" i="54"/>
  <c r="Z30" i="54" s="1"/>
  <c r="E230" i="106"/>
  <c r="G230" i="106" s="1"/>
  <c r="M29" i="54"/>
  <c r="Z29" i="54" s="1"/>
  <c r="E222" i="106"/>
  <c r="G222" i="106" s="1"/>
  <c r="M32" i="54"/>
  <c r="Z32" i="54" s="1"/>
  <c r="E251" i="106"/>
  <c r="G251" i="106" s="1"/>
  <c r="M51" i="54"/>
  <c r="Z51" i="54" s="1"/>
  <c r="E423" i="106"/>
  <c r="G423" i="106" s="1"/>
  <c r="M26" i="54"/>
  <c r="Z26" i="54" s="1"/>
  <c r="E196" i="106"/>
  <c r="G196" i="106" s="1"/>
  <c r="M41" i="54"/>
  <c r="Z41" i="54" s="1"/>
  <c r="E332" i="106"/>
  <c r="G332" i="106" s="1"/>
  <c r="E141" i="106"/>
  <c r="G141" i="106" s="1"/>
  <c r="M19" i="54"/>
  <c r="Z19" i="54" s="1"/>
  <c r="M56" i="54"/>
  <c r="Z56" i="54" s="1"/>
  <c r="E469" i="106"/>
  <c r="G469" i="106" s="1"/>
  <c r="M54" i="54"/>
  <c r="Z54" i="54" s="1"/>
  <c r="E450" i="106"/>
  <c r="G450" i="106" s="1"/>
  <c r="U58" i="54"/>
  <c r="W32" i="54"/>
  <c r="E142" i="106"/>
  <c r="G142" i="106" s="1"/>
  <c r="M20" i="54"/>
  <c r="Z20" i="54" s="1"/>
  <c r="E106" i="106"/>
  <c r="G106" i="106" s="1"/>
  <c r="M15" i="54"/>
  <c r="Z15" i="54" s="1"/>
  <c r="M43" i="54"/>
  <c r="Z43" i="54" s="1"/>
  <c r="E351" i="106"/>
  <c r="G351" i="106" s="1"/>
  <c r="M45" i="54"/>
  <c r="Z45" i="54" s="1"/>
  <c r="E372" i="106"/>
  <c r="G372" i="106" s="1"/>
  <c r="M14" i="54"/>
  <c r="Z14" i="54" s="1"/>
  <c r="E96" i="106"/>
  <c r="G96" i="106" s="1"/>
  <c r="M9" i="54"/>
  <c r="Z9" i="54" s="1"/>
  <c r="E14" i="106"/>
  <c r="G14" i="106" s="1"/>
  <c r="M40" i="54"/>
  <c r="Z40" i="54" s="1"/>
  <c r="E323" i="106"/>
  <c r="G323" i="106" s="1"/>
  <c r="E341" i="106"/>
  <c r="G341" i="106" s="1"/>
  <c r="M42" i="54"/>
  <c r="Z42" i="54" s="1"/>
  <c r="M55" i="54"/>
  <c r="Z55" i="54" s="1"/>
  <c r="E460" i="106"/>
  <c r="G460" i="106" s="1"/>
  <c r="J114" i="2"/>
  <c r="J126" i="2" s="1"/>
  <c r="J116" i="2" l="1"/>
  <c r="I151" i="56" s="1"/>
  <c r="K6" i="54"/>
  <c r="K58" i="54" s="1"/>
  <c r="I155" i="56"/>
  <c r="K60" i="54" s="1"/>
  <c r="G6" i="54" l="1"/>
  <c r="K62" i="54"/>
  <c r="R6" i="54"/>
  <c r="F6" i="54"/>
  <c r="J120" i="2"/>
  <c r="J124" i="2" s="1"/>
  <c r="I159" i="56" s="1"/>
  <c r="L6" i="54"/>
  <c r="L58" i="54" s="1"/>
  <c r="J59" i="57" s="1"/>
  <c r="L60" i="54"/>
  <c r="R58" i="54"/>
  <c r="F58" i="54"/>
  <c r="G58" i="54"/>
  <c r="S6" i="54" l="1"/>
  <c r="W6" i="54" s="1"/>
  <c r="W58" i="54" s="1"/>
  <c r="E5" i="106"/>
  <c r="E479" i="106" s="1"/>
  <c r="M6" i="54"/>
  <c r="M58" i="54" s="1"/>
  <c r="M60" i="54"/>
  <c r="E486" i="106"/>
  <c r="S58" i="54"/>
  <c r="L62" i="54"/>
  <c r="Z6" i="54" l="1"/>
  <c r="G5" i="106"/>
  <c r="M62" i="54"/>
  <c r="E510" i="106"/>
  <c r="G486" i="106"/>
  <c r="G510" i="106" s="1"/>
  <c r="G480" i="106" l="1"/>
  <c r="G512" i="10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Local Admin</author>
  </authors>
  <commentList>
    <comment ref="G8" authorId="0" shapeId="0" xr:uid="{A2D17944-F90D-4437-B341-B0FC843C9D0E}">
      <text>
        <r>
          <rPr>
            <b/>
            <sz val="9"/>
            <color indexed="81"/>
            <rFont val="Tahoma"/>
            <family val="2"/>
          </rPr>
          <t>Local Admin:</t>
        </r>
        <r>
          <rPr>
            <sz val="9"/>
            <color indexed="81"/>
            <rFont val="Tahoma"/>
            <family val="2"/>
          </rPr>
          <t xml:space="preserve">
Amount was 530,665.23 in previous months due to not stand alone payment in previous disbursements</t>
        </r>
      </text>
    </comment>
    <comment ref="H51" authorId="0" shapeId="0" xr:uid="{3D6F12DA-D355-420D-9BF8-E83D6231D671}">
      <text>
        <r>
          <rPr>
            <b/>
            <sz val="9"/>
            <color indexed="81"/>
            <rFont val="Tahoma"/>
            <family val="2"/>
          </rPr>
          <t>Local Admin:</t>
        </r>
        <r>
          <rPr>
            <sz val="9"/>
            <color indexed="81"/>
            <rFont val="Tahoma"/>
            <family val="2"/>
          </rPr>
          <t xml:space="preserve">
Amount was 275,467.04 in October payment due to not including stand alone payment.</t>
        </r>
      </text>
    </comment>
    <comment ref="G75" authorId="0" shapeId="0" xr:uid="{F383C382-5AFA-4ECA-98B3-F47DE4FF2DD7}">
      <text>
        <r>
          <rPr>
            <b/>
            <sz val="9"/>
            <color indexed="81"/>
            <rFont val="Tahoma"/>
            <family val="2"/>
          </rPr>
          <t>Local Admin:</t>
        </r>
        <r>
          <rPr>
            <sz val="9"/>
            <color indexed="81"/>
            <rFont val="Tahoma"/>
            <family val="2"/>
          </rPr>
          <t xml:space="preserve">
Updated to include standalone payment</t>
        </r>
      </text>
    </comment>
    <comment ref="H118" authorId="0" shapeId="0" xr:uid="{53EE2F37-F286-4214-B68C-2780360B4F29}">
      <text>
        <r>
          <rPr>
            <b/>
            <sz val="9"/>
            <color indexed="81"/>
            <rFont val="Tahoma"/>
            <family val="2"/>
          </rPr>
          <t>Local Admin:</t>
        </r>
        <r>
          <rPr>
            <sz val="9"/>
            <color indexed="81"/>
            <rFont val="Tahoma"/>
            <family val="2"/>
          </rPr>
          <t xml:space="preserve">
Updated to include stand alone payment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<sst xmlns="http://schemas.openxmlformats.org/spreadsheetml/2006/main" count="20171" uniqueCount="590">
  <si>
    <t>(Insert district number in cell A1, enter, then strike F9. Your district data then pulls from Calculation Detail Sheets)</t>
  </si>
  <si>
    <t>Based on the 2025-26 FEFP Second Calculation</t>
  </si>
  <si>
    <t xml:space="preserve">School District: </t>
  </si>
  <si>
    <t>1A.   2025-26 FEFP State and Local Funding</t>
  </si>
  <si>
    <t>Base Student Allocation</t>
  </si>
  <si>
    <t>Comparable Wage Factor:</t>
  </si>
  <si>
    <t>Small District Factor</t>
  </si>
  <si>
    <t>2025-26</t>
  </si>
  <si>
    <t>Program</t>
  </si>
  <si>
    <t>Weighted FTE</t>
  </si>
  <si>
    <t>Base Funding</t>
  </si>
  <si>
    <t>Number of FTE</t>
  </si>
  <si>
    <t>Cost Factor</t>
  </si>
  <si>
    <t>(2) x (3)</t>
  </si>
  <si>
    <t>(WFTE x BSA x CWF x SDF)</t>
  </si>
  <si>
    <t>(1)</t>
  </si>
  <si>
    <t>(2)</t>
  </si>
  <si>
    <t>(3)</t>
  </si>
  <si>
    <t>(4)</t>
  </si>
  <si>
    <t>(5)</t>
  </si>
  <si>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</si>
  <si>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</si>
  <si>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</si>
  <si>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</si>
  <si>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</si>
  <si>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</si>
  <si>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</si>
  <si>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</si>
  <si>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</si>
  <si>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</si>
  <si>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</si>
  <si>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</si>
  <si>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</si>
  <si>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</si>
  <si>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</si>
  <si>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</si>
  <si>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Totals</t>
  </si>
  <si>
    <t>Letters in Parentheses Refer to Notes at Bottom of Worksheet:</t>
  </si>
  <si>
    <t>Additional FTE</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</si>
  <si>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</si>
  <si>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2025-26
Base Funding                              (WFTE x BSA x CWF x SDF)</t>
  </si>
  <si>
    <t>Small District ESE Supplement</t>
  </si>
  <si>
    <t>Total Additional FTE</t>
  </si>
  <si>
    <t>Additional Base Funds</t>
  </si>
  <si>
    <t xml:space="preserve">Total Funded Weighted FTE </t>
  </si>
  <si>
    <t>Total Base Funding</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</si>
  <si>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</si>
  <si>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t>Maintenance Portion (6.67% of Conference Base Funding)</t>
  </si>
  <si>
    <t>(a)</t>
  </si>
  <si>
    <t>X</t>
  </si>
  <si>
    <t>Growth Portion (0.54% of Conference Base Funding)</t>
  </si>
  <si>
    <t xml:space="preserve">         Total Salary Increase Allocation</t>
  </si>
  <si>
    <t xml:space="preserve"> </t>
  </si>
  <si>
    <t>2.   ESE Guaranteed Allocation:</t>
  </si>
  <si>
    <t>FTE</t>
  </si>
  <si>
    <t>Grade Level</t>
  </si>
  <si>
    <t>Matrix Level</t>
  </si>
  <si>
    <t>Guarantee Per Student</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</si>
  <si>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</si>
  <si>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PK-3</t>
  </si>
  <si>
    <t>4-8</t>
  </si>
  <si>
    <t>9-12</t>
  </si>
  <si>
    <t>Total FTE with ESE Services</t>
  </si>
  <si>
    <t>Total ESE Guarantee</t>
  </si>
  <si>
    <t>3A. Divide school's Unweighted FTE (UFTE) total computed in Section 1, cell C28 above by the district's total UFTE to obtain school's</t>
  </si>
  <si>
    <t xml:space="preserve"> UFTE share.           Charter School UFTE: </t>
  </si>
  <si>
    <t>÷</t>
  </si>
  <si>
    <t>District's Total UFTE:</t>
  </si>
  <si>
    <t>=</t>
  </si>
  <si>
    <t>3B. Divide school's Weighted FTE (WFTE) total computed in Section 1, cell E33 above by the district's total WFTE to obtain school's</t>
  </si>
  <si>
    <t xml:space="preserve"> WFTE share.          Charter School WFTE: </t>
  </si>
  <si>
    <t>District's Total WFTE:</t>
  </si>
  <si>
    <t>3C. Divide school's Unweighted FTE (UFTE) total computed in Section 1, cell C28 above by the district's total non-scholarship UFTE to obtain school's</t>
  </si>
  <si>
    <t xml:space="preserve"> UFTE share.          Charter School UFTE: </t>
  </si>
  <si>
    <t>District's Total Non-Scholarship UFTE:</t>
  </si>
  <si>
    <t>3D. Divide school's Unweighted FTE (UFTE) total computed in Section 1, cell C28 above by the district's total non-virtual UFTE to obtain school's</t>
  </si>
  <si>
    <t>District's Total Non-Virtual UFTE:</t>
  </si>
  <si>
    <t>3E. Divide school's Unweighted FTE (UFTE) total computed in Section 1, cell C28 above by the district's total non-scholarship and non-virtual UFTE to obtain school's</t>
  </si>
  <si>
    <t>District's Total Non-Scholarship Non-Virtual UFTE:</t>
  </si>
  <si>
    <t>4.   Educational Enrichment Share (Non-Virtual UFTE share)</t>
  </si>
  <si>
    <t>(e)</t>
  </si>
  <si>
    <t>x</t>
  </si>
  <si>
    <t>5.   Discretionary Millage Compression Allocation</t>
  </si>
  <si>
    <t>.748 Mills (UFTE share)</t>
  </si>
  <si>
    <t>(b)</t>
  </si>
  <si>
    <t>6.   Safe Schools Allocation (Non-Virtual and Non-Scholarship UFTE share)</t>
  </si>
  <si>
    <t>(f)</t>
  </si>
  <si>
    <t>7.   Mental Health Assistance Allocation (Non-Scholarship UFTE share)</t>
  </si>
  <si>
    <t>(d)</t>
  </si>
  <si>
    <t>8.   Academic Acceleration Options Supplement (Value share)</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</si>
  <si>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</si>
  <si>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</si>
  <si>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</si>
  <si>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Advanced Placement</t>
  </si>
  <si>
    <t>International Baccalaureate</t>
  </si>
  <si>
    <t>Advanced International Certificate</t>
  </si>
  <si>
    <t>Industry Certified Career Education</t>
  </si>
  <si>
    <t>Early High School Graduation</t>
  </si>
  <si>
    <t>Dual Enrollment</t>
  </si>
  <si>
    <t>School total value</t>
  </si>
  <si>
    <t>District total value</t>
  </si>
  <si>
    <t>School Academic Acceleration Option Supplement</t>
  </si>
  <si>
    <t>9.    Discretionary Local Effort (WFTE share)</t>
  </si>
  <si>
    <t>(c)</t>
  </si>
  <si>
    <t>10.  Proration to Funds Available (WFTE share)</t>
  </si>
  <si>
    <t>11.  Educational Enrollment Stabilization Program (UFTE share)</t>
  </si>
  <si>
    <t>12.  Class Size Reduction Funds:</t>
  </si>
  <si>
    <t>Weighted FTE (not including Add-On)</t>
  </si>
  <si>
    <r>
      <t xml:space="preserve">X         </t>
    </r>
    <r>
      <rPr>
        <b/>
        <u/>
        <sz val="12"/>
        <rFont val="Times New Roman"/>
        <family val="1"/>
      </rPr>
      <t xml:space="preserve"> CWF</t>
    </r>
    <r>
      <rPr>
        <b/>
        <sz val="12"/>
        <rFont val="Times New Roman"/>
        <family val="1"/>
      </rPr>
      <t xml:space="preserve">         X</t>
    </r>
  </si>
  <si>
    <t>Allocation factors</t>
  </si>
  <si>
    <t>PK - 3</t>
  </si>
  <si>
    <r>
      <t xml:space="preserve">Total </t>
    </r>
    <r>
      <rPr>
        <b/>
        <sz val="12"/>
        <color indexed="30"/>
        <rFont val="Times New Roman"/>
        <family val="1"/>
      </rPr>
      <t>*</t>
    </r>
  </si>
  <si>
    <t>Total Class Size Reduction Funds</t>
  </si>
  <si>
    <t>(*Total FTE should equal total in Section 1, column (4) and should not include any additional FTE from Section 1.)</t>
  </si>
  <si>
    <t>13.  Student Transportation</t>
  </si>
  <si>
    <t>(h)</t>
  </si>
  <si>
    <t>Enter All Adjusted Fundable Riders</t>
  </si>
  <si>
    <t xml:space="preserve"> x</t>
  </si>
  <si>
    <t>Enter All Adjusted ESE Riders</t>
  </si>
  <si>
    <t>14.  Federally Connected Student Supplement</t>
  </si>
  <si>
    <t>(i)</t>
  </si>
  <si>
    <t>Impact Aid Student Type</t>
  </si>
  <si>
    <t>Number of Students</t>
  </si>
  <si>
    <t>Exempt Property Allocation</t>
  </si>
  <si>
    <t>Impact Aid Student Allocation</t>
  </si>
  <si>
    <t>Total</t>
  </si>
  <si>
    <t>Military and Indian Lands</t>
  </si>
  <si>
    <t>Civilians on Federal Lands</t>
  </si>
  <si>
    <t>Students with Disabilities</t>
  </si>
  <si>
    <t>15.  Food Service Allocation</t>
  </si>
  <si>
    <t>(j)</t>
  </si>
  <si>
    <t>16.  Total Less Salary Increase Allocation (for administrative fee calculation)</t>
  </si>
  <si>
    <t>(k)</t>
  </si>
  <si>
    <t>17.  Funding for the purpose of calculating the administrative fee for ESE charter schools.</t>
  </si>
  <si>
    <t>(l)</t>
  </si>
  <si>
    <t>If you have more than a 75% ESE student population, please place a 1 in the following box:</t>
  </si>
  <si>
    <t>NOTES:</t>
  </si>
  <si>
    <t xml:space="preserve">(a) This allocation will be frozen as of the 2025-26 FEFP Conference Calculation and will not be recalculated throughout the year. Charter school allocations are recommended not to be recalculated with fluctuations in student enrollment later in the year. </t>
  </si>
  <si>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</si>
  <si>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</si>
  <si>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</si>
  <si>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</si>
  <si>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</si>
  <si>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</si>
  <si>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(h)  Numbers entered here will be multiplied by the district level transportation funding per rider. "All Adjusted Fundable Riders" should include both basic and ESE Riders. "All Adjusted ESE Riders" should include only ESE Riders.</t>
  </si>
  <si>
    <t xml:space="preserve">(i) The Federally Connected Student Supplement provides additional funding for students on federal lands that receive Section 8003 impact aide pursuant to s. 1011.62(10), F.S. </t>
  </si>
  <si>
    <t xml:space="preserve">(j) Funding based on student eligibility and meals provided, if participating in the National School Lunch Program. </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</si>
  <si>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</si>
  <si>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</si>
  <si>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</si>
  <si>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</si>
  <si>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</si>
  <si>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</si>
  <si>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</si>
  <si>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</si>
  <si>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t>Revenue Estimate Worksheet: Palm Beach Preparatory Middle School 0040</t>
  </si>
  <si>
    <t>Total FTE</t>
  </si>
  <si>
    <t>Average FTE</t>
  </si>
  <si>
    <r>
      <t xml:space="preserve">Number of FTE
</t>
    </r>
    <r>
      <rPr>
        <i/>
        <sz val="9"/>
        <color indexed="10"/>
        <rFont val="Times New Roman"/>
        <family val="1"/>
      </rPr>
      <t>Charter schools should contact their school district sponsor regarding eligible FTE. Please note that “Number of FTE” is NOT equivalent to number of students enrolled in these courses or programs. Please refer to footnote (a) below.</t>
    </r>
  </si>
  <si>
    <t>Additional Funding from the ESE Guaranteed Allocation. Enter the FTE from 111,112, &amp; 113 by grade and matrix level.  Students who do not have a matrix level should be considered 251.  This total should equal all FTE from programs 111, 112 &amp; 113 above.</t>
  </si>
  <si>
    <t>3B. Divide school's Weighted FTE (WFTE) total computed in Section 1, cell E39 above by the district's total WFTE to obtain school's</t>
  </si>
  <si>
    <t>District's Total Non-Virtual and Non-Scholarship UFTE:</t>
  </si>
  <si>
    <t>.748 Mills</t>
  </si>
  <si>
    <t>6.   Safe Schools Allocation (Non-Virtual and Scholarship UFTE share)</t>
  </si>
  <si>
    <t>7.  Mental Health Assistance Allocation (Non-Scholarship UFTE share)</t>
  </si>
  <si>
    <t>8.  Academic Acceleration Options Supplement (Value share)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</si>
  <si>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(a) below.</t>
    </r>
  </si>
  <si>
    <t>9.    ESE Guaranteed Allocation</t>
  </si>
  <si>
    <t>10.  Discretionary Local Effort (WFTE share)</t>
  </si>
  <si>
    <t>11.  Proration to Funds Available (WFTE share)</t>
  </si>
  <si>
    <t>12.  Educational Enrollment Stabilization Program (UFTE share)</t>
  </si>
  <si>
    <t>13.  Class Size Reduction Funds:</t>
  </si>
  <si>
    <t>X          CWF         X</t>
  </si>
  <si>
    <t>14.  Student Transportation</t>
  </si>
  <si>
    <t>15.  Federally Connected Student Supplement</t>
  </si>
  <si>
    <t>16.  Food Service Allocation</t>
  </si>
  <si>
    <t>Total Funding for Calculating the Administrative fee of Charters with More Than 75% ESE Students.</t>
  </si>
  <si>
    <t xml:space="preserve">This tab of the worksheet is Set up to show estimated funding based on Unweighted FTE for charter schools with ESE populations of more than 75% so that </t>
  </si>
  <si>
    <t>the proper administrative fee can be estimated. It should not be necessary to enter data on this page.</t>
  </si>
  <si>
    <t>Palm Beach</t>
  </si>
  <si>
    <t>September 2025</t>
  </si>
  <si>
    <t>Less Administrative Fee (5% for up to 250 students of Un-Weighted FTE)</t>
  </si>
  <si>
    <t>Total Estimated Revenue</t>
  </si>
  <si>
    <t>Previous Charter School Payments Made</t>
  </si>
  <si>
    <t>Remaining Estimated Revenue</t>
  </si>
  <si>
    <t>Number of Remaining Months</t>
  </si>
  <si>
    <t>Current month's payment amount</t>
  </si>
  <si>
    <t>Excess of Administrative Fees to be Allocated to Capital Expenditures</t>
  </si>
  <si>
    <t>Admin</t>
  </si>
  <si>
    <t>Fee %</t>
  </si>
  <si>
    <t>Annual</t>
  </si>
  <si>
    <t>Current</t>
  </si>
  <si>
    <t>Sec 1 Rev/Fee per FTE</t>
  </si>
  <si>
    <t>Net Rev Per Sec 1 FTE</t>
  </si>
  <si>
    <t>H/P</t>
  </si>
  <si>
    <t>ESE</t>
  </si>
  <si>
    <t>W/O TSIA</t>
  </si>
  <si>
    <t>Revenue</t>
  </si>
  <si>
    <t>Rev - TSIA</t>
  </si>
  <si>
    <t>Admin Fee</t>
  </si>
  <si>
    <t>Net Revenue</t>
  </si>
  <si>
    <t>Mth's Pmt</t>
  </si>
  <si>
    <t>Sec 1 FTE</t>
  </si>
  <si>
    <t>Rev</t>
  </si>
  <si>
    <t>Fee</t>
  </si>
  <si>
    <t>Net Rev</t>
  </si>
  <si>
    <t>75% ESE</t>
  </si>
  <si>
    <t>Other</t>
  </si>
  <si>
    <t>0040</t>
  </si>
  <si>
    <t>Palm Beach Preparatory Middle School</t>
  </si>
  <si>
    <t>0100</t>
  </si>
  <si>
    <t>The Learning Center Highschool</t>
  </si>
  <si>
    <t>1461</t>
  </si>
  <si>
    <t>Inlet Grove Community High School</t>
  </si>
  <si>
    <t>1571</t>
  </si>
  <si>
    <t>South Tech Charter Academy</t>
  </si>
  <si>
    <t>2521</t>
  </si>
  <si>
    <t>Ed Venture</t>
  </si>
  <si>
    <t>2531</t>
  </si>
  <si>
    <t>Bodwell Academy</t>
  </si>
  <si>
    <t>2791</t>
  </si>
  <si>
    <t>The Learning Center @ The Els Center of Excl</t>
  </si>
  <si>
    <t>2801</t>
  </si>
  <si>
    <t>Palm Beach Maritime Academy Elementary</t>
  </si>
  <si>
    <t>2911</t>
  </si>
  <si>
    <t>Western Academy Charter School</t>
  </si>
  <si>
    <t>2941</t>
  </si>
  <si>
    <t>Palm Beach School for Autism</t>
  </si>
  <si>
    <t>3083</t>
  </si>
  <si>
    <t>The Learning Academy @ The Els Center of Excl</t>
  </si>
  <si>
    <t>3345</t>
  </si>
  <si>
    <t>Career Academy of the Palm Beaches</t>
  </si>
  <si>
    <t>3381</t>
  </si>
  <si>
    <t>Imagine Schools - Chancellor Campus</t>
  </si>
  <si>
    <t>3382</t>
  </si>
  <si>
    <t xml:space="preserve">Glades Academy </t>
  </si>
  <si>
    <t>3391</t>
  </si>
  <si>
    <t>Seagull Academy for Independent Living</t>
  </si>
  <si>
    <t>3394</t>
  </si>
  <si>
    <t>Montessori Academy of Early Enrichment</t>
  </si>
  <si>
    <t>3395</t>
  </si>
  <si>
    <t>Somerset Academy Charter School</t>
  </si>
  <si>
    <t>3396</t>
  </si>
  <si>
    <t xml:space="preserve">G-Star School of the Arts </t>
  </si>
  <si>
    <t>3398</t>
  </si>
  <si>
    <t>Everglades Preparatory Academy</t>
  </si>
  <si>
    <t>3400</t>
  </si>
  <si>
    <t>Believers Academy</t>
  </si>
  <si>
    <t>3401</t>
  </si>
  <si>
    <t>Quantum High School</t>
  </si>
  <si>
    <t>3413</t>
  </si>
  <si>
    <t>Somerset Academy Boca</t>
  </si>
  <si>
    <t>3421</t>
  </si>
  <si>
    <t>Worthington High School</t>
  </si>
  <si>
    <t>3431</t>
  </si>
  <si>
    <t>Renaissance Charter School at WPB</t>
  </si>
  <si>
    <t>South Tech Preparatory Academy (MS)</t>
  </si>
  <si>
    <t>Palm Beach Maritime Academy Secondary</t>
  </si>
  <si>
    <t>3941</t>
  </si>
  <si>
    <t>Ben Gamla Charter School</t>
  </si>
  <si>
    <t>3961</t>
  </si>
  <si>
    <t>Gardens School of Technology Arts</t>
  </si>
  <si>
    <t>3971</t>
  </si>
  <si>
    <t>Palm Beach Preparatory Charter Academy</t>
  </si>
  <si>
    <t>4001</t>
  </si>
  <si>
    <t>Renaissance Charter School at Wellington</t>
  </si>
  <si>
    <t xml:space="preserve">Renaissance Charter School at Summit </t>
  </si>
  <si>
    <t xml:space="preserve">Somerset Academy Canyons Middle School </t>
  </si>
  <si>
    <t xml:space="preserve">Somerset Academy Canyons High School </t>
  </si>
  <si>
    <t>Franklin Academy - Boynton Beach</t>
  </si>
  <si>
    <t>Olympus International Academy</t>
  </si>
  <si>
    <t>Somerset Academy Wellington</t>
  </si>
  <si>
    <t xml:space="preserve">Somerset Academy Boca Middle School </t>
  </si>
  <si>
    <t>Renaissance Charter School at Cypress</t>
  </si>
  <si>
    <t>Renaissance Charter School at Central Palm</t>
  </si>
  <si>
    <t>Franklin Academy - Palm Beach Gardens</t>
  </si>
  <si>
    <t>University Preparatory Academy</t>
  </si>
  <si>
    <t>Florida Futures Academy - North Campus</t>
  </si>
  <si>
    <t>Sports Leadership Academy (SLAM)</t>
  </si>
  <si>
    <t>Somerset Academy Lakes</t>
  </si>
  <si>
    <t>Connections Education Center of the PBs</t>
  </si>
  <si>
    <t>BridgePrep Academy of Palm Beach</t>
  </si>
  <si>
    <t>SLAM Boca</t>
  </si>
  <si>
    <t>SLAM HS Palm Beach</t>
  </si>
  <si>
    <t>Somerset Academy Wellington HS</t>
  </si>
  <si>
    <t>Consolidated tab totals</t>
  </si>
  <si>
    <t>Difference</t>
  </si>
  <si>
    <t>Palm Beach County Charter Schools</t>
  </si>
  <si>
    <t>Sorted by School Number</t>
  </si>
  <si>
    <t>Sorted by School Name</t>
  </si>
  <si>
    <t>Dept #</t>
  </si>
  <si>
    <t>Charter School Name</t>
  </si>
  <si>
    <t>PALM BEACH PREPARATORY ACADEMY MS</t>
  </si>
  <si>
    <t>THE LEARNING CENTER HS</t>
  </si>
  <si>
    <t>3391 Seagull Academy for Independent Living and 2531 Potentials Charter School merged in FY 25 and changed their name to Bodwell Academy</t>
  </si>
  <si>
    <t>4102</t>
  </si>
  <si>
    <t>BridgePrep Academy of PB</t>
  </si>
  <si>
    <t>4100</t>
  </si>
  <si>
    <t>Connections Education Center of the Palm Beaches</t>
  </si>
  <si>
    <t>3961 Garden School of Technology is closing for FY 26.</t>
  </si>
  <si>
    <t>Bodwell Academy (formerly - Potentials Charter School)</t>
  </si>
  <si>
    <t>4080 University Prep is closed for FY 26</t>
  </si>
  <si>
    <t>The Learning Center at The Els Center of Excellence</t>
  </si>
  <si>
    <t>4081</t>
  </si>
  <si>
    <t>4020</t>
  </si>
  <si>
    <t>4061</t>
  </si>
  <si>
    <t>New Schools</t>
  </si>
  <si>
    <t>The Learning Academy at The Els Center of Excellence</t>
  </si>
  <si>
    <t>G-Star School of the Arts for Motion Pictures and Television</t>
  </si>
  <si>
    <t>Somserset Avenir</t>
  </si>
  <si>
    <t>Somerset Avenir</t>
  </si>
  <si>
    <t>4030</t>
  </si>
  <si>
    <t>Somerset Academy JFK Charter School</t>
  </si>
  <si>
    <t>3924</t>
  </si>
  <si>
    <t>Potentials Charter School</t>
  </si>
  <si>
    <t>4051</t>
  </si>
  <si>
    <t>3441</t>
  </si>
  <si>
    <t>South Tech Preparatory Academy (Middle School)</t>
  </si>
  <si>
    <t>4050</t>
  </si>
  <si>
    <t>4002</t>
  </si>
  <si>
    <t>4012</t>
  </si>
  <si>
    <t>4013</t>
  </si>
  <si>
    <t>4041</t>
  </si>
  <si>
    <t>4131</t>
  </si>
  <si>
    <t>4080</t>
  </si>
  <si>
    <t>University Prep Palm Beach</t>
  </si>
  <si>
    <t>Sports Leadership &amp; Management (SLAM) MS</t>
  </si>
  <si>
    <t>4103</t>
  </si>
  <si>
    <t>Sports Leadership Arts Management (SLAM) Acdemy MHS (Boca)</t>
  </si>
  <si>
    <t>The Learning Center High School</t>
  </si>
  <si>
    <t>Revenue Estimate Worksheet: All Charter Schools (Consolidated Tab)</t>
  </si>
  <si>
    <t xml:space="preserve">Base Student Allocation:   </t>
  </si>
  <si>
    <t xml:space="preserve">District Cost Differential:   </t>
  </si>
  <si>
    <t xml:space="preserve">Small District Factor:   </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</si>
  <si>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</si>
  <si>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</si>
  <si>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</si>
  <si>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</si>
  <si>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</si>
  <si>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</si>
  <si>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</si>
  <si>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</si>
  <si>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</si>
  <si>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</si>
  <si>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t>Totals non-virtual schools</t>
  </si>
  <si>
    <t>Virtual schools ($5,476.28/FTE)</t>
  </si>
  <si>
    <t>Totals all schools</t>
  </si>
  <si>
    <t>2018-19</t>
  </si>
  <si>
    <t>Additional FTE (a)</t>
  </si>
  <si>
    <t>(WFTE x BSA x DCD)</t>
  </si>
  <si>
    <t xml:space="preserve">Total Additional FTE   </t>
  </si>
  <si>
    <t xml:space="preserve">Additional Base Funds  </t>
  </si>
  <si>
    <t xml:space="preserve">Total Funded Weighted FTE   </t>
  </si>
  <si>
    <t xml:space="preserve">Total Base Funding  </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</si>
  <si>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</si>
  <si>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</si>
  <si>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</si>
  <si>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Maintenance Portion (6.67% of Conference Funding)</t>
  </si>
  <si>
    <t>(g) (k)</t>
  </si>
  <si>
    <t>Growth Portion (0.54% of Conference Funding)</t>
  </si>
  <si>
    <t>Total Salary Increase</t>
  </si>
  <si>
    <t>Grade</t>
  </si>
  <si>
    <t>Matrix</t>
  </si>
  <si>
    <t>Guarantee</t>
  </si>
  <si>
    <t>Level</t>
  </si>
  <si>
    <t>Per Student</t>
  </si>
  <si>
    <t>Additional Funding from the ESE Guaranteed Allocation. Enter the FTE from 111,112 and 113 by grade and matrix level.  Students who do not have a matrix level should be considered 251.  This total should equal all FTE from programs 111, 112 and 113 above.</t>
  </si>
  <si>
    <t>3A.   Divide school's Unweighted FTE (UFTE) total computed in Section 1, cell E30 above by the district's total UFTE to obtain school's</t>
  </si>
  <si>
    <t xml:space="preserve">          UFTE share.                          CS UFTE: </t>
  </si>
  <si>
    <t xml:space="preserve">    ÷                    District's total UFTE</t>
  </si>
  <si>
    <t>3B.   Divide school's Weighted FTE (WFTE) total computed in Section 1, cell H30 above by the district's total WFTE to obtain school's</t>
  </si>
  <si>
    <t xml:space="preserve">          WFTE share.                       CS WFTE: </t>
  </si>
  <si>
    <t xml:space="preserve">    ÷                    District's total WFTE</t>
  </si>
  <si>
    <t>3C.   Divide school's Unweighted FTE (UFTE) total computed in Section 1, cell E30 above by the District's total non-scholarship UFTE to obtain school's</t>
  </si>
  <si>
    <r>
      <t xml:space="preserve">         </t>
    </r>
    <r>
      <rPr>
        <b/>
        <sz val="11"/>
        <rFont val="Calibri"/>
        <family val="2"/>
        <scheme val="minor"/>
      </rPr>
      <t xml:space="preserve"> UFTE share. </t>
    </r>
    <r>
      <rPr>
        <b/>
        <sz val="12"/>
        <rFont val="Calibri"/>
        <family val="2"/>
        <scheme val="minor"/>
      </rPr>
      <t xml:space="preserve">                           CS UFTE: </t>
    </r>
  </si>
  <si>
    <t xml:space="preserve">    ÷     District's total non-scholarship UFTE    </t>
  </si>
  <si>
    <t>3D.   Divide school's Unweighted FTE (UFTE) total computed in Section 1, cell E30 above by the District's total non-virtual UFTE to obtain school's</t>
  </si>
  <si>
    <t xml:space="preserve">               ÷                  District's total non-virtual UFTE  </t>
  </si>
  <si>
    <t xml:space="preserve">3E.   Divide school's Unweighted FTE (UFTE) total computed in Section 1, cell E30 above by the district's total non-scholarship/virtual UFTE to obtain </t>
  </si>
  <si>
    <r>
      <t xml:space="preserve">         </t>
    </r>
    <r>
      <rPr>
        <b/>
        <sz val="11"/>
        <rFont val="Calibri"/>
        <family val="2"/>
        <scheme val="minor"/>
      </rPr>
      <t xml:space="preserve"> school's UFTE share. </t>
    </r>
    <r>
      <rPr>
        <b/>
        <sz val="12"/>
        <rFont val="Calibri"/>
        <family val="2"/>
        <scheme val="minor"/>
      </rPr>
      <t xml:space="preserve">             CS UFTE: </t>
    </r>
  </si>
  <si>
    <t xml:space="preserve">÷   Dististict's total non-scholarship/virtual UFTE  </t>
  </si>
  <si>
    <t>4.   Educational Enrichment Share (Non-virtual UFTE share)</t>
  </si>
  <si>
    <t xml:space="preserve">        .748 Mills (UFTE share)</t>
  </si>
  <si>
    <t>6.   Safe Schools Allocation (Non-scholarship/virtual UFTE share)</t>
  </si>
  <si>
    <r>
      <t xml:space="preserve">7.   </t>
    </r>
    <r>
      <rPr>
        <b/>
        <sz val="11"/>
        <rFont val="Calibri"/>
        <family val="2"/>
        <scheme val="minor"/>
      </rPr>
      <t>Mental Health Assistance Allocation (Non-scholarship UFTE share)</t>
    </r>
  </si>
  <si>
    <t>Allocation</t>
  </si>
  <si>
    <t>(not including Add-On)</t>
  </si>
  <si>
    <r>
      <rPr>
        <b/>
        <sz val="12"/>
        <rFont val="Calibri"/>
        <family val="2"/>
      </rPr>
      <t xml:space="preserve">  X  </t>
    </r>
    <r>
      <rPr>
        <b/>
        <u/>
        <sz val="12"/>
        <rFont val="Calibri"/>
        <family val="2"/>
      </rPr>
      <t>CWF</t>
    </r>
    <r>
      <rPr>
        <b/>
        <sz val="12"/>
        <rFont val="Calibri"/>
        <family val="2"/>
      </rPr>
      <t xml:space="preserve">  X</t>
    </r>
  </si>
  <si>
    <t>Factors</t>
  </si>
  <si>
    <t xml:space="preserve">PK - 3      </t>
  </si>
  <si>
    <t xml:space="preserve">4-8       </t>
  </si>
  <si>
    <t xml:space="preserve">9-12       </t>
  </si>
  <si>
    <r>
      <t xml:space="preserve">Total </t>
    </r>
    <r>
      <rPr>
        <b/>
        <sz val="12"/>
        <color indexed="30"/>
        <rFont val="Calibri"/>
        <family val="2"/>
      </rPr>
      <t xml:space="preserve">*   </t>
    </r>
  </si>
  <si>
    <t xml:space="preserve">Total Class Size Reduction Funds  </t>
  </si>
  <si>
    <t>Average</t>
  </si>
  <si>
    <t xml:space="preserve">All Adjusted Fundable Riders  </t>
  </si>
  <si>
    <t xml:space="preserve">All Adjusted ESE Riders (Member Cat L)  </t>
  </si>
  <si>
    <t>12.  Federally Connected Student Supplement</t>
  </si>
  <si>
    <t>Impact Aide</t>
  </si>
  <si>
    <t>Exempt Property</t>
  </si>
  <si>
    <t>Student</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</si>
  <si>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</si>
  <si>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</si>
  <si>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</si>
  <si>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</si>
  <si>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</si>
  <si>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</si>
  <si>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</si>
  <si>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</si>
  <si>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</si>
  <si>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 xml:space="preserve">(i) The Federally Connected Student Supplement provides additional funding for students on federal lands that receive Section 8003 impact aide pursuant to s. 1011.62(13), F.S. </t>
  </si>
  <si>
    <t>Cumulative Payments</t>
  </si>
  <si>
    <t>July</t>
  </si>
  <si>
    <t>August</t>
  </si>
  <si>
    <t>Sept</t>
  </si>
  <si>
    <t>Oct</t>
  </si>
  <si>
    <t>Nov</t>
  </si>
  <si>
    <t>Dec</t>
  </si>
  <si>
    <t>Jan</t>
  </si>
  <si>
    <t>Feb</t>
  </si>
  <si>
    <t>March</t>
  </si>
  <si>
    <t>April</t>
  </si>
  <si>
    <t>May</t>
  </si>
  <si>
    <t>June</t>
  </si>
  <si>
    <t>Payments excluding current month</t>
  </si>
  <si>
    <t>Palm Beach Perparatory Charter Academy</t>
  </si>
  <si>
    <t>Related to first payment (July 2025) to 4080 University Prep</t>
  </si>
  <si>
    <t>Net Revenue - Previous Pmts</t>
  </si>
  <si>
    <t>Calculated Current Payment</t>
  </si>
  <si>
    <t>Actual Current Payment</t>
  </si>
  <si>
    <t>rounding diff</t>
  </si>
  <si>
    <t>*Use this for each tab in worksheet, current month is excluded for  calc.</t>
  </si>
  <si>
    <t>H</t>
  </si>
  <si>
    <t>Revenue Estimate Worksheet: The Learning Center Highschool 0100</t>
  </si>
  <si>
    <t>Revenue Estimate Worksheet: Inlet Grove Community High School - 1461</t>
  </si>
  <si>
    <t>Revenue Estimate Worksheet: South Tech Charter Academy - 1571</t>
  </si>
  <si>
    <t>Revenue Estimate Worksheet: Ed Venture Charter School - 2521</t>
  </si>
  <si>
    <t>Revenue Estimate Worksheet: Bodwell Academy - 2531</t>
  </si>
  <si>
    <t>Revenue Estimate Worksheet: The Learning Center at The Els Center of Excellence - 2791</t>
  </si>
  <si>
    <t>Revenue Estimate Worksheet: Palm Beach Maritime Academy Elementary - 2801</t>
  </si>
  <si>
    <t>Revenue Estimate Worksheet: Western Academy Charter School - 2911</t>
  </si>
  <si>
    <t>Revenue Estimate Worksheet: Palm Beach School for Autism - 2941</t>
  </si>
  <si>
    <t>Revenue Estimate Worksheet: The Learning Academy at The Els Center of Excellence - 3083</t>
  </si>
  <si>
    <t>Revenue Estimate Worksheet: Career Academy of the Palm Beaches - 3345</t>
  </si>
  <si>
    <t>Revenue Estimate Worksheet: Imagine Schools - Chancellor Campus - 3381</t>
  </si>
  <si>
    <t>Revenue Estimate Worksheet: Seagull Academy for Independent Living - 3391</t>
  </si>
  <si>
    <t>Revenue Estimate Worksheet: Montessori Academy of Early Enrichment - 3394</t>
  </si>
  <si>
    <t>Revenue Estimate Worksheet: Somerset Academy JFK Charter School - 3395</t>
  </si>
  <si>
    <t>Revenue Estimate Worksheet: G-Star School of the Arts for Motion Pictures &amp; Television - 3396</t>
  </si>
  <si>
    <t>Revenue Estimate Worksheet: Everglades Preparatory Academy - 3398</t>
  </si>
  <si>
    <t>Revenue Estimate Worksheet: Believers Academy - 3400</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</si>
  <si>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</si>
  <si>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</si>
  <si>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</si>
  <si>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</si>
  <si>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</si>
  <si>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Palm Beach Maritime Academy Secondary - 3924</t>
  </si>
  <si>
    <t>Revenue Estimate Worksheet: Ben Gamla Charter School - 3941</t>
  </si>
  <si>
    <t>Revenue Estimate Worksheet: Gardens School of Technology Arts - 3961</t>
  </si>
  <si>
    <t>Revenue Estimate Worksheet: Palm Beach Preparatory Charter Academy - 3971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</si>
  <si>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</si>
  <si>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</si>
  <si>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</si>
  <si>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</si>
  <si>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Franklin Academy - Boynton Beach - 4020</t>
  </si>
  <si>
    <t>Revenue Estimate Worksheet: Olympus International Academy - 4030</t>
  </si>
  <si>
    <t>Revenue Estimate Worksheet: Somerset Academy Wellington - 4031</t>
  </si>
  <si>
    <t>Revenue Estimate Worksheet: Somerset Academy Boca Middle School - 4041</t>
  </si>
  <si>
    <t>Revenue Estimate Worksheet: Renaissance Charter School at Cypress - 4050</t>
  </si>
  <si>
    <t>Revenue Estimate Worksheet: Franklin Academy - Palm Beach Gardens - 4061</t>
  </si>
  <si>
    <t>Revenue Estimate Worksheet: University Prep Palm Beach - 4080</t>
  </si>
  <si>
    <t>Revenue Estimate Worksheet: Florida Futures Academy - North Campus - 4081</t>
  </si>
  <si>
    <t>Revenue Estimate Worksheet: Sports Leadership &amp; Management Middle School (SLAM) - 4090</t>
  </si>
  <si>
    <t>Revenue Estimate Worksheet: Somerset Academy Lakes - 4091</t>
  </si>
  <si>
    <t>Revenue Estimate Worksheet: Connections Education Center of the Palm Beaches - 4100</t>
  </si>
  <si>
    <t>Revenue Estimate Worksheet: BridgePrep Academy of PB - 4102</t>
  </si>
  <si>
    <t>Revenue Estimate Worksheet: Sports Leadership &amp; Management (SLAM) MHS (Boca) - 4103</t>
  </si>
  <si>
    <t>Revenue Estimate Worksheet: Sports Leadership &amp; Management (SLAM) Academy High School - 4111</t>
  </si>
  <si>
    <t>Revenue Estimate Worksheet: Somerset Academy Wellington HS - 4131</t>
  </si>
  <si>
    <t>9.   Discretionary Local Effort (WFTE share)</t>
  </si>
  <si>
    <t>10.   Proration to Funds Available (WFTE share)</t>
  </si>
  <si>
    <t>11.  Educational Enrollment Stabilization Program (UFTE Share)</t>
  </si>
  <si>
    <t>14.  Food Service Allocation</t>
  </si>
  <si>
    <t>School #</t>
  </si>
  <si>
    <t>School Name</t>
  </si>
  <si>
    <t>Description</t>
  </si>
  <si>
    <t>Adjustments</t>
  </si>
  <si>
    <t>Net</t>
  </si>
  <si>
    <t>NOTES TO ALL CHARTER SCHOOLS</t>
  </si>
  <si>
    <t>Please go to the bottom of the page.</t>
  </si>
  <si>
    <t>PY Final FEFP</t>
  </si>
  <si>
    <t>Sep Teacher Supplies Retract</t>
  </si>
  <si>
    <t>PY Digital C/R</t>
  </si>
  <si>
    <t>PY Dig C/R A/R</t>
  </si>
  <si>
    <t>PY Class Size Cat.</t>
  </si>
  <si>
    <t>Class Size Cat.</t>
  </si>
  <si>
    <t xml:space="preserve">Transportation </t>
  </si>
  <si>
    <t>School Police</t>
  </si>
  <si>
    <t>AT&amp;T</t>
  </si>
  <si>
    <t>Avaya Maintenance</t>
  </si>
  <si>
    <t>LAN &amp; Internet</t>
  </si>
  <si>
    <t>Ends June 2022</t>
  </si>
  <si>
    <t>SWA Fees</t>
  </si>
  <si>
    <t>FY21 TSIA</t>
  </si>
  <si>
    <t>WPB-248085</t>
  </si>
  <si>
    <t>WPB-248086</t>
  </si>
  <si>
    <t>WPB-248087</t>
  </si>
  <si>
    <t>WPB-249234</t>
  </si>
  <si>
    <t>WPB-297918</t>
  </si>
  <si>
    <t>WPB-303998</t>
  </si>
  <si>
    <t>FY21 CSTAG Training</t>
  </si>
  <si>
    <t>FEFP Adj</t>
  </si>
  <si>
    <t>WPB-</t>
  </si>
  <si>
    <t>WPB-271562</t>
  </si>
  <si>
    <t xml:space="preserve">PY Final FEFP </t>
  </si>
  <si>
    <t>Unused FY21 TSIA Funds</t>
  </si>
  <si>
    <t>FL AG - FY18</t>
  </si>
  <si>
    <t>PY Safe Schl Alloc</t>
  </si>
  <si>
    <t>MS Course Recovery</t>
  </si>
  <si>
    <t>WPB-255421</t>
  </si>
  <si>
    <t>WPB-292889</t>
  </si>
  <si>
    <t>SIS Fee Reduction</t>
  </si>
  <si>
    <t>FL AG - FY20</t>
  </si>
  <si>
    <t>WPB-295674</t>
  </si>
  <si>
    <t>WPB-292383</t>
  </si>
  <si>
    <t>Unused FY21 TSIA add'l adj</t>
  </si>
  <si>
    <t>TSIA deducted 02/22</t>
  </si>
  <si>
    <t>WPB-242343</t>
  </si>
  <si>
    <t>WPB-264049</t>
  </si>
  <si>
    <t>Disallowed IDEA</t>
  </si>
  <si>
    <t>WPB-241201</t>
  </si>
  <si>
    <t>WPB-245095</t>
  </si>
  <si>
    <t>WPB-229862</t>
  </si>
  <si>
    <t>WPB-268356</t>
  </si>
  <si>
    <t>Sports Leadership &amp; Management MS (SLAM)</t>
  </si>
  <si>
    <t>TSIA deducted 07/21</t>
  </si>
  <si>
    <t>WPB- 274470</t>
  </si>
  <si>
    <t>WPB- 297231</t>
  </si>
  <si>
    <t>Sports Leadership Arts Management (SLAM) - Boca</t>
  </si>
  <si>
    <t>Net payments</t>
  </si>
  <si>
    <t xml:space="preserve">Total current month's FTE payment amount per Consolidated tab  </t>
  </si>
  <si>
    <t>K-12 Initiative Grant</t>
  </si>
  <si>
    <t>WPB-XXX</t>
  </si>
  <si>
    <t xml:space="preserve">Totals per payment approval sheet  </t>
  </si>
  <si>
    <t xml:space="preserve"> calculation, FY 26.</t>
  </si>
  <si>
    <t>payment calculation.</t>
  </si>
  <si>
    <t>÷          District's Total Non-Scholarship Non-Virtual UFTE:</t>
  </si>
  <si>
    <t>÷     District's Total Non-Scholarship Non-Virtual UFTE:</t>
  </si>
  <si>
    <t>NOT PAYING FY 26</t>
  </si>
  <si>
    <t/>
  </si>
  <si>
    <t>Revenue Estimate Worksheet: Palmetto Park - 0571</t>
  </si>
  <si>
    <t>0571</t>
  </si>
  <si>
    <t>Palmetto Park</t>
  </si>
  <si>
    <t>Revenue Estimate Worksheet: Renaissance Charter School at Central Palm- 4051</t>
  </si>
  <si>
    <t>PALMETTO PARK</t>
  </si>
  <si>
    <t xml:space="preserve">payment calculations. </t>
  </si>
  <si>
    <t>Revenue Estimate Worksheet: Somerset Academy Avenir 3362</t>
  </si>
  <si>
    <t>WPB-303276</t>
  </si>
  <si>
    <t>WPB-310033</t>
  </si>
  <si>
    <t>WPB-310034</t>
  </si>
  <si>
    <t>WPB-310035</t>
  </si>
  <si>
    <t>WPB-310036</t>
  </si>
  <si>
    <t>WPB-310037</t>
  </si>
  <si>
    <t>WPB-310038</t>
  </si>
  <si>
    <t>WPB-310039</t>
  </si>
  <si>
    <t>WPB-310040</t>
  </si>
  <si>
    <t>WPB-310041</t>
  </si>
  <si>
    <t>WPB-310042</t>
  </si>
  <si>
    <t>WPB-310490</t>
  </si>
  <si>
    <t>No payment for January- School closed</t>
  </si>
  <si>
    <t>Oct 2025</t>
  </si>
  <si>
    <t>Feb 2026</t>
  </si>
  <si>
    <t>Oct 2025 FTE</t>
  </si>
  <si>
    <t>Feb 2026 FTE</t>
  </si>
  <si>
    <t>FTE February 026</t>
  </si>
  <si>
    <t>FTE February 2026</t>
  </si>
  <si>
    <t>Based on the 2025-26 Third Calculation Worksheet</t>
  </si>
  <si>
    <t>February 2026</t>
  </si>
  <si>
    <t>1. The FLDOE released the FY25-26 Survey 2 report in December of 2025. FTE counts from this report are used for the February 2026</t>
  </si>
  <si>
    <t>3. The FDOE released the updated October 2025 FY 25-26 Survey 2 Transportation information, which was used for the February 2026</t>
  </si>
  <si>
    <t>Revenue Estimate Worksheet: Glades Academy - 3382</t>
  </si>
  <si>
    <t>WPB-311823</t>
  </si>
  <si>
    <t>WPB-311995</t>
  </si>
  <si>
    <r>
      <t>February 2026</t>
    </r>
    <r>
      <rPr>
        <b/>
        <sz val="10"/>
        <color indexed="12"/>
        <rFont val="Calibri"/>
        <family val="2"/>
      </rPr>
      <t xml:space="preserve"> - </t>
    </r>
    <r>
      <rPr>
        <b/>
        <sz val="10"/>
        <rFont val="Calibri"/>
        <family val="2"/>
      </rPr>
      <t xml:space="preserve">FY </t>
    </r>
    <r>
      <rPr>
        <b/>
        <sz val="10"/>
        <color indexed="12"/>
        <rFont val="Calibri"/>
        <family val="2"/>
      </rPr>
      <t xml:space="preserve">2026 </t>
    </r>
    <r>
      <rPr>
        <b/>
        <sz val="10"/>
        <rFont val="Calibri"/>
        <family val="2"/>
      </rPr>
      <t>Charter School FTE Payment</t>
    </r>
  </si>
  <si>
    <t>4. The FDOE released the October 2025 Survey 2 FY 25-26 ESE information, which was used in the February 2026 calculation</t>
  </si>
  <si>
    <t>WPB-312202</t>
  </si>
  <si>
    <t>WPB-311856</t>
  </si>
  <si>
    <t>WPB-312011</t>
  </si>
  <si>
    <t>WPB-312012</t>
  </si>
  <si>
    <t>2. The FDOE has issued the 2025-26 Third Calc Revenue Worksheet for Charter Schools,  which was used for the 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</si>
</sst>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41" formatCode="_(* #,##0_);_(* \(#,##0\);_(* &quot;-&quot;_);_(@_)"/>
    <numFmt numFmtId="44" formatCode="_(&quot;$&quot;* #,##0.00_);_(&quot;$&quot;* \(#,##0.00\);_(&quot;$&quot;* &quot;-&quot;??_);_(@_)"/>
    <numFmt numFmtId="43" formatCode="_(* #,##0.00_);_(* \(#,##0.00\);_(* &quot;-&quot;??_);_(@_)"/>
    <numFmt numFmtId="164" formatCode="0.000"/>
    <numFmt numFmtId="165" formatCode="_-&quot;$&quot;* #,##0.00_-;\-&quot;$&quot;* #,##0.00_-;_-&quot;$&quot;* &quot;-&quot;??_-;_-@_-"/>
    <numFmt numFmtId="166" formatCode="0.0000"/>
    <numFmt numFmtId="167" formatCode="#,##0.0000"/>
    <numFmt numFmtId="168" formatCode="_-&quot;$&quot;* #,##0_-;\-&quot;$&quot;* #,##0_-;_-&quot;$&quot;* &quot;-&quot;??_-;_-@_-"/>
    <numFmt numFmtId="169" formatCode="0.0000%"/>
    <numFmt numFmtId="170" formatCode="_-* #,##0.00_-;\-* #,##0.00_-;_-* &quot;-&quot;??_-;_-@_-"/>
    <numFmt numFmtId="171" formatCode="0."/>
    <numFmt numFmtId="172" formatCode="_(* #,##0.0000_);_(* \(#,##0.0000\);_(* &quot;-&quot;??_);_(@_)"/>
    <numFmt numFmtId="173" formatCode="#,##0._);\(#,##0.\)"/>
    <numFmt numFmtId="174" formatCode="#,##0;[Red]\(#,##0\)"/>
    <numFmt numFmtId="175" formatCode="#,##0.0000\ \ \ _);\(#,##0.0000\)"/>
    <numFmt numFmtId="176" formatCode="_(* #,##0.0000_);_(* \(#,##0.0000\);_(* &quot;-&quot;????_);_(@_)"/>
    <numFmt numFmtId="177" formatCode="#,##0.0000\ \ \ \ \ \ \ \ \ \ _);\(#,##0.0000\ \ \ \ \ \ \ \ \ \ \)"/>
    <numFmt numFmtId="178" formatCode="#,##0.00\ \ \ \ _);\(#,##0.00\)"/>
    <numFmt numFmtId="179" formatCode="_(* #,##0_);_(* \(#,##0\);_(* &quot;-&quot;??_);_(@_)"/>
    <numFmt numFmtId="180" formatCode="#,##0.00\ \ \ _);\(#,##0.00\)"/>
  </numFmts>
  <fonts count="78" x14ac:knownFonts="1">
    <font>
      <sz val="11"/>
      <color theme="1"/>
      <name val="Calibri"/>
      <family val="2"/>
      <scheme val="minor"/>
    </font>
    <font>
      <sz val="11"/>
      <color theme="1"/>
      <name val="Calibri"/>
      <family val="2"/>
      <scheme val="minor"/>
    </font>
    <font>
      <sz val="10"/>
      <name val="Arial"/>
      <family val="2"/>
    </font>
    <font>
      <b/>
      <sz val="12"/>
      <color indexed="10"/>
      <name val="Times New Roman"/>
      <family val="1"/>
    </font>
    <font>
      <b/>
      <sz val="12"/>
      <color indexed="12"/>
      <name val="Times New Roman"/>
      <family val="1"/>
    </font>
    <font>
      <b/>
      <sz val="12"/>
      <name val="Times New Roman"/>
      <family val="1"/>
    </font>
    <font>
      <sz val="10"/>
      <name val="Arial"/>
      <family val="2"/>
    </font>
    <font>
      <b/>
      <sz val="16"/>
      <name val="Times New Roman"/>
      <family val="1"/>
    </font>
    <font>
      <b/>
      <sz val="14"/>
      <name val="Times New Roman"/>
      <family val="1"/>
    </font>
    <font>
      <sz val="12"/>
      <name val="Times New Roman"/>
      <family val="1"/>
    </font>
    <font>
      <sz val="11"/>
      <name val="Calibri"/>
      <family val="2"/>
    </font>
    <font>
      <b/>
      <sz val="12"/>
      <color rgb="FFFF0000"/>
      <name val="Times New Roman"/>
      <family val="1"/>
    </font>
    <font>
      <b/>
      <i/>
      <sz val="12"/>
      <name val="Times New Roman"/>
      <family val="1"/>
    </font>
    <font>
      <b/>
      <sz val="12"/>
      <color rgb="FF00B050"/>
      <name val="Times New Roman"/>
      <family val="1"/>
    </font>
    <font>
      <i/>
      <sz val="9"/>
      <color indexed="10"/>
      <name val="Times New Roman"/>
      <family val="1"/>
    </font>
    <font>
      <b/>
      <sz val="12"/>
      <color theme="0"/>
      <name val="Times New Roman"/>
      <family val="1"/>
    </font>
    <font>
      <b/>
      <sz val="8"/>
      <color indexed="10"/>
      <name val="Times New Roman"/>
      <family val="1"/>
    </font>
    <font>
      <b/>
      <vertAlign val="superscript"/>
      <sz val="12"/>
      <name val="Times New Roman"/>
      <family val="1"/>
    </font>
    <font>
      <b/>
      <sz val="12"/>
      <color indexed="8"/>
      <name val="Times New Roman"/>
      <family val="1"/>
    </font>
    <font>
      <sz val="12"/>
      <color indexed="10"/>
      <name val="Times New Roman"/>
      <family val="1"/>
    </font>
    <font>
      <b/>
      <u/>
      <sz val="12"/>
      <color indexed="10"/>
      <name val="Times New Roman"/>
      <family val="1"/>
    </font>
    <font>
      <b/>
      <sz val="12"/>
      <name val="Calibri"/>
      <family val="2"/>
    </font>
    <font>
      <b/>
      <u/>
      <sz val="12"/>
      <name val="Times New Roman"/>
      <family val="1"/>
    </font>
    <font>
      <b/>
      <sz val="10"/>
      <name val="Times New Roman"/>
      <family val="1"/>
    </font>
    <font>
      <b/>
      <sz val="12"/>
      <color indexed="30"/>
      <name val="Times New Roman"/>
      <family val="1"/>
    </font>
    <font>
      <i/>
      <sz val="12"/>
      <name val="Times New Roman"/>
      <family val="1"/>
    </font>
    <font>
      <sz val="12"/>
      <name val="Arial"/>
      <family val="2"/>
    </font>
    <font>
      <b/>
      <u/>
      <sz val="10"/>
      <name val="Times New Roman"/>
      <family val="1"/>
    </font>
    <font>
      <b/>
      <i/>
      <sz val="10"/>
      <name val="Times New Roman"/>
      <family val="1"/>
    </font>
    <font>
      <b/>
      <sz val="16"/>
      <name val="Calibri"/>
      <family val="2"/>
      <scheme val="minor"/>
    </font>
    <font>
      <b/>
      <sz val="12"/>
      <color rgb="FFFF0000"/>
      <name val="Calibri"/>
      <family val="2"/>
      <scheme val="minor"/>
    </font>
    <font>
      <b/>
      <sz val="12"/>
      <color rgb="FF0000FF"/>
      <name val="Times New Roman"/>
      <family val="1"/>
    </font>
    <font>
      <b/>
      <u/>
      <sz val="12"/>
      <color rgb="FF0000FF"/>
      <name val="Times New Roman"/>
      <family val="1"/>
    </font>
    <font>
      <sz val="11"/>
      <color rgb="FFFF0000"/>
      <name val="Calibri"/>
      <family val="2"/>
      <scheme val="minor"/>
    </font>
    <font>
      <b/>
      <sz val="11"/>
      <color theme="1"/>
      <name val="Calibri"/>
      <family val="2"/>
      <scheme val="minor"/>
    </font>
    <font>
      <b/>
      <sz val="12"/>
      <color rgb="FF0000FF"/>
      <name val="Calibri"/>
      <family val="2"/>
      <scheme val="minor"/>
    </font>
    <font>
      <b/>
      <sz val="12"/>
      <name val="Calibri"/>
      <family val="2"/>
      <scheme val="minor"/>
    </font>
    <font>
      <b/>
      <sz val="12"/>
      <color theme="0"/>
      <name val="Calibri"/>
      <family val="2"/>
      <scheme val="minor"/>
    </font>
    <font>
      <sz val="10"/>
      <name val="Arial"/>
      <family val="2"/>
    </font>
    <font>
      <sz val="10"/>
      <name val="Calibri"/>
      <family val="2"/>
      <scheme val="minor"/>
    </font>
    <font>
      <b/>
      <sz val="10"/>
      <name val="Calibri"/>
      <family val="2"/>
      <scheme val="minor"/>
    </font>
    <font>
      <b/>
      <sz val="10"/>
      <color rgb="FF0000FF"/>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sz val="10"/>
      <color rgb="FF0000FF"/>
      <name val="Calibri"/>
      <family val="2"/>
      <scheme val="minor"/>
    </font>
    <font>
      <b/>
      <sz val="12"/>
      <color indexed="10"/>
      <name val="Calibri"/>
      <family val="2"/>
      <scheme val="minor"/>
    </font>
    <font>
      <b/>
      <sz val="12"/>
      <color indexed="12"/>
      <name val="Calibri"/>
      <family val="2"/>
      <scheme val="minor"/>
    </font>
    <font>
      <sz val="12"/>
      <name val="Calibri"/>
      <family val="2"/>
      <scheme val="minor"/>
    </font>
    <font>
      <b/>
      <sz val="11"/>
      <name val="Calibri"/>
      <family val="2"/>
      <scheme val="minor"/>
    </font>
    <font>
      <b/>
      <i/>
      <sz val="12"/>
      <name val="Calibri"/>
      <family val="2"/>
    </font>
    <font>
      <sz val="12"/>
      <color rgb="FF0000FF"/>
      <name val="Calibri"/>
      <family val="2"/>
      <scheme val="minor"/>
    </font>
    <font>
      <b/>
      <sz val="12"/>
      <color rgb="FF00B050"/>
      <name val="Calibri"/>
      <family val="2"/>
      <scheme val="minor"/>
    </font>
    <font>
      <b/>
      <sz val="8"/>
      <name val="Calibri"/>
      <family val="2"/>
      <scheme val="minor"/>
    </font>
    <font>
      <b/>
      <sz val="12"/>
      <color indexed="8"/>
      <name val="Calibri"/>
      <family val="2"/>
      <scheme val="minor"/>
    </font>
    <font>
      <b/>
      <u/>
      <sz val="12"/>
      <name val="Calibri"/>
      <family val="2"/>
      <scheme val="minor"/>
    </font>
    <font>
      <b/>
      <u/>
      <sz val="12"/>
      <name val="Calibri"/>
      <family val="2"/>
    </font>
    <font>
      <b/>
      <sz val="12"/>
      <color indexed="30"/>
      <name val="Calibri"/>
      <family val="2"/>
    </font>
    <font>
      <i/>
      <sz val="10"/>
      <name val="Calibri"/>
      <family val="2"/>
      <scheme val="minor"/>
    </font>
    <font>
      <sz val="12"/>
      <color rgb="FFFF0000"/>
      <name val="Calibri"/>
      <family val="2"/>
      <scheme val="minor"/>
    </font>
    <font>
      <sz val="12"/>
      <color indexed="8"/>
      <name val="Calibri"/>
      <family val="2"/>
      <scheme val="minor"/>
    </font>
    <font>
      <sz val="10"/>
      <color theme="1"/>
      <name val="Arial"/>
      <family val="2"/>
    </font>
    <font>
      <b/>
      <sz val="11"/>
      <color rgb="FFFF0000"/>
      <name val="Calibri"/>
      <family val="2"/>
      <scheme val="minor"/>
    </font>
    <font>
      <b/>
      <sz val="10"/>
      <color rgb="FFFF0000"/>
      <name val="Arial"/>
      <family val="2"/>
    </font>
    <font>
      <b/>
      <sz val="10"/>
      <name val="Arial"/>
      <family val="2"/>
    </font>
    <font>
      <b/>
      <sz val="10"/>
      <color theme="1"/>
      <name val="Arial"/>
      <family val="2"/>
    </font>
    <font>
      <sz val="11"/>
      <name val="Calibri"/>
      <family val="2"/>
      <scheme val="minor"/>
    </font>
    <font>
      <sz val="10"/>
      <color rgb="FFFF0000"/>
      <name val="Arial"/>
      <family val="2"/>
    </font>
    <font>
      <b/>
      <sz val="10"/>
      <name val="Calibri"/>
      <family val="2"/>
    </font>
    <font>
      <b/>
      <sz val="10"/>
      <color indexed="12"/>
      <name val="Calibri"/>
      <family val="2"/>
    </font>
    <font>
      <b/>
      <sz val="8"/>
      <name val="Arial"/>
      <family val="2"/>
    </font>
    <font>
      <b/>
      <sz val="8"/>
      <color rgb="FFFFFF00"/>
      <name val="Arial"/>
      <family val="2"/>
    </font>
    <font>
      <sz val="10"/>
      <color rgb="FFFFFF00"/>
      <name val="Calibri"/>
      <family val="2"/>
      <scheme val="minor"/>
    </font>
    <font>
      <b/>
      <sz val="11"/>
      <name val="Times New Roman"/>
      <family val="1"/>
    </font>
    <font>
      <b/>
      <sz val="8"/>
      <name val="Times New Roman"/>
      <family val="1"/>
    </font>
    <font>
      <sz val="9"/>
      <color indexed="81"/>
      <name val="Tahoma"/>
      <family val="2"/>
    </font>
    <font>
      <b/>
      <sz val="9"/>
      <color indexed="81"/>
      <name val="Tahoma"/>
      <family val="2"/>
    </font>
    <font>
      <sz val="12"/>
      <color rgb="FF0000FF"/>
      <name val="Times New Roman"/>
      <family val="1"/>
    </font>
  </fonts>
  <fills count="1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FFF66"/>
        <bgColor indexed="64"/>
      </patternFill>
    </fill>
    <fill>
      <patternFill patternType="solid">
        <fgColor theme="8" tint="0.59999389629810485"/>
        <bgColor indexed="64"/>
      </patternFill>
    </fill>
    <fill>
      <patternFill patternType="solid">
        <fgColor rgb="FFFFC000"/>
        <bgColor indexed="64"/>
      </patternFill>
    </fill>
    <fill>
      <patternFill patternType="solid">
        <fgColor theme="9" tint="0.59999389629810485"/>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s>
  <cellStyleXfs count="23">
    <xf numFmtId="0" fontId="0" fillId="0" borderId="0"/>
    <xf numFmtId="43" fontId="1" fillId="0" borderId="0" applyFont="0" applyFill="0" applyBorder="0" applyAlignment="0" applyProtection="0"/>
    <xf numFmtId="0" fontId="2" fillId="0" borderId="0"/>
    <xf numFmtId="165"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cellStyleXfs>
  <cellXfs count="1004">
    <xf numFmtId="0" fontId="0" fillId="0" borderId="0" xfId="0"/>
    <xf numFmtId="0" fontId="3" fillId="0" borderId="1" xfId="2" applyFont="1" applyBorder="1"/>
    <xf numFmtId="0" fontId="5" fillId="0" borderId="0" xfId="2" applyFont="1"/>
    <xf numFmtId="164" fontId="5" fillId="0" borderId="0" xfId="2" applyNumberFormat="1" applyFont="1"/>
    <xf numFmtId="4" fontId="5" fillId="0" borderId="0" xfId="2" applyNumberFormat="1" applyFont="1"/>
    <xf numFmtId="165" fontId="5" fillId="0" borderId="0" xfId="3" applyFont="1"/>
    <xf numFmtId="0" fontId="7" fillId="0" borderId="0" xfId="2" applyFont="1"/>
    <xf numFmtId="0" fontId="8" fillId="0" borderId="0" xfId="2" applyFont="1"/>
    <xf numFmtId="4" fontId="4" fillId="0" borderId="0" xfId="2" applyNumberFormat="1" applyFont="1"/>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166" fontId="9" fillId="0" borderId="0" xfId="2" applyNumberFormat="1" applyFont="1" applyAlignment="1">
      <alignment horizontal="left"/>
    </xf>
    <xf numFmtId="7" fontId="2" fillId="0" borderId="0" xfId="2" applyNumberFormat="1" applyAlignment="1">
      <alignment horizontal="center"/>
    </xf>
    <xf numFmtId="164" fontId="5" fillId="0" borderId="0" xfId="2" applyNumberFormat="1" applyFont="1" applyAlignment="1">
      <alignment wrapText="1"/>
    </xf>
    <xf numFmtId="4" fontId="5" fillId="0" borderId="0" xfId="2" applyNumberFormat="1" applyFont="1" applyAlignment="1">
      <alignment horizontal="center" wrapText="1"/>
    </xf>
    <xf numFmtId="165" fontId="5" fillId="0" borderId="0" xfId="3" applyFont="1" applyBorder="1" applyAlignment="1">
      <alignment horizontal="center" wrapText="1"/>
    </xf>
    <xf numFmtId="4" fontId="5" fillId="0" borderId="3" xfId="2" applyNumberFormat="1" applyFont="1" applyBorder="1" applyAlignment="1">
      <alignment horizontal="center" wrapText="1"/>
    </xf>
    <xf numFmtId="165" fontId="5" fillId="0" borderId="3" xfId="3" applyFont="1" applyBorder="1" applyAlignment="1">
      <alignment horizontal="center" wrapText="1"/>
    </xf>
    <xf numFmtId="4" fontId="5" fillId="0" borderId="3" xfId="2" quotePrefix="1" applyNumberFormat="1" applyFont="1" applyBorder="1" applyAlignment="1">
      <alignment horizontal="center"/>
    </xf>
    <xf numFmtId="165" fontId="5" fillId="0" borderId="3" xfId="3" quotePrefix="1" applyFont="1" applyBorder="1" applyAlignment="1">
      <alignment horizontal="center"/>
    </xf>
    <xf numFmtId="0" fontId="10" fillId="0" borderId="0" xfId="2" applyFont="1" applyAlignment="1">
      <alignment horizontal="center" vertical="center"/>
    </xf>
    <xf numFmtId="167" fontId="5" fillId="0" borderId="3" xfId="2" applyNumberFormat="1" applyFont="1" applyBorder="1"/>
    <xf numFmtId="166" fontId="5" fillId="0" borderId="5" xfId="2" applyNumberFormat="1" applyFont="1" applyBorder="1"/>
    <xf numFmtId="168" fontId="5" fillId="0" borderId="0" xfId="3" applyNumberFormat="1" applyFont="1" applyBorder="1" applyAlignment="1">
      <alignment horizontal="center"/>
    </xf>
    <xf numFmtId="0" fontId="5" fillId="0" borderId="0" xfId="2" applyFont="1" applyAlignment="1">
      <alignment wrapText="1"/>
    </xf>
    <xf numFmtId="4" fontId="15" fillId="3" borderId="5" xfId="2" applyNumberFormat="1" applyFont="1" applyFill="1" applyBorder="1"/>
    <xf numFmtId="4" fontId="11" fillId="2" borderId="5" xfId="2" applyNumberFormat="1" applyFont="1" applyFill="1" applyBorder="1"/>
    <xf numFmtId="168" fontId="5" fillId="0" borderId="5" xfId="3" applyNumberFormat="1" applyFont="1" applyBorder="1" applyAlignment="1">
      <alignment horizontal="right"/>
    </xf>
    <xf numFmtId="166" fontId="5" fillId="0" borderId="0" xfId="2" applyNumberFormat="1" applyFont="1" applyAlignment="1">
      <alignment horizontal="right"/>
    </xf>
    <xf numFmtId="168" fontId="5" fillId="0" borderId="0" xfId="3" applyNumberFormat="1" applyFont="1" applyBorder="1" applyAlignment="1">
      <alignment horizontal="right"/>
    </xf>
    <xf numFmtId="166" fontId="13" fillId="0" borderId="0" xfId="2" applyNumberFormat="1" applyFont="1" applyAlignment="1">
      <alignment horizontal="right"/>
    </xf>
    <xf numFmtId="168" fontId="5" fillId="0" borderId="1" xfId="3" applyNumberFormat="1" applyFont="1" applyBorder="1"/>
    <xf numFmtId="0" fontId="5" fillId="0" borderId="0" xfId="2" applyFont="1" applyAlignment="1">
      <alignment horizontal="right"/>
    </xf>
    <xf numFmtId="2" fontId="5" fillId="0" borderId="0" xfId="2" applyNumberFormat="1" applyFont="1" applyAlignment="1">
      <alignment horizontal="center"/>
    </xf>
    <xf numFmtId="168" fontId="5" fillId="0" borderId="0" xfId="3" applyNumberFormat="1" applyFont="1" applyBorder="1"/>
    <xf numFmtId="4" fontId="5" fillId="0" borderId="0" xfId="2" quotePrefix="1" applyNumberFormat="1" applyFont="1" applyAlignment="1">
      <alignment horizontal="center"/>
    </xf>
    <xf numFmtId="0" fontId="5" fillId="0" borderId="0" xfId="2" applyFont="1" applyAlignment="1">
      <alignment horizontal="center"/>
    </xf>
    <xf numFmtId="10" fontId="5" fillId="0" borderId="0" xfId="5" applyNumberFormat="1" applyFont="1"/>
    <xf numFmtId="0" fontId="17" fillId="0" borderId="0" xfId="2" applyFont="1" applyAlignment="1">
      <alignment horizontal="right"/>
    </xf>
    <xf numFmtId="3" fontId="5" fillId="0" borderId="0" xfId="2" applyNumberFormat="1" applyFont="1"/>
    <xf numFmtId="169" fontId="5" fillId="0" borderId="0" xfId="2" applyNumberFormat="1" applyFont="1"/>
    <xf numFmtId="0" fontId="5" fillId="0" borderId="0" xfId="2" applyFont="1" applyAlignment="1">
      <alignment horizontal="left"/>
    </xf>
    <xf numFmtId="168" fontId="5" fillId="0" borderId="4" xfId="3" applyNumberFormat="1" applyFont="1" applyFill="1" applyBorder="1"/>
    <xf numFmtId="0" fontId="5" fillId="0" borderId="3" xfId="2" applyFont="1" applyBorder="1"/>
    <xf numFmtId="0" fontId="5" fillId="0" borderId="3" xfId="2" applyFont="1" applyBorder="1" applyAlignment="1">
      <alignment horizontal="center" wrapText="1"/>
    </xf>
    <xf numFmtId="168" fontId="5" fillId="0" borderId="3" xfId="2" applyNumberFormat="1" applyFont="1" applyBorder="1"/>
    <xf numFmtId="0" fontId="5" fillId="0" borderId="0" xfId="2" quotePrefix="1" applyFont="1" applyAlignment="1">
      <alignment horizontal="center"/>
    </xf>
    <xf numFmtId="4" fontId="13" fillId="0" borderId="3" xfId="2" applyNumberFormat="1" applyFont="1" applyBorder="1" applyAlignment="1">
      <alignment horizontal="center"/>
    </xf>
    <xf numFmtId="0" fontId="21" fillId="0" borderId="0" xfId="2" applyFont="1" applyAlignment="1">
      <alignment horizontal="center"/>
    </xf>
    <xf numFmtId="164" fontId="5" fillId="0" borderId="0" xfId="2" applyNumberFormat="1" applyFont="1" applyAlignment="1">
      <alignment horizontal="right"/>
    </xf>
    <xf numFmtId="0" fontId="5" fillId="0" borderId="0" xfId="2" applyFont="1" applyAlignment="1">
      <alignment horizontal="left" indent="2"/>
    </xf>
    <xf numFmtId="0" fontId="5" fillId="0" borderId="0" xfId="2" applyFont="1" applyAlignment="1">
      <alignment horizontal="left" indent="3"/>
    </xf>
    <xf numFmtId="0" fontId="9" fillId="0" borderId="0" xfId="2" quotePrefix="1" applyFont="1" applyAlignment="1">
      <alignment horizontal="center"/>
    </xf>
    <xf numFmtId="0" fontId="9" fillId="0" borderId="0" xfId="2" applyFont="1" applyAlignment="1">
      <alignment horizontal="right"/>
    </xf>
    <xf numFmtId="0" fontId="12" fillId="0" borderId="0" xfId="2" applyFont="1"/>
    <xf numFmtId="2" fontId="5" fillId="0" borderId="0" xfId="2" applyNumberFormat="1" applyFont="1"/>
    <xf numFmtId="170" fontId="5" fillId="0" borderId="0" xfId="6" applyFont="1" applyBorder="1"/>
    <xf numFmtId="170" fontId="5" fillId="0" borderId="0" xfId="6" applyFont="1" applyBorder="1" applyAlignment="1">
      <alignment horizontal="center"/>
    </xf>
    <xf numFmtId="0" fontId="5" fillId="0" borderId="3" xfId="2" applyFont="1" applyBorder="1" applyAlignment="1">
      <alignment horizontal="left" indent="2"/>
    </xf>
    <xf numFmtId="0" fontId="9" fillId="0" borderId="3" xfId="2" quotePrefix="1" applyFont="1" applyBorder="1" applyAlignment="1">
      <alignment horizontal="center"/>
    </xf>
    <xf numFmtId="169" fontId="13" fillId="0" borderId="3" xfId="2" applyNumberFormat="1" applyFont="1" applyBorder="1" applyAlignment="1">
      <alignment horizontal="left" indent="2"/>
    </xf>
    <xf numFmtId="168" fontId="5" fillId="0" borderId="3" xfId="3" applyNumberFormat="1" applyFont="1" applyBorder="1" applyAlignment="1">
      <alignment horizontal="right"/>
    </xf>
    <xf numFmtId="38" fontId="5" fillId="0" borderId="0" xfId="2" applyNumberFormat="1" applyFont="1" applyAlignment="1">
      <alignment horizontal="right"/>
    </xf>
    <xf numFmtId="3" fontId="5" fillId="0" borderId="0" xfId="2" applyNumberFormat="1" applyFont="1" applyAlignment="1">
      <alignment horizontal="right"/>
    </xf>
    <xf numFmtId="4" fontId="11" fillId="3" borderId="5" xfId="2" applyNumberFormat="1" applyFont="1" applyFill="1" applyBorder="1"/>
    <xf numFmtId="164" fontId="5" fillId="0" borderId="0" xfId="2" quotePrefix="1" applyNumberFormat="1" applyFont="1"/>
    <xf numFmtId="43" fontId="5" fillId="0" borderId="0" xfId="7" quotePrefix="1" applyFont="1" applyFill="1"/>
    <xf numFmtId="4" fontId="11" fillId="3" borderId="5" xfId="2" applyNumberFormat="1" applyFont="1" applyFill="1" applyBorder="1" applyAlignment="1">
      <alignment wrapText="1"/>
    </xf>
    <xf numFmtId="0" fontId="5" fillId="0" borderId="5" xfId="2" applyFont="1" applyBorder="1" applyAlignment="1">
      <alignment horizontal="left" indent="3"/>
    </xf>
    <xf numFmtId="0" fontId="23" fillId="0" borderId="0" xfId="2" applyFont="1"/>
    <xf numFmtId="164" fontId="23" fillId="0" borderId="0" xfId="2" applyNumberFormat="1" applyFont="1"/>
    <xf numFmtId="168" fontId="5" fillId="0" borderId="0" xfId="2" applyNumberFormat="1" applyFont="1"/>
    <xf numFmtId="4" fontId="11" fillId="3" borderId="3" xfId="2" applyNumberFormat="1" applyFont="1" applyFill="1" applyBorder="1"/>
    <xf numFmtId="43" fontId="5" fillId="0" borderId="5" xfId="7" applyFont="1" applyBorder="1"/>
    <xf numFmtId="43" fontId="5" fillId="0" borderId="0" xfId="7" applyFont="1" applyBorder="1"/>
    <xf numFmtId="4" fontId="23" fillId="0" borderId="0" xfId="2" quotePrefix="1" applyNumberFormat="1" applyFont="1" applyAlignment="1">
      <alignment horizontal="center"/>
    </xf>
    <xf numFmtId="0" fontId="6" fillId="0" borderId="0" xfId="2" applyFont="1"/>
    <xf numFmtId="0" fontId="22" fillId="0" borderId="0" xfId="2" applyFont="1" applyAlignment="1">
      <alignment horizontal="right"/>
    </xf>
    <xf numFmtId="0" fontId="22" fillId="0" borderId="0" xfId="2" applyFont="1" applyAlignment="1">
      <alignment horizontal="center"/>
    </xf>
    <xf numFmtId="166" fontId="5" fillId="0" borderId="0" xfId="2" applyNumberFormat="1" applyFont="1" applyAlignment="1">
      <alignment horizontal="center"/>
    </xf>
    <xf numFmtId="166" fontId="5" fillId="0" borderId="0" xfId="2" applyNumberFormat="1" applyFont="1"/>
    <xf numFmtId="16" fontId="5" fillId="0" borderId="0" xfId="2" quotePrefix="1" applyNumberFormat="1" applyFont="1" applyAlignment="1">
      <alignment horizontal="right"/>
    </xf>
    <xf numFmtId="0" fontId="5" fillId="0" borderId="0" xfId="2" quotePrefix="1" applyFont="1" applyAlignment="1">
      <alignment horizontal="right"/>
    </xf>
    <xf numFmtId="170" fontId="5" fillId="0" borderId="0" xfId="6" applyFont="1" applyBorder="1" applyAlignment="1">
      <alignment horizontal="right"/>
    </xf>
    <xf numFmtId="4" fontId="5" fillId="0" borderId="0" xfId="2" applyNumberFormat="1" applyFont="1" applyAlignment="1">
      <alignment horizontal="left" indent="2"/>
    </xf>
    <xf numFmtId="38" fontId="5" fillId="0" borderId="0" xfId="2" quotePrefix="1" applyNumberFormat="1" applyFont="1"/>
    <xf numFmtId="0" fontId="5" fillId="0" borderId="3" xfId="2" applyFont="1" applyBorder="1" applyAlignment="1">
      <alignment horizontal="center"/>
    </xf>
    <xf numFmtId="7" fontId="5" fillId="0" borderId="0" xfId="2" applyNumberFormat="1" applyFont="1"/>
    <xf numFmtId="7" fontId="5" fillId="0" borderId="3" xfId="2" applyNumberFormat="1" applyFont="1" applyBorder="1"/>
    <xf numFmtId="0" fontId="11" fillId="0" borderId="0" xfId="2" applyFont="1"/>
    <xf numFmtId="168" fontId="5" fillId="0" borderId="1" xfId="2" applyNumberFormat="1" applyFont="1" applyBorder="1" applyAlignment="1">
      <alignment horizontal="right"/>
    </xf>
    <xf numFmtId="3" fontId="5" fillId="0" borderId="0" xfId="2" quotePrefix="1" applyNumberFormat="1" applyFont="1" applyAlignment="1">
      <alignment horizontal="center"/>
    </xf>
    <xf numFmtId="168" fontId="5" fillId="2" borderId="3" xfId="3" applyNumberFormat="1" applyFont="1" applyFill="1" applyBorder="1" applyAlignment="1">
      <alignment horizontal="right"/>
    </xf>
    <xf numFmtId="0" fontId="26" fillId="0" borderId="0" xfId="2" applyFont="1"/>
    <xf numFmtId="168" fontId="5" fillId="0" borderId="9" xfId="2" applyNumberFormat="1" applyFont="1" applyBorder="1" applyAlignment="1">
      <alignment horizontal="right"/>
    </xf>
    <xf numFmtId="168" fontId="5" fillId="0" borderId="10" xfId="2" applyNumberFormat="1" applyFont="1" applyBorder="1"/>
    <xf numFmtId="0" fontId="11" fillId="2" borderId="3" xfId="2" applyFont="1" applyFill="1" applyBorder="1"/>
    <xf numFmtId="0" fontId="23" fillId="0" borderId="0" xfId="2" applyFont="1" applyAlignment="1">
      <alignment horizontal="left"/>
    </xf>
    <xf numFmtId="171" fontId="5" fillId="0" borderId="0" xfId="2" applyNumberFormat="1" applyFont="1" applyAlignment="1">
      <alignment horizontal="left"/>
    </xf>
    <xf numFmtId="0" fontId="7" fillId="0" borderId="0" xfId="2" applyFont="1" applyAlignment="1"/>
    <xf numFmtId="0" fontId="5" fillId="0" borderId="3" xfId="2" applyFont="1" applyBorder="1" applyAlignment="1">
      <alignment horizontal="left" wrapText="1"/>
    </xf>
    <xf numFmtId="0" fontId="7" fillId="0" borderId="0" xfId="2" applyFont="1" applyAlignment="1">
      <alignment horizontal="left" vertical="top"/>
    </xf>
    <xf numFmtId="166" fontId="9" fillId="0" borderId="0" xfId="2" applyNumberFormat="1" applyFont="1" applyAlignment="1"/>
    <xf numFmtId="0" fontId="29" fillId="0" borderId="0" xfId="2" quotePrefix="1" applyFont="1" applyAlignment="1">
      <alignment horizontal="left"/>
    </xf>
    <xf numFmtId="0" fontId="5" fillId="0" borderId="3" xfId="2" applyFont="1" applyBorder="1" applyAlignment="1">
      <alignment horizontal="left" indent="3"/>
    </xf>
    <xf numFmtId="0" fontId="5" fillId="0" borderId="0" xfId="2" applyFont="1" applyBorder="1" applyAlignment="1">
      <alignment horizontal="right"/>
    </xf>
    <xf numFmtId="0" fontId="5" fillId="0" borderId="0" xfId="2" applyFont="1" applyAlignment="1">
      <alignment horizontal="left" wrapText="1"/>
    </xf>
    <xf numFmtId="0" fontId="5" fillId="0" borderId="5" xfId="2" applyFont="1" applyBorder="1" applyAlignment="1">
      <alignment horizontal="left" wrapText="1" indent="3"/>
    </xf>
    <xf numFmtId="166" fontId="5" fillId="0" borderId="0" xfId="2" applyNumberFormat="1" applyFont="1" applyBorder="1" applyAlignment="1">
      <alignment horizontal="center"/>
    </xf>
    <xf numFmtId="0" fontId="11" fillId="0" borderId="0" xfId="2" applyFont="1" applyAlignment="1">
      <alignment horizontal="right"/>
    </xf>
    <xf numFmtId="7" fontId="30" fillId="0" borderId="0" xfId="0" quotePrefix="1" applyNumberFormat="1" applyFont="1" applyAlignment="1">
      <alignment horizontal="center"/>
    </xf>
    <xf numFmtId="17" fontId="30" fillId="0" borderId="0" xfId="0" quotePrefix="1" applyNumberFormat="1" applyFont="1" applyAlignment="1">
      <alignment horizontal="center"/>
    </xf>
    <xf numFmtId="0" fontId="30" fillId="0" borderId="3" xfId="0" quotePrefix="1" applyFont="1" applyBorder="1" applyAlignment="1">
      <alignment horizontal="center"/>
    </xf>
    <xf numFmtId="43" fontId="5" fillId="0" borderId="3" xfId="1" quotePrefix="1" applyFont="1" applyBorder="1" applyAlignment="1">
      <alignment horizontal="center"/>
    </xf>
    <xf numFmtId="43" fontId="5" fillId="6" borderId="4" xfId="1" applyFont="1" applyFill="1" applyBorder="1" applyAlignment="1">
      <alignment horizontal="left" indent="3"/>
    </xf>
    <xf numFmtId="43" fontId="5" fillId="6" borderId="0" xfId="1" applyFont="1" applyFill="1" applyAlignment="1">
      <alignment horizontal="left" indent="3"/>
    </xf>
    <xf numFmtId="0" fontId="11" fillId="0" borderId="3" xfId="2" applyFont="1" applyBorder="1" applyAlignment="1">
      <alignment horizontal="center" wrapText="1"/>
    </xf>
    <xf numFmtId="43" fontId="5" fillId="6" borderId="3" xfId="1" applyFont="1" applyFill="1" applyBorder="1" applyAlignment="1">
      <alignment horizontal="left" indent="3"/>
    </xf>
    <xf numFmtId="43" fontId="9" fillId="6" borderId="0" xfId="1" applyFont="1" applyFill="1" applyBorder="1" applyAlignment="1">
      <alignment horizontal="left" vertical="center" wrapText="1" indent="3"/>
    </xf>
    <xf numFmtId="43" fontId="9" fillId="6" borderId="0" xfId="1" applyFont="1" applyFill="1" applyAlignment="1">
      <alignment horizontal="left" vertical="center" wrapText="1" indent="3"/>
    </xf>
    <xf numFmtId="3" fontId="31" fillId="5" borderId="3" xfId="2" applyNumberFormat="1" applyFont="1" applyFill="1" applyBorder="1"/>
    <xf numFmtId="4" fontId="31" fillId="5" borderId="0" xfId="2" applyNumberFormat="1" applyFont="1" applyFill="1" applyAlignment="1">
      <alignment horizontal="center"/>
    </xf>
    <xf numFmtId="0" fontId="11" fillId="0" borderId="0" xfId="2" applyFont="1" applyAlignment="1">
      <alignment horizontal="left"/>
    </xf>
    <xf numFmtId="0" fontId="11" fillId="0" borderId="0" xfId="2" applyFont="1" applyFill="1" applyBorder="1" applyAlignment="1">
      <alignment horizontal="center"/>
    </xf>
    <xf numFmtId="0" fontId="31" fillId="6" borderId="0" xfId="2" applyFont="1" applyFill="1" applyAlignment="1">
      <alignment horizontal="center"/>
    </xf>
    <xf numFmtId="43" fontId="5" fillId="0" borderId="0" xfId="1" applyFont="1" applyBorder="1" applyAlignment="1">
      <alignment horizontal="right"/>
    </xf>
    <xf numFmtId="165" fontId="5" fillId="0" borderId="3" xfId="3" applyNumberFormat="1" applyFont="1" applyBorder="1"/>
    <xf numFmtId="43" fontId="11" fillId="2" borderId="5" xfId="1" applyFont="1" applyFill="1" applyBorder="1" applyAlignment="1">
      <alignment horizontal="center" wrapText="1"/>
    </xf>
    <xf numFmtId="43" fontId="11" fillId="2" borderId="5" xfId="1" applyFont="1" applyFill="1" applyBorder="1" applyAlignment="1">
      <alignment horizontal="right"/>
    </xf>
    <xf numFmtId="38" fontId="31" fillId="5" borderId="0" xfId="2" quotePrefix="1" applyNumberFormat="1" applyFont="1" applyFill="1"/>
    <xf numFmtId="165" fontId="5" fillId="3" borderId="3" xfId="3" applyNumberFormat="1" applyFont="1" applyFill="1" applyBorder="1"/>
    <xf numFmtId="44" fontId="5" fillId="0" borderId="0" xfId="4" applyNumberFormat="1" applyFont="1" applyFill="1" applyBorder="1"/>
    <xf numFmtId="43" fontId="31" fillId="6" borderId="0" xfId="1" applyFont="1" applyFill="1" applyAlignment="1">
      <alignment horizontal="left" vertical="center" wrapText="1" indent="3"/>
    </xf>
    <xf numFmtId="168" fontId="18" fillId="5" borderId="3" xfId="3" applyNumberFormat="1" applyFont="1" applyFill="1" applyBorder="1"/>
    <xf numFmtId="0" fontId="18" fillId="0" borderId="0" xfId="2" applyFont="1" applyBorder="1" applyAlignment="1">
      <alignment horizontal="center" wrapText="1"/>
    </xf>
    <xf numFmtId="168" fontId="18" fillId="5" borderId="0" xfId="3" applyNumberFormat="1" applyFont="1" applyFill="1" applyBorder="1"/>
    <xf numFmtId="165" fontId="5" fillId="0" borderId="3" xfId="2" applyNumberFormat="1" applyFont="1" applyBorder="1"/>
    <xf numFmtId="165" fontId="5" fillId="0" borderId="3" xfId="3" applyNumberFormat="1" applyFont="1" applyBorder="1" applyAlignment="1">
      <alignment horizontal="right"/>
    </xf>
    <xf numFmtId="43" fontId="31" fillId="5" borderId="3" xfId="1" applyFont="1" applyFill="1" applyBorder="1"/>
    <xf numFmtId="4" fontId="5" fillId="0" borderId="3" xfId="2" applyNumberFormat="1" applyFont="1" applyBorder="1"/>
    <xf numFmtId="172" fontId="5" fillId="0" borderId="3" xfId="1" applyNumberFormat="1" applyFont="1" applyBorder="1"/>
    <xf numFmtId="0" fontId="3" fillId="5" borderId="1" xfId="0" applyFont="1" applyFill="1" applyBorder="1" applyAlignment="1">
      <alignment horizontal="left"/>
    </xf>
    <xf numFmtId="4" fontId="4" fillId="5" borderId="0" xfId="0" applyNumberFormat="1" applyFont="1" applyFill="1"/>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7" fontId="0" fillId="5" borderId="0" xfId="0" applyNumberFormat="1" applyFill="1" applyAlignment="1">
      <alignment horizontal="center"/>
    </xf>
    <xf numFmtId="164" fontId="5" fillId="5" borderId="0" xfId="0" applyNumberFormat="1" applyFont="1" applyFill="1" applyAlignment="1">
      <alignment wrapText="1"/>
    </xf>
    <xf numFmtId="4" fontId="5" fillId="5" borderId="0" xfId="0" applyNumberFormat="1" applyFont="1" applyFill="1" applyAlignment="1">
      <alignment horizontal="center" wrapText="1"/>
    </xf>
    <xf numFmtId="165" fontId="5" fillId="5" borderId="0" xfId="3" applyFont="1" applyFill="1" applyBorder="1" applyAlignment="1">
      <alignment horizontal="center" wrapText="1"/>
    </xf>
    <xf numFmtId="4" fontId="5" fillId="5" borderId="3" xfId="0" applyNumberFormat="1" applyFont="1" applyFill="1" applyBorder="1" applyAlignment="1">
      <alignment horizontal="center" wrapText="1"/>
    </xf>
    <xf numFmtId="165" fontId="5" fillId="5" borderId="3" xfId="3" applyFont="1" applyFill="1" applyBorder="1" applyAlignment="1">
      <alignment horizontal="center" wrapText="1"/>
    </xf>
    <xf numFmtId="4" fontId="5" fillId="5" borderId="3" xfId="0" quotePrefix="1" applyNumberFormat="1" applyFont="1" applyFill="1" applyBorder="1" applyAlignment="1">
      <alignment horizontal="center"/>
    </xf>
    <xf numFmtId="165" fontId="5" fillId="5" borderId="3" xfId="3" quotePrefix="1" applyFont="1" applyFill="1" applyBorder="1" applyAlignment="1">
      <alignment horizontal="center"/>
    </xf>
    <xf numFmtId="167" fontId="5" fillId="5" borderId="3" xfId="0" applyNumberFormat="1" applyFont="1" applyFill="1" applyBorder="1"/>
    <xf numFmtId="168" fontId="5" fillId="5" borderId="3" xfId="3" applyNumberFormat="1" applyFont="1" applyFill="1" applyBorder="1" applyAlignment="1">
      <alignment horizontal="right"/>
    </xf>
    <xf numFmtId="166" fontId="5" fillId="5" borderId="5" xfId="0" applyNumberFormat="1" applyFont="1" applyFill="1" applyBorder="1"/>
    <xf numFmtId="168" fontId="5" fillId="5" borderId="0" xfId="3" applyNumberFormat="1" applyFont="1" applyFill="1" applyBorder="1" applyAlignment="1">
      <alignment horizontal="center"/>
    </xf>
    <xf numFmtId="0" fontId="5" fillId="5" borderId="3" xfId="0" applyFont="1" applyFill="1" applyBorder="1" applyAlignment="1">
      <alignment horizontal="left" wrapText="1"/>
    </xf>
    <xf numFmtId="168" fontId="5" fillId="5" borderId="5" xfId="3" applyNumberFormat="1" applyFont="1" applyFill="1" applyBorder="1" applyAlignment="1">
      <alignment horizontal="right"/>
    </xf>
    <xf numFmtId="166" fontId="5" fillId="5" borderId="0" xfId="0" applyNumberFormat="1" applyFont="1" applyFill="1" applyAlignment="1">
      <alignment horizontal="right"/>
    </xf>
    <xf numFmtId="168" fontId="5" fillId="5" borderId="0" xfId="3" applyNumberFormat="1" applyFont="1" applyFill="1" applyBorder="1" applyAlignment="1">
      <alignment horizontal="right"/>
    </xf>
    <xf numFmtId="166" fontId="13" fillId="5" borderId="0" xfId="0" applyNumberFormat="1" applyFont="1" applyFill="1" applyAlignment="1">
      <alignment horizontal="right"/>
    </xf>
    <xf numFmtId="168" fontId="5" fillId="5" borderId="1" xfId="3" applyNumberFormat="1" applyFont="1" applyFill="1" applyBorder="1" applyAlignment="1">
      <alignment horizontal="right"/>
    </xf>
    <xf numFmtId="0" fontId="5" fillId="5" borderId="0" xfId="0" applyFont="1" applyFill="1" applyAlignment="1">
      <alignment horizontal="right"/>
    </xf>
    <xf numFmtId="2" fontId="5" fillId="5" borderId="0" xfId="0" applyNumberFormat="1" applyFont="1" applyFill="1" applyAlignment="1">
      <alignment horizontal="center"/>
    </xf>
    <xf numFmtId="168" fontId="5" fillId="5" borderId="0" xfId="3" applyNumberFormat="1" applyFont="1" applyFill="1" applyBorder="1"/>
    <xf numFmtId="4" fontId="5" fillId="5" borderId="0" xfId="0" quotePrefix="1" applyNumberFormat="1" applyFont="1" applyFill="1" applyAlignment="1">
      <alignment horizontal="center"/>
    </xf>
    <xf numFmtId="0" fontId="5" fillId="5" borderId="0" xfId="0" applyFont="1" applyFill="1"/>
    <xf numFmtId="3" fontId="5" fillId="5" borderId="3" xfId="0" applyNumberFormat="1" applyFont="1" applyFill="1" applyBorder="1"/>
    <xf numFmtId="44" fontId="5" fillId="5" borderId="0" xfId="4" applyFont="1" applyFill="1" applyBorder="1"/>
    <xf numFmtId="0" fontId="5" fillId="5" borderId="0" xfId="0" applyFont="1" applyFill="1" applyAlignment="1">
      <alignment horizontal="center"/>
    </xf>
    <xf numFmtId="10" fontId="5" fillId="5" borderId="0" xfId="0" applyNumberFormat="1" applyFont="1" applyFill="1"/>
    <xf numFmtId="3" fontId="5" fillId="5" borderId="0" xfId="0" applyNumberFormat="1" applyFont="1" applyFill="1"/>
    <xf numFmtId="169" fontId="5" fillId="5" borderId="0" xfId="0" applyNumberFormat="1" applyFont="1" applyFill="1"/>
    <xf numFmtId="0" fontId="5" fillId="5" borderId="0" xfId="0" applyFont="1" applyFill="1" applyAlignment="1">
      <alignment horizontal="left"/>
    </xf>
    <xf numFmtId="168" fontId="5" fillId="5" borderId="4" xfId="3" applyNumberFormat="1" applyFont="1" applyFill="1" applyBorder="1" applyAlignment="1">
      <alignment horizontal="right"/>
    </xf>
    <xf numFmtId="0" fontId="5" fillId="5" borderId="3" xfId="0" applyFont="1" applyFill="1" applyBorder="1"/>
    <xf numFmtId="0" fontId="5" fillId="5" borderId="3" xfId="0" applyFont="1" applyFill="1" applyBorder="1" applyAlignment="1">
      <alignment horizontal="center" wrapText="1"/>
    </xf>
    <xf numFmtId="0" fontId="18" fillId="5" borderId="3" xfId="0" applyFont="1" applyFill="1" applyBorder="1" applyAlignment="1">
      <alignment horizontal="center" wrapText="1"/>
    </xf>
    <xf numFmtId="0" fontId="5" fillId="5" borderId="0" xfId="0" quotePrefix="1" applyFont="1" applyFill="1" applyAlignment="1">
      <alignment horizontal="center"/>
    </xf>
    <xf numFmtId="4" fontId="13" fillId="5" borderId="3" xfId="0" applyNumberFormat="1" applyFont="1" applyFill="1" applyBorder="1" applyAlignment="1">
      <alignment horizontal="center"/>
    </xf>
    <xf numFmtId="0" fontId="21" fillId="5" borderId="0" xfId="0" applyFont="1" applyFill="1" applyAlignment="1">
      <alignment horizontal="center"/>
    </xf>
    <xf numFmtId="164" fontId="5" fillId="5" borderId="0" xfId="0" applyNumberFormat="1" applyFont="1" applyFill="1"/>
    <xf numFmtId="164" fontId="5" fillId="5" borderId="0" xfId="0" applyNumberFormat="1" applyFont="1" applyFill="1" applyAlignment="1">
      <alignment horizontal="right"/>
    </xf>
    <xf numFmtId="0" fontId="5" fillId="5" borderId="0" xfId="0" applyFont="1" applyFill="1" applyAlignment="1">
      <alignment horizontal="left" indent="2"/>
    </xf>
    <xf numFmtId="0" fontId="5" fillId="5" borderId="0" xfId="0" applyFont="1" applyFill="1" applyAlignment="1">
      <alignment horizontal="left" indent="3"/>
    </xf>
    <xf numFmtId="0" fontId="9" fillId="5" borderId="0" xfId="0" quotePrefix="1" applyFont="1" applyFill="1" applyAlignment="1">
      <alignment horizontal="center"/>
    </xf>
    <xf numFmtId="4" fontId="5" fillId="5" borderId="0" xfId="2" applyNumberFormat="1" applyFont="1" applyFill="1"/>
    <xf numFmtId="0" fontId="9" fillId="5" borderId="3" xfId="0" quotePrefix="1" applyFont="1" applyFill="1" applyBorder="1" applyAlignment="1">
      <alignment horizontal="center"/>
    </xf>
    <xf numFmtId="169" fontId="13" fillId="5" borderId="3" xfId="0" applyNumberFormat="1" applyFont="1" applyFill="1" applyBorder="1" applyAlignment="1">
      <alignment horizontal="left" indent="2"/>
    </xf>
    <xf numFmtId="3" fontId="5" fillId="5" borderId="3" xfId="0" applyNumberFormat="1" applyFont="1" applyFill="1" applyBorder="1" applyAlignment="1">
      <alignment horizontal="right"/>
    </xf>
    <xf numFmtId="38" fontId="5" fillId="5" borderId="0" xfId="0" applyNumberFormat="1" applyFont="1" applyFill="1"/>
    <xf numFmtId="43" fontId="5" fillId="5" borderId="3" xfId="1" applyFont="1" applyFill="1" applyBorder="1" applyAlignment="1">
      <alignment horizontal="right"/>
    </xf>
    <xf numFmtId="3" fontId="5" fillId="5" borderId="4" xfId="0" applyNumberFormat="1" applyFont="1" applyFill="1" applyBorder="1"/>
    <xf numFmtId="4" fontId="11" fillId="5" borderId="5" xfId="0" applyNumberFormat="1" applyFont="1" applyFill="1" applyBorder="1"/>
    <xf numFmtId="4" fontId="11" fillId="5" borderId="5" xfId="0" applyNumberFormat="1" applyFont="1" applyFill="1" applyBorder="1" applyAlignment="1">
      <alignment wrapText="1"/>
    </xf>
    <xf numFmtId="0" fontId="5" fillId="5" borderId="5" xfId="0" applyFont="1" applyFill="1" applyBorder="1" applyAlignment="1">
      <alignment horizontal="left" indent="3"/>
    </xf>
    <xf numFmtId="4" fontId="11" fillId="5" borderId="3" xfId="0" applyNumberFormat="1" applyFont="1" applyFill="1" applyBorder="1"/>
    <xf numFmtId="43" fontId="5" fillId="5" borderId="5" xfId="7" applyFont="1" applyFill="1" applyBorder="1"/>
    <xf numFmtId="43" fontId="5" fillId="5" borderId="0" xfId="7" applyFont="1" applyFill="1" applyBorder="1"/>
    <xf numFmtId="38" fontId="5" fillId="5" borderId="3" xfId="0" applyNumberFormat="1" applyFont="1" applyFill="1" applyBorder="1"/>
    <xf numFmtId="166" fontId="5" fillId="5" borderId="0" xfId="0" applyNumberFormat="1" applyFont="1" applyFill="1" applyAlignment="1">
      <alignment horizontal="center"/>
    </xf>
    <xf numFmtId="166" fontId="5" fillId="5" borderId="0" xfId="0" applyNumberFormat="1" applyFont="1" applyFill="1"/>
    <xf numFmtId="16" fontId="5" fillId="5" borderId="0" xfId="0" quotePrefix="1" applyNumberFormat="1" applyFont="1" applyFill="1" applyAlignment="1">
      <alignment horizontal="right"/>
    </xf>
    <xf numFmtId="0" fontId="5" fillId="5" borderId="0" xfId="0" quotePrefix="1" applyFont="1" applyFill="1" applyAlignment="1">
      <alignment horizontal="right"/>
    </xf>
    <xf numFmtId="166" fontId="5" fillId="5" borderId="8" xfId="0" applyNumberFormat="1" applyFont="1" applyFill="1" applyBorder="1" applyAlignment="1">
      <alignment horizontal="center"/>
    </xf>
    <xf numFmtId="170" fontId="5" fillId="5" borderId="0" xfId="6" applyFont="1" applyFill="1" applyBorder="1" applyAlignment="1">
      <alignment horizontal="right"/>
    </xf>
    <xf numFmtId="166" fontId="5" fillId="5" borderId="1" xfId="0" applyNumberFormat="1" applyFont="1" applyFill="1" applyBorder="1" applyAlignment="1">
      <alignment horizontal="center"/>
    </xf>
    <xf numFmtId="4" fontId="5" fillId="5" borderId="0" xfId="0" applyNumberFormat="1" applyFont="1" applyFill="1" applyAlignment="1">
      <alignment horizontal="left" indent="2"/>
    </xf>
    <xf numFmtId="38" fontId="5" fillId="5" borderId="0" xfId="0" quotePrefix="1" applyNumberFormat="1" applyFont="1" applyFill="1"/>
    <xf numFmtId="0" fontId="5" fillId="5" borderId="3" xfId="0" applyFont="1" applyFill="1" applyBorder="1" applyAlignment="1">
      <alignment horizontal="center"/>
    </xf>
    <xf numFmtId="7" fontId="5" fillId="5" borderId="0" xfId="0" applyNumberFormat="1" applyFont="1" applyFill="1"/>
    <xf numFmtId="7" fontId="5" fillId="5" borderId="3" xfId="0" applyNumberFormat="1" applyFont="1" applyFill="1" applyBorder="1"/>
    <xf numFmtId="0" fontId="11" fillId="5" borderId="0" xfId="0" applyFont="1" applyFill="1"/>
    <xf numFmtId="168" fontId="5" fillId="5" borderId="1" xfId="0" applyNumberFormat="1" applyFont="1" applyFill="1" applyBorder="1" applyAlignment="1">
      <alignment horizontal="right"/>
    </xf>
    <xf numFmtId="3" fontId="5" fillId="5" borderId="0" xfId="0" quotePrefix="1" applyNumberFormat="1" applyFont="1" applyFill="1" applyAlignment="1">
      <alignment horizontal="center"/>
    </xf>
    <xf numFmtId="168" fontId="5" fillId="5" borderId="5" xfId="0" applyNumberFormat="1" applyFont="1" applyFill="1" applyBorder="1" applyAlignment="1">
      <alignment horizontal="right"/>
    </xf>
    <xf numFmtId="168" fontId="5" fillId="5" borderId="3" xfId="0" applyNumberFormat="1" applyFont="1" applyFill="1" applyBorder="1" applyAlignment="1">
      <alignment horizontal="right"/>
    </xf>
    <xf numFmtId="4" fontId="5" fillId="5" borderId="0" xfId="0" applyNumberFormat="1" applyFont="1" applyFill="1" applyAlignment="1">
      <alignment horizontal="left" indent="2"/>
    </xf>
    <xf numFmtId="0" fontId="11" fillId="5" borderId="0" xfId="0" applyFont="1" applyFill="1" applyAlignment="1">
      <alignment horizontal="right"/>
    </xf>
    <xf numFmtId="0" fontId="5" fillId="0" borderId="0" xfId="2" applyFont="1" applyAlignment="1">
      <alignment horizontal="center"/>
    </xf>
    <xf numFmtId="4" fontId="5" fillId="0" borderId="0" xfId="2" applyNumberFormat="1" applyFont="1" applyAlignment="1">
      <alignment horizontal="left" indent="2"/>
    </xf>
    <xf numFmtId="4" fontId="4" fillId="0" borderId="0" xfId="2" applyNumberFormat="1" applyFont="1" applyAlignment="1">
      <alignment horizontal="left"/>
    </xf>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0" fontId="5" fillId="0" borderId="3" xfId="2" applyFont="1" applyBorder="1" applyAlignment="1">
      <alignment horizontal="left" wrapText="1"/>
    </xf>
    <xf numFmtId="0" fontId="5" fillId="0" borderId="0" xfId="2" applyFont="1" applyAlignment="1">
      <alignment horizontal="left" indent="3"/>
    </xf>
    <xf numFmtId="0" fontId="5" fillId="0" borderId="3" xfId="2" applyFont="1" applyBorder="1" applyAlignment="1">
      <alignment horizontal="left" indent="3"/>
    </xf>
    <xf numFmtId="2" fontId="5" fillId="0" borderId="0" xfId="2" applyNumberFormat="1" applyFont="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0" fontId="5" fillId="0" borderId="5" xfId="2" applyFont="1" applyBorder="1" applyAlignment="1">
      <alignment horizontal="left" indent="3"/>
    </xf>
    <xf numFmtId="0" fontId="5" fillId="0" borderId="0" xfId="2" applyFont="1" applyAlignment="1">
      <alignment horizontal="left" indent="2"/>
    </xf>
    <xf numFmtId="0" fontId="5" fillId="5" borderId="0" xfId="0" applyFont="1" applyFill="1" applyAlignment="1">
      <alignment horizontal="right"/>
    </xf>
    <xf numFmtId="0" fontId="5" fillId="5" borderId="0" xfId="0" applyFont="1" applyFill="1" applyAlignment="1">
      <alignment horizontal="center"/>
    </xf>
    <xf numFmtId="0" fontId="5" fillId="5" borderId="0" xfId="0" applyFont="1" applyFill="1" applyAlignment="1">
      <alignment horizontal="left"/>
    </xf>
    <xf numFmtId="3" fontId="5" fillId="5" borderId="0" xfId="0" quotePrefix="1" applyNumberFormat="1" applyFont="1" applyFill="1" applyAlignment="1">
      <alignment horizontal="center"/>
    </xf>
    <xf numFmtId="0" fontId="5" fillId="5" borderId="3" xfId="0" applyFont="1" applyFill="1" applyBorder="1" applyAlignment="1">
      <alignment horizontal="center"/>
    </xf>
    <xf numFmtId="0" fontId="5" fillId="5" borderId="0" xfId="0" applyFont="1" applyFill="1" applyAlignment="1">
      <alignment horizontal="left" indent="3"/>
    </xf>
    <xf numFmtId="0" fontId="5" fillId="0" borderId="5" xfId="2" applyFont="1" applyBorder="1" applyAlignment="1">
      <alignment horizontal="left" wrapText="1" indent="3"/>
    </xf>
    <xf numFmtId="166" fontId="5" fillId="0" borderId="0" xfId="2" applyNumberFormat="1" applyFont="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0" fontId="5" fillId="0" borderId="3" xfId="2" applyFont="1" applyBorder="1" applyAlignment="1">
      <alignment horizontal="center"/>
    </xf>
    <xf numFmtId="0" fontId="5" fillId="0" borderId="3" xfId="2" applyFont="1" applyBorder="1" applyAlignment="1">
      <alignment horizontal="center" wrapText="1"/>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0" xfId="0" applyFont="1" applyFill="1" applyAlignment="1">
      <alignment horizontal="left" indent="2"/>
    </xf>
    <xf numFmtId="0" fontId="5" fillId="5" borderId="3" xfId="0" applyFont="1" applyFill="1" applyBorder="1" applyAlignment="1">
      <alignment horizontal="left" wrapText="1"/>
    </xf>
    <xf numFmtId="0" fontId="5" fillId="5" borderId="5" xfId="0" applyFont="1" applyFill="1" applyBorder="1" applyAlignment="1">
      <alignment horizontal="left" indent="3"/>
    </xf>
    <xf numFmtId="3" fontId="5" fillId="0" borderId="0" xfId="2" quotePrefix="1" applyNumberFormat="1" applyFont="1" applyAlignment="1">
      <alignment horizontal="center"/>
    </xf>
    <xf numFmtId="0" fontId="23" fillId="0" borderId="0" xfId="2" applyFont="1" applyAlignment="1">
      <alignment horizontal="left"/>
    </xf>
    <xf numFmtId="2" fontId="5" fillId="5" borderId="0" xfId="0" applyNumberFormat="1"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5" fontId="5" fillId="5" borderId="3" xfId="3" applyNumberFormat="1" applyFont="1" applyFill="1" applyBorder="1" applyAlignment="1">
      <alignment horizontal="right"/>
    </xf>
    <xf numFmtId="3" fontId="5" fillId="0" borderId="0" xfId="2" applyNumberFormat="1" applyFont="1" applyBorder="1"/>
    <xf numFmtId="3" fontId="5" fillId="5" borderId="0" xfId="0" applyNumberFormat="1" applyFont="1" applyFill="1" applyBorder="1"/>
    <xf numFmtId="165" fontId="5" fillId="5" borderId="3" xfId="0" applyNumberFormat="1" applyFont="1" applyFill="1" applyBorder="1"/>
    <xf numFmtId="165" fontId="5" fillId="5" borderId="1" xfId="3" applyNumberFormat="1" applyFont="1" applyFill="1" applyBorder="1"/>
    <xf numFmtId="165" fontId="5" fillId="5" borderId="0" xfId="3" applyNumberFormat="1" applyFont="1" applyFill="1" applyBorder="1" applyAlignment="1">
      <alignment horizontal="right"/>
    </xf>
    <xf numFmtId="43" fontId="5" fillId="5" borderId="3" xfId="1" applyFont="1" applyFill="1" applyBorder="1"/>
    <xf numFmtId="0" fontId="31" fillId="6" borderId="0" xfId="1" applyNumberFormat="1" applyFont="1" applyFill="1" applyAlignment="1">
      <alignment horizontal="center"/>
    </xf>
    <xf numFmtId="3" fontId="5" fillId="5" borderId="5" xfId="0" applyNumberFormat="1" applyFont="1" applyFill="1" applyBorder="1"/>
    <xf numFmtId="0" fontId="11" fillId="5" borderId="0" xfId="0" applyFont="1" applyFill="1" applyBorder="1" applyAlignment="1">
      <alignment horizontal="center"/>
    </xf>
    <xf numFmtId="165" fontId="5" fillId="0" borderId="1" xfId="3" applyNumberFormat="1" applyFont="1" applyBorder="1"/>
    <xf numFmtId="3" fontId="31" fillId="5" borderId="3" xfId="2" applyNumberFormat="1" applyFont="1" applyFill="1" applyBorder="1" applyAlignment="1">
      <alignment horizontal="right"/>
    </xf>
    <xf numFmtId="0" fontId="31" fillId="6" borderId="3" xfId="1" applyNumberFormat="1" applyFont="1" applyFill="1" applyBorder="1" applyAlignment="1">
      <alignment horizontal="center"/>
    </xf>
    <xf numFmtId="43" fontId="31" fillId="6" borderId="0" xfId="1" applyFont="1" applyFill="1" applyAlignment="1">
      <alignment horizontal="center"/>
    </xf>
    <xf numFmtId="0" fontId="11" fillId="2" borderId="3" xfId="2" applyFont="1" applyFill="1" applyBorder="1" applyAlignment="1">
      <alignment horizontal="center"/>
    </xf>
    <xf numFmtId="17" fontId="31" fillId="0" borderId="0" xfId="2" quotePrefix="1" applyNumberFormat="1" applyFont="1" applyAlignment="1">
      <alignment vertical="top" wrapText="1"/>
    </xf>
    <xf numFmtId="17" fontId="31" fillId="0" borderId="0" xfId="2" applyNumberFormat="1" applyFont="1" applyAlignment="1">
      <alignment vertical="top" wrapText="1"/>
    </xf>
    <xf numFmtId="166" fontId="9" fillId="5" borderId="0" xfId="2" applyNumberFormat="1" applyFont="1" applyFill="1" applyAlignment="1">
      <alignment horizontal="left"/>
    </xf>
    <xf numFmtId="4" fontId="5" fillId="0" borderId="0" xfId="2" applyNumberFormat="1" applyFont="1" applyFill="1"/>
    <xf numFmtId="0" fontId="5" fillId="0" borderId="0" xfId="2" applyFont="1" applyFill="1"/>
    <xf numFmtId="165" fontId="5" fillId="0" borderId="0" xfId="3" applyFont="1" applyFill="1"/>
    <xf numFmtId="0" fontId="5" fillId="0" borderId="0" xfId="2" applyFont="1" applyFill="1" applyAlignment="1">
      <alignment horizontal="left" indent="2"/>
    </xf>
    <xf numFmtId="0" fontId="11" fillId="0" borderId="0" xfId="2" applyFont="1" applyFill="1"/>
    <xf numFmtId="168" fontId="5" fillId="0" borderId="0" xfId="2" applyNumberFormat="1" applyFont="1" applyFill="1"/>
    <xf numFmtId="164" fontId="5" fillId="0" borderId="0" xfId="2" applyNumberFormat="1" applyFont="1" applyFill="1"/>
    <xf numFmtId="0" fontId="23" fillId="0" borderId="0" xfId="0" applyFont="1" applyFill="1" applyAlignment="1">
      <alignment horizontal="left"/>
    </xf>
    <xf numFmtId="0" fontId="36" fillId="0" borderId="0" xfId="0" applyFont="1"/>
    <xf numFmtId="0" fontId="36" fillId="0" borderId="0" xfId="0" applyFont="1" applyAlignment="1">
      <alignment horizontal="left"/>
    </xf>
    <xf numFmtId="0" fontId="36" fillId="6" borderId="11" xfId="0" applyFont="1" applyFill="1" applyBorder="1" applyAlignment="1">
      <alignment horizontal="center"/>
    </xf>
    <xf numFmtId="0" fontId="37" fillId="0" borderId="0" xfId="0" applyFont="1"/>
    <xf numFmtId="43" fontId="36" fillId="0" borderId="3" xfId="1" applyFont="1" applyBorder="1" applyAlignment="1"/>
    <xf numFmtId="0" fontId="30" fillId="0" borderId="0" xfId="0" applyFont="1"/>
    <xf numFmtId="43" fontId="36" fillId="0" borderId="0" xfId="1" applyFont="1" applyBorder="1" applyAlignment="1"/>
    <xf numFmtId="0" fontId="36" fillId="8" borderId="0" xfId="0" applyFont="1" applyFill="1"/>
    <xf numFmtId="0" fontId="36" fillId="8" borderId="0" xfId="0" applyFont="1" applyFill="1" applyAlignment="1">
      <alignment horizontal="left"/>
    </xf>
    <xf numFmtId="0" fontId="30" fillId="8" borderId="0" xfId="0" applyFont="1" applyFill="1"/>
    <xf numFmtId="43" fontId="36" fillId="8" borderId="0" xfId="1" applyFont="1" applyFill="1" applyBorder="1" applyAlignment="1"/>
    <xf numFmtId="0" fontId="35" fillId="0" borderId="0" xfId="0" applyFont="1" applyAlignment="1">
      <alignment horizontal="center"/>
    </xf>
    <xf numFmtId="43" fontId="35" fillId="0" borderId="3" xfId="1" applyFont="1" applyBorder="1" applyAlignment="1"/>
    <xf numFmtId="37" fontId="35" fillId="0" borderId="3" xfId="1" applyNumberFormat="1" applyFont="1" applyBorder="1" applyAlignment="1"/>
    <xf numFmtId="43" fontId="36" fillId="9" borderId="10" xfId="1" applyFont="1" applyFill="1" applyBorder="1" applyAlignment="1"/>
    <xf numFmtId="43" fontId="36" fillId="0" borderId="10" xfId="1" applyFont="1" applyBorder="1" applyAlignment="1"/>
    <xf numFmtId="168" fontId="36" fillId="0" borderId="0" xfId="0" applyNumberFormat="1" applyFont="1"/>
    <xf numFmtId="0" fontId="39" fillId="0" borderId="0" xfId="16" applyFont="1"/>
    <xf numFmtId="0" fontId="39" fillId="0" borderId="0" xfId="16" applyFont="1" applyAlignment="1">
      <alignment horizontal="center"/>
    </xf>
    <xf numFmtId="0" fontId="39" fillId="0" borderId="0" xfId="16" quotePrefix="1" applyFont="1" applyAlignment="1">
      <alignment horizontal="left" indent="1"/>
    </xf>
    <xf numFmtId="49" fontId="39" fillId="0" borderId="0" xfId="16" applyNumberFormat="1" applyFont="1" applyAlignment="1">
      <alignment horizontal="center"/>
    </xf>
    <xf numFmtId="0" fontId="39" fillId="10" borderId="0" xfId="16" applyFont="1" applyFill="1"/>
    <xf numFmtId="16" fontId="39" fillId="0" borderId="0" xfId="16" applyNumberFormat="1" applyFont="1"/>
    <xf numFmtId="0" fontId="40" fillId="0" borderId="13" xfId="16" applyFont="1" applyBorder="1" applyAlignment="1">
      <alignment horizontal="center"/>
    </xf>
    <xf numFmtId="9" fontId="40" fillId="0" borderId="13" xfId="16" applyNumberFormat="1" applyFont="1" applyBorder="1" applyAlignment="1">
      <alignment horizontal="center"/>
    </xf>
    <xf numFmtId="0" fontId="40" fillId="0" borderId="16" xfId="16" applyFont="1" applyBorder="1" applyAlignment="1">
      <alignment horizontal="center"/>
    </xf>
    <xf numFmtId="0" fontId="40" fillId="0" borderId="0" xfId="16" applyFont="1" applyAlignment="1">
      <alignment horizontal="center"/>
    </xf>
    <xf numFmtId="0" fontId="40" fillId="0" borderId="12" xfId="16" applyFont="1" applyBorder="1" applyAlignment="1">
      <alignment horizontal="center"/>
    </xf>
    <xf numFmtId="0" fontId="40" fillId="0" borderId="12" xfId="16" quotePrefix="1" applyFont="1" applyBorder="1" applyAlignment="1">
      <alignment horizontal="center"/>
    </xf>
    <xf numFmtId="0" fontId="40" fillId="0" borderId="11" xfId="16" applyFont="1" applyBorder="1" applyAlignment="1">
      <alignment horizontal="center"/>
    </xf>
    <xf numFmtId="0" fontId="40" fillId="0" borderId="11" xfId="16" quotePrefix="1" applyFont="1" applyBorder="1" applyAlignment="1">
      <alignment horizontal="center"/>
    </xf>
    <xf numFmtId="43" fontId="40" fillId="0" borderId="12" xfId="17" applyFont="1" applyBorder="1" applyAlignment="1">
      <alignment horizontal="center"/>
    </xf>
    <xf numFmtId="43" fontId="39" fillId="0" borderId="11" xfId="17" applyFont="1" applyBorder="1" applyAlignment="1">
      <alignment horizontal="center"/>
    </xf>
    <xf numFmtId="1" fontId="39" fillId="13" borderId="0" xfId="18" applyNumberFormat="1" applyFont="1" applyFill="1" applyAlignment="1">
      <alignment horizontal="center"/>
    </xf>
    <xf numFmtId="1" fontId="39" fillId="0" borderId="0" xfId="18" applyNumberFormat="1" applyFont="1"/>
    <xf numFmtId="41" fontId="41" fillId="0" borderId="17" xfId="18" applyNumberFormat="1" applyFont="1" applyBorder="1" applyAlignment="1">
      <alignment horizontal="center"/>
    </xf>
    <xf numFmtId="10" fontId="39" fillId="0" borderId="17" xfId="19" applyNumberFormat="1" applyFont="1" applyBorder="1"/>
    <xf numFmtId="10" fontId="39" fillId="0" borderId="0" xfId="19" applyNumberFormat="1" applyFont="1" applyBorder="1"/>
    <xf numFmtId="10" fontId="39" fillId="0" borderId="0" xfId="19" applyNumberFormat="1" applyFont="1"/>
    <xf numFmtId="43" fontId="39" fillId="0" borderId="17" xfId="16" applyNumberFormat="1" applyFont="1" applyBorder="1"/>
    <xf numFmtId="43" fontId="39" fillId="0" borderId="17" xfId="17" applyFont="1" applyBorder="1"/>
    <xf numFmtId="43" fontId="39" fillId="0" borderId="0" xfId="16" applyNumberFormat="1" applyFont="1"/>
    <xf numFmtId="49" fontId="39" fillId="0" borderId="0" xfId="18" applyNumberFormat="1" applyFont="1" applyAlignment="1">
      <alignment horizontal="center"/>
    </xf>
    <xf numFmtId="1" fontId="39" fillId="0" borderId="0" xfId="18" applyNumberFormat="1" applyFont="1" applyAlignment="1">
      <alignment horizontal="center"/>
    </xf>
    <xf numFmtId="1" fontId="39" fillId="0" borderId="0" xfId="18" quotePrefix="1" applyNumberFormat="1" applyFont="1" applyAlignment="1">
      <alignment horizontal="left"/>
    </xf>
    <xf numFmtId="41" fontId="41" fillId="0" borderId="17" xfId="18" quotePrefix="1" applyNumberFormat="1" applyFont="1" applyBorder="1" applyAlignment="1">
      <alignment horizontal="center"/>
    </xf>
    <xf numFmtId="1" fontId="43" fillId="0" borderId="0" xfId="18" applyNumberFormat="1" applyFont="1"/>
    <xf numFmtId="1" fontId="39" fillId="0" borderId="0" xfId="20" quotePrefix="1" applyNumberFormat="1" applyFont="1" applyFill="1" applyBorder="1" applyAlignment="1">
      <alignment horizontal="center"/>
    </xf>
    <xf numFmtId="1" fontId="39" fillId="0" borderId="0" xfId="20" quotePrefix="1" applyNumberFormat="1" applyFont="1" applyFill="1" applyBorder="1" applyAlignment="1"/>
    <xf numFmtId="41" fontId="41" fillId="0" borderId="17" xfId="20" quotePrefix="1" applyNumberFormat="1" applyFont="1" applyFill="1" applyBorder="1" applyAlignment="1">
      <alignment horizontal="center"/>
    </xf>
    <xf numFmtId="1" fontId="39" fillId="0" borderId="0" xfId="20" applyNumberFormat="1" applyFont="1" applyFill="1" applyBorder="1" applyAlignment="1">
      <alignment horizontal="center"/>
    </xf>
    <xf numFmtId="1" fontId="39" fillId="0" borderId="0" xfId="20" applyNumberFormat="1" applyFont="1" applyFill="1" applyBorder="1" applyAlignment="1"/>
    <xf numFmtId="41" fontId="41" fillId="0" borderId="17" xfId="20" applyNumberFormat="1" applyFont="1" applyFill="1" applyBorder="1" applyAlignment="1">
      <alignment horizontal="center"/>
    </xf>
    <xf numFmtId="1" fontId="39" fillId="0" borderId="0" xfId="20" quotePrefix="1" applyNumberFormat="1" applyFont="1" applyFill="1" applyBorder="1" applyAlignment="1">
      <alignment horizontal="left"/>
    </xf>
    <xf numFmtId="1" fontId="43" fillId="0" borderId="0" xfId="20" quotePrefix="1" applyNumberFormat="1" applyFont="1" applyFill="1" applyBorder="1" applyAlignment="1">
      <alignment horizontal="left"/>
    </xf>
    <xf numFmtId="173" fontId="39" fillId="0" borderId="0" xfId="16" applyNumberFormat="1" applyFont="1"/>
    <xf numFmtId="43" fontId="39" fillId="0" borderId="0" xfId="17" applyFont="1"/>
    <xf numFmtId="41" fontId="39" fillId="0" borderId="0" xfId="16" applyNumberFormat="1" applyFont="1" applyAlignment="1">
      <alignment horizontal="center"/>
    </xf>
    <xf numFmtId="43" fontId="39" fillId="0" borderId="3" xfId="16" applyNumberFormat="1" applyFont="1" applyBorder="1"/>
    <xf numFmtId="0" fontId="42" fillId="0" borderId="0" xfId="16" applyFont="1" applyAlignment="1">
      <alignment horizontal="center"/>
    </xf>
    <xf numFmtId="43" fontId="39" fillId="0" borderId="10" xfId="16" applyNumberFormat="1" applyFont="1" applyBorder="1"/>
    <xf numFmtId="43" fontId="40" fillId="0" borderId="0" xfId="16" applyNumberFormat="1" applyFont="1"/>
    <xf numFmtId="49" fontId="40" fillId="0" borderId="0" xfId="20" quotePrefix="1" applyNumberFormat="1" applyFont="1" applyAlignment="1">
      <alignment horizontal="left"/>
    </xf>
    <xf numFmtId="0" fontId="40" fillId="0" borderId="0" xfId="2" applyFont="1"/>
    <xf numFmtId="49" fontId="40" fillId="0" borderId="0" xfId="2" applyNumberFormat="1" applyFont="1" applyAlignment="1">
      <alignment horizontal="left"/>
    </xf>
    <xf numFmtId="49" fontId="40" fillId="0" borderId="0" xfId="20" applyNumberFormat="1" applyFont="1" applyAlignment="1">
      <alignment horizontal="left"/>
    </xf>
    <xf numFmtId="49" fontId="40" fillId="0" borderId="11" xfId="2" quotePrefix="1" applyNumberFormat="1" applyFont="1" applyBorder="1" applyAlignment="1">
      <alignment horizontal="center"/>
    </xf>
    <xf numFmtId="0" fontId="40" fillId="0" borderId="11" xfId="2" quotePrefix="1" applyFont="1" applyBorder="1" applyAlignment="1">
      <alignment horizontal="center"/>
    </xf>
    <xf numFmtId="49" fontId="44" fillId="0" borderId="0" xfId="2" quotePrefix="1" applyNumberFormat="1" applyFont="1" applyAlignment="1">
      <alignment horizontal="center" vertical="center"/>
    </xf>
    <xf numFmtId="174" fontId="44" fillId="0" borderId="0" xfId="2" applyNumberFormat="1" applyFont="1"/>
    <xf numFmtId="174" fontId="44" fillId="0" borderId="0" xfId="2" quotePrefix="1" applyNumberFormat="1" applyFont="1" applyAlignment="1">
      <alignment horizontal="left"/>
    </xf>
    <xf numFmtId="0" fontId="43" fillId="0" borderId="0" xfId="16" applyFont="1"/>
    <xf numFmtId="49" fontId="45" fillId="0" borderId="0" xfId="2" quotePrefix="1" applyNumberFormat="1" applyFont="1" applyAlignment="1">
      <alignment horizontal="center" vertical="center"/>
    </xf>
    <xf numFmtId="174" fontId="45" fillId="0" borderId="0" xfId="2" applyNumberFormat="1" applyFont="1"/>
    <xf numFmtId="0" fontId="40" fillId="0" borderId="0" xfId="16" applyFont="1"/>
    <xf numFmtId="0" fontId="45" fillId="0" borderId="0" xfId="16" quotePrefix="1" applyFont="1" applyAlignment="1">
      <alignment horizontal="center"/>
    </xf>
    <xf numFmtId="0" fontId="45" fillId="0" borderId="0" xfId="16" applyFont="1"/>
    <xf numFmtId="0" fontId="39" fillId="0" borderId="0" xfId="2" applyFont="1"/>
    <xf numFmtId="0" fontId="45" fillId="0" borderId="0" xfId="16" applyFont="1" applyAlignment="1">
      <alignment horizontal="center"/>
    </xf>
    <xf numFmtId="0" fontId="45" fillId="0" borderId="0" xfId="16" applyFont="1" applyAlignment="1">
      <alignment horizontal="left"/>
    </xf>
    <xf numFmtId="0" fontId="39" fillId="0" borderId="0" xfId="2" quotePrefix="1" applyFont="1" applyAlignment="1">
      <alignment horizontal="left"/>
    </xf>
    <xf numFmtId="49" fontId="44" fillId="0" borderId="0" xfId="2" applyNumberFormat="1" applyFont="1" applyAlignment="1">
      <alignment horizontal="center" vertical="center"/>
    </xf>
    <xf numFmtId="0" fontId="39" fillId="0" borderId="0" xfId="16" quotePrefix="1" applyFont="1" applyAlignment="1">
      <alignment horizontal="center"/>
    </xf>
    <xf numFmtId="0" fontId="39" fillId="0" borderId="0" xfId="16" quotePrefix="1" applyFont="1" applyAlignment="1">
      <alignment horizontal="left"/>
    </xf>
    <xf numFmtId="0" fontId="46" fillId="0" borderId="1" xfId="16" applyFont="1" applyBorder="1"/>
    <xf numFmtId="0" fontId="36" fillId="0" borderId="0" xfId="16" applyFont="1"/>
    <xf numFmtId="0" fontId="29" fillId="0" borderId="0" xfId="16" quotePrefix="1" applyFont="1" applyAlignment="1">
      <alignment horizontal="left"/>
    </xf>
    <xf numFmtId="0" fontId="29" fillId="0" borderId="0" xfId="16" applyFont="1"/>
    <xf numFmtId="0" fontId="36" fillId="0" borderId="0" xfId="16" quotePrefix="1" applyFont="1" applyAlignment="1">
      <alignment horizontal="left"/>
    </xf>
    <xf numFmtId="49" fontId="47" fillId="0" borderId="0" xfId="16" applyNumberFormat="1" applyFont="1"/>
    <xf numFmtId="4" fontId="47" fillId="0" borderId="0" xfId="16" applyNumberFormat="1" applyFont="1"/>
    <xf numFmtId="4" fontId="36" fillId="0" borderId="8" xfId="16" applyNumberFormat="1" applyFont="1" applyBorder="1"/>
    <xf numFmtId="4" fontId="47" fillId="0" borderId="8" xfId="16" applyNumberFormat="1" applyFont="1" applyBorder="1" applyAlignment="1">
      <alignment horizontal="left"/>
    </xf>
    <xf numFmtId="4" fontId="47" fillId="0" borderId="8" xfId="16" applyNumberFormat="1" applyFont="1" applyBorder="1"/>
    <xf numFmtId="4" fontId="36" fillId="0" borderId="0" xfId="16" applyNumberFormat="1" applyFont="1"/>
    <xf numFmtId="4" fontId="47" fillId="0" borderId="0" xfId="16" applyNumberFormat="1" applyFont="1" applyAlignment="1">
      <alignment horizontal="left"/>
    </xf>
    <xf numFmtId="0" fontId="48" fillId="0" borderId="0" xfId="16" quotePrefix="1" applyFont="1"/>
    <xf numFmtId="0" fontId="48" fillId="0" borderId="0" xfId="16" quotePrefix="1" applyFont="1" applyAlignment="1">
      <alignment horizontal="right"/>
    </xf>
    <xf numFmtId="7" fontId="48" fillId="0" borderId="0" xfId="16" applyNumberFormat="1" applyFont="1" applyAlignment="1">
      <alignment horizontal="left"/>
    </xf>
    <xf numFmtId="49" fontId="48" fillId="0" borderId="0" xfId="16" applyNumberFormat="1" applyFont="1"/>
    <xf numFmtId="49" fontId="48" fillId="0" borderId="0" xfId="16" applyNumberFormat="1" applyFont="1" applyProtection="1">
      <protection locked="0"/>
    </xf>
    <xf numFmtId="166" fontId="48" fillId="0" borderId="0" xfId="16" applyNumberFormat="1" applyFont="1" applyAlignment="1">
      <alignment horizontal="center"/>
    </xf>
    <xf numFmtId="166" fontId="48" fillId="0" borderId="0" xfId="16" applyNumberFormat="1" applyFont="1"/>
    <xf numFmtId="0" fontId="48" fillId="0" borderId="0" xfId="16" applyFont="1" applyAlignment="1">
      <alignment horizontal="center"/>
    </xf>
    <xf numFmtId="7" fontId="39" fillId="0" borderId="0" xfId="16" applyNumberFormat="1" applyFont="1" applyAlignment="1">
      <alignment horizontal="center"/>
    </xf>
    <xf numFmtId="164" fontId="36" fillId="0" borderId="0" xfId="16" applyNumberFormat="1" applyFont="1" applyAlignment="1">
      <alignment wrapText="1"/>
    </xf>
    <xf numFmtId="4" fontId="36" fillId="0" borderId="0" xfId="16" applyNumberFormat="1" applyFont="1" applyAlignment="1">
      <alignment horizontal="center" wrapText="1"/>
    </xf>
    <xf numFmtId="165" fontId="36" fillId="0" borderId="0" xfId="21" quotePrefix="1" applyFont="1" applyBorder="1" applyAlignment="1">
      <alignment horizontal="center"/>
    </xf>
    <xf numFmtId="7" fontId="30" fillId="0" borderId="0" xfId="16" quotePrefix="1" applyNumberFormat="1" applyFont="1" applyAlignment="1">
      <alignment horizontal="center"/>
    </xf>
    <xf numFmtId="7" fontId="30" fillId="0" borderId="0" xfId="16" applyNumberFormat="1" applyFont="1" applyAlignment="1">
      <alignment horizontal="center"/>
    </xf>
    <xf numFmtId="165" fontId="36" fillId="0" borderId="0" xfId="21" applyFont="1" applyBorder="1" applyAlignment="1">
      <alignment horizontal="center" wrapText="1"/>
    </xf>
    <xf numFmtId="7" fontId="30" fillId="0" borderId="3" xfId="16" quotePrefix="1" applyNumberFormat="1" applyFont="1" applyBorder="1" applyAlignment="1">
      <alignment horizontal="center"/>
    </xf>
    <xf numFmtId="0" fontId="30" fillId="0" borderId="3" xfId="16" applyFont="1" applyBorder="1" applyAlignment="1">
      <alignment horizontal="center"/>
    </xf>
    <xf numFmtId="4" fontId="36" fillId="0" borderId="3" xfId="16" applyNumberFormat="1" applyFont="1" applyBorder="1" applyAlignment="1">
      <alignment horizontal="center" wrapText="1"/>
    </xf>
    <xf numFmtId="165" fontId="49" fillId="0" borderId="3" xfId="21" quotePrefix="1" applyFont="1" applyBorder="1" applyAlignment="1">
      <alignment horizontal="center"/>
    </xf>
    <xf numFmtId="0" fontId="46" fillId="0" borderId="3" xfId="16" quotePrefix="1" applyFont="1" applyBorder="1"/>
    <xf numFmtId="0" fontId="36" fillId="0" borderId="5" xfId="16" quotePrefix="1" applyFont="1" applyBorder="1" applyAlignment="1">
      <alignment horizontal="center"/>
    </xf>
    <xf numFmtId="4" fontId="36" fillId="0" borderId="5" xfId="16" quotePrefix="1" applyNumberFormat="1" applyFont="1" applyBorder="1" applyAlignment="1">
      <alignment horizontal="center"/>
    </xf>
    <xf numFmtId="165" fontId="36" fillId="0" borderId="5" xfId="21" quotePrefix="1" applyFont="1" applyBorder="1" applyAlignment="1">
      <alignment horizontal="center"/>
    </xf>
    <xf numFmtId="43" fontId="35" fillId="6" borderId="4" xfId="20" applyFont="1" applyFill="1" applyBorder="1" applyAlignment="1"/>
    <xf numFmtId="43" fontId="36" fillId="0" borderId="0" xfId="20" applyFont="1" applyFill="1" applyBorder="1" applyAlignment="1"/>
    <xf numFmtId="175" fontId="36" fillId="0" borderId="0" xfId="16" applyNumberFormat="1" applyFont="1"/>
    <xf numFmtId="43" fontId="36" fillId="0" borderId="0" xfId="20" applyFont="1" applyBorder="1" applyAlignment="1"/>
    <xf numFmtId="43" fontId="35" fillId="6" borderId="0" xfId="20" applyFont="1" applyFill="1" applyBorder="1" applyAlignment="1"/>
    <xf numFmtId="43" fontId="35" fillId="6" borderId="3" xfId="20" applyFont="1" applyFill="1" applyBorder="1" applyAlignment="1"/>
    <xf numFmtId="43" fontId="36" fillId="0" borderId="4" xfId="20" applyFont="1" applyBorder="1" applyAlignment="1"/>
    <xf numFmtId="43" fontId="36" fillId="0" borderId="4" xfId="20" applyFont="1" applyFill="1" applyBorder="1" applyAlignment="1"/>
    <xf numFmtId="175" fontId="36" fillId="0" borderId="4" xfId="16" applyNumberFormat="1" applyFont="1" applyBorder="1"/>
    <xf numFmtId="0" fontId="36" fillId="0" borderId="0" xfId="16" applyFont="1" applyAlignment="1">
      <alignment horizontal="left" indent="2"/>
    </xf>
    <xf numFmtId="43" fontId="36" fillId="0" borderId="5" xfId="20" applyFont="1" applyBorder="1" applyAlignment="1"/>
    <xf numFmtId="2" fontId="36" fillId="0" borderId="0" xfId="16" applyNumberFormat="1" applyFont="1" applyAlignment="1">
      <alignment horizontal="center"/>
    </xf>
    <xf numFmtId="0" fontId="36" fillId="0" borderId="0" xfId="16" applyFont="1" applyAlignment="1">
      <alignment horizontal="right"/>
    </xf>
    <xf numFmtId="0" fontId="36" fillId="0" borderId="0" xfId="16" applyFont="1" applyAlignment="1">
      <alignment horizontal="left" indent="1"/>
    </xf>
    <xf numFmtId="0" fontId="36" fillId="0" borderId="0" xfId="16" applyFont="1" applyAlignment="1">
      <alignment horizontal="left"/>
    </xf>
    <xf numFmtId="168" fontId="36" fillId="0" borderId="0" xfId="21" quotePrefix="1" applyNumberFormat="1" applyFont="1" applyBorder="1" applyAlignment="1">
      <alignment horizontal="center"/>
    </xf>
    <xf numFmtId="166" fontId="36" fillId="0" borderId="0" xfId="16" applyNumberFormat="1" applyFont="1"/>
    <xf numFmtId="168" fontId="36" fillId="0" borderId="0" xfId="21" applyNumberFormat="1" applyFont="1" applyBorder="1" applyAlignment="1">
      <alignment horizontal="center"/>
    </xf>
    <xf numFmtId="0" fontId="30" fillId="0" borderId="3" xfId="16" quotePrefix="1" applyFont="1" applyBorder="1" applyAlignment="1">
      <alignment horizontal="center"/>
    </xf>
    <xf numFmtId="2" fontId="30" fillId="0" borderId="3" xfId="16" applyNumberFormat="1" applyFont="1" applyBorder="1"/>
    <xf numFmtId="165" fontId="40" fillId="0" borderId="3" xfId="21" applyFont="1" applyBorder="1" applyAlignment="1">
      <alignment horizontal="center" wrapText="1"/>
    </xf>
    <xf numFmtId="43" fontId="51" fillId="6" borderId="4" xfId="20" applyFont="1" applyFill="1" applyBorder="1" applyAlignment="1"/>
    <xf numFmtId="4" fontId="30" fillId="0" borderId="4" xfId="16" applyNumberFormat="1" applyFont="1" applyBorder="1"/>
    <xf numFmtId="43" fontId="51" fillId="6" borderId="0" xfId="20" applyFont="1" applyFill="1" applyBorder="1" applyAlignment="1"/>
    <xf numFmtId="4" fontId="30" fillId="0" borderId="0" xfId="16" applyNumberFormat="1" applyFont="1"/>
    <xf numFmtId="43" fontId="51" fillId="6" borderId="3" xfId="20" applyFont="1" applyFill="1" applyBorder="1" applyAlignment="1"/>
    <xf numFmtId="43" fontId="36" fillId="0" borderId="3" xfId="20" applyFont="1" applyFill="1" applyBorder="1" applyAlignment="1"/>
    <xf numFmtId="43" fontId="36" fillId="0" borderId="3" xfId="20" applyFont="1" applyBorder="1" applyAlignment="1"/>
    <xf numFmtId="0" fontId="36" fillId="0" borderId="0" xfId="16" quotePrefix="1" applyFont="1" applyAlignment="1">
      <alignment horizontal="right"/>
    </xf>
    <xf numFmtId="166" fontId="36" fillId="0" borderId="0" xfId="16" applyNumberFormat="1" applyFont="1" applyAlignment="1">
      <alignment horizontal="right"/>
    </xf>
    <xf numFmtId="2" fontId="36" fillId="0" borderId="0" xfId="16" applyNumberFormat="1" applyFont="1"/>
    <xf numFmtId="2" fontId="36" fillId="0" borderId="0" xfId="16" quotePrefix="1" applyNumberFormat="1" applyFont="1" applyAlignment="1">
      <alignment horizontal="right"/>
    </xf>
    <xf numFmtId="176" fontId="36" fillId="0" borderId="9" xfId="20" applyNumberFormat="1" applyFont="1" applyBorder="1" applyAlignment="1"/>
    <xf numFmtId="166" fontId="52" fillId="0" borderId="0" xfId="16" applyNumberFormat="1" applyFont="1" applyAlignment="1">
      <alignment horizontal="right"/>
    </xf>
    <xf numFmtId="0" fontId="53" fillId="0" borderId="0" xfId="16" quotePrefix="1" applyFont="1" applyAlignment="1">
      <alignment horizontal="left" vertical="center" indent="2"/>
    </xf>
    <xf numFmtId="0" fontId="36" fillId="0" borderId="0" xfId="16" applyFont="1" applyAlignment="1">
      <alignment horizontal="left" vertical="center" indent="2"/>
    </xf>
    <xf numFmtId="166" fontId="52" fillId="0" borderId="0" xfId="16" applyNumberFormat="1" applyFont="1" applyAlignment="1">
      <alignment horizontal="left" vertical="center" indent="2"/>
    </xf>
    <xf numFmtId="2" fontId="36" fillId="0" borderId="0" xfId="16" applyNumberFormat="1" applyFont="1" applyAlignment="1">
      <alignment horizontal="left" vertical="center" indent="2"/>
    </xf>
    <xf numFmtId="43" fontId="36" fillId="0" borderId="0" xfId="20" applyFont="1" applyBorder="1" applyAlignment="1">
      <alignment horizontal="left" vertical="center" indent="2"/>
    </xf>
    <xf numFmtId="0" fontId="53" fillId="0" borderId="0" xfId="16" applyFont="1" applyAlignment="1">
      <alignment horizontal="left" vertical="top" indent="2"/>
    </xf>
    <xf numFmtId="0" fontId="53" fillId="0" borderId="0" xfId="16" applyFont="1" applyAlignment="1">
      <alignment horizontal="left" indent="2"/>
    </xf>
    <xf numFmtId="4" fontId="36" fillId="0" borderId="0" xfId="16" quotePrefix="1" applyNumberFormat="1" applyFont="1" applyAlignment="1">
      <alignment horizontal="center"/>
    </xf>
    <xf numFmtId="44" fontId="36" fillId="0" borderId="0" xfId="20" applyNumberFormat="1" applyFont="1" applyAlignment="1">
      <alignment horizontal="right"/>
    </xf>
    <xf numFmtId="2" fontId="36" fillId="0" borderId="0" xfId="16" quotePrefix="1" applyNumberFormat="1" applyFont="1" applyAlignment="1">
      <alignment horizontal="center"/>
    </xf>
    <xf numFmtId="10" fontId="36" fillId="0" borderId="0" xfId="19" applyNumberFormat="1" applyFont="1" applyAlignment="1">
      <alignment horizontal="center"/>
    </xf>
    <xf numFmtId="44" fontId="36" fillId="0" borderId="0" xfId="16" applyNumberFormat="1" applyFont="1"/>
    <xf numFmtId="17" fontId="30" fillId="0" borderId="0" xfId="16" quotePrefix="1" applyNumberFormat="1" applyFont="1" applyAlignment="1">
      <alignment horizontal="center"/>
    </xf>
    <xf numFmtId="166" fontId="36" fillId="0" borderId="0" xfId="16" applyNumberFormat="1" applyFont="1" applyAlignment="1">
      <alignment horizontal="center"/>
    </xf>
    <xf numFmtId="0" fontId="54" fillId="0" borderId="0" xfId="16" quotePrefix="1" applyFont="1" applyAlignment="1">
      <alignment horizontal="center"/>
    </xf>
    <xf numFmtId="0" fontId="36" fillId="0" borderId="3" xfId="16" applyFont="1" applyBorder="1"/>
    <xf numFmtId="0" fontId="36" fillId="0" borderId="3" xfId="16" quotePrefix="1" applyFont="1" applyBorder="1" applyAlignment="1">
      <alignment horizontal="center"/>
    </xf>
    <xf numFmtId="0" fontId="36" fillId="0" borderId="3" xfId="16" applyFont="1" applyBorder="1" applyAlignment="1">
      <alignment horizontal="center"/>
    </xf>
    <xf numFmtId="0" fontId="54" fillId="0" borderId="3" xfId="16" quotePrefix="1" applyFont="1" applyBorder="1" applyAlignment="1">
      <alignment horizontal="center"/>
    </xf>
    <xf numFmtId="0" fontId="36" fillId="0" borderId="0" xfId="16" applyFont="1" applyAlignment="1">
      <alignment horizontal="center"/>
    </xf>
    <xf numFmtId="168" fontId="54" fillId="11" borderId="0" xfId="21" applyNumberFormat="1" applyFont="1" applyFill="1" applyBorder="1" applyAlignment="1"/>
    <xf numFmtId="0" fontId="36" fillId="0" borderId="0" xfId="16" quotePrefix="1" applyFont="1" applyAlignment="1">
      <alignment horizontal="center"/>
    </xf>
    <xf numFmtId="43" fontId="36" fillId="0" borderId="0" xfId="16" applyNumberFormat="1" applyFont="1" applyAlignment="1">
      <alignment horizontal="right"/>
    </xf>
    <xf numFmtId="43" fontId="52" fillId="0" borderId="3" xfId="20" applyFont="1" applyBorder="1" applyAlignment="1">
      <alignment horizontal="center"/>
    </xf>
    <xf numFmtId="4" fontId="35" fillId="11" borderId="3" xfId="16" applyNumberFormat="1" applyFont="1" applyFill="1" applyBorder="1" applyAlignment="1">
      <alignment horizontal="center"/>
    </xf>
    <xf numFmtId="4" fontId="55" fillId="0" borderId="0" xfId="16" applyNumberFormat="1" applyFont="1"/>
    <xf numFmtId="0" fontId="48" fillId="0" borderId="0" xfId="16" quotePrefix="1" applyFont="1" applyAlignment="1">
      <alignment horizontal="center"/>
    </xf>
    <xf numFmtId="169" fontId="52" fillId="0" borderId="0" xfId="16" applyNumberFormat="1" applyFont="1" applyAlignment="1">
      <alignment horizontal="center"/>
    </xf>
    <xf numFmtId="169" fontId="52" fillId="0" borderId="0" xfId="16" applyNumberFormat="1" applyFont="1"/>
    <xf numFmtId="0" fontId="49" fillId="0" borderId="0" xfId="16" quotePrefix="1" applyFont="1" applyAlignment="1">
      <alignment horizontal="left"/>
    </xf>
    <xf numFmtId="0" fontId="49" fillId="0" borderId="0" xfId="16" applyFont="1"/>
    <xf numFmtId="41" fontId="35" fillId="11" borderId="0" xfId="20" applyNumberFormat="1" applyFont="1" applyFill="1" applyBorder="1" applyAlignment="1"/>
    <xf numFmtId="169" fontId="36" fillId="0" borderId="0" xfId="16" applyNumberFormat="1" applyFont="1" applyAlignment="1">
      <alignment horizontal="center"/>
    </xf>
    <xf numFmtId="43" fontId="36" fillId="0" borderId="0" xfId="16" applyNumberFormat="1" applyFont="1"/>
    <xf numFmtId="0" fontId="36" fillId="0" borderId="0" xfId="16" quotePrefix="1" applyFont="1"/>
    <xf numFmtId="41" fontId="35" fillId="0" borderId="0" xfId="20" applyNumberFormat="1" applyFont="1" applyFill="1" applyBorder="1" applyAlignment="1"/>
    <xf numFmtId="0" fontId="36" fillId="0" borderId="0" xfId="16" quotePrefix="1" applyFont="1" applyAlignment="1">
      <alignment horizontal="left" wrapText="1"/>
    </xf>
    <xf numFmtId="43" fontId="36" fillId="0" borderId="0" xfId="20" applyFont="1"/>
    <xf numFmtId="0" fontId="55" fillId="0" borderId="0" xfId="16" applyFont="1"/>
    <xf numFmtId="0" fontId="55" fillId="0" borderId="0" xfId="16" quotePrefix="1" applyFont="1" applyAlignment="1">
      <alignment horizontal="left"/>
    </xf>
    <xf numFmtId="4" fontId="36" fillId="0" borderId="3" xfId="16" applyNumberFormat="1" applyFont="1" applyBorder="1" applyAlignment="1">
      <alignment horizontal="center"/>
    </xf>
    <xf numFmtId="178" fontId="35" fillId="11" borderId="0" xfId="16" applyNumberFormat="1" applyFont="1" applyFill="1"/>
    <xf numFmtId="16" fontId="36" fillId="0" borderId="0" xfId="16" quotePrefix="1" applyNumberFormat="1" applyFont="1" applyAlignment="1">
      <alignment horizontal="right"/>
    </xf>
    <xf numFmtId="170" fontId="36" fillId="0" borderId="0" xfId="22" applyFont="1" applyBorder="1" applyAlignment="1">
      <alignment horizontal="right"/>
    </xf>
    <xf numFmtId="170" fontId="36" fillId="0" borderId="0" xfId="22" quotePrefix="1" applyFont="1" applyBorder="1" applyAlignment="1">
      <alignment horizontal="right"/>
    </xf>
    <xf numFmtId="170" fontId="36" fillId="0" borderId="0" xfId="22" applyFont="1" applyBorder="1" applyAlignment="1"/>
    <xf numFmtId="170" fontId="36" fillId="0" borderId="2" xfId="22" quotePrefix="1" applyFont="1" applyBorder="1" applyAlignment="1">
      <alignment horizontal="right"/>
    </xf>
    <xf numFmtId="2" fontId="58" fillId="0" borderId="0" xfId="16" applyNumberFormat="1" applyFont="1" applyAlignment="1">
      <alignment horizontal="left" indent="3"/>
    </xf>
    <xf numFmtId="4" fontId="36" fillId="0" borderId="0" xfId="16" applyNumberFormat="1" applyFont="1" applyAlignment="1">
      <alignment horizontal="center"/>
    </xf>
    <xf numFmtId="38" fontId="35" fillId="11" borderId="0" xfId="16" quotePrefix="1" applyNumberFormat="1" applyFont="1" applyFill="1"/>
    <xf numFmtId="0" fontId="30" fillId="0" borderId="0" xfId="16" applyFont="1" applyAlignment="1">
      <alignment horizontal="right"/>
    </xf>
    <xf numFmtId="0" fontId="30" fillId="0" borderId="0" xfId="16" applyFont="1"/>
    <xf numFmtId="4" fontId="36" fillId="0" borderId="0" xfId="16" applyNumberFormat="1" applyFont="1" applyAlignment="1">
      <alignment horizontal="left"/>
    </xf>
    <xf numFmtId="38" fontId="36" fillId="0" borderId="0" xfId="16" quotePrefix="1" applyNumberFormat="1" applyFont="1"/>
    <xf numFmtId="7" fontId="36" fillId="0" borderId="0" xfId="16" applyNumberFormat="1" applyFont="1" applyAlignment="1">
      <alignment horizontal="center"/>
    </xf>
    <xf numFmtId="7" fontId="36" fillId="0" borderId="0" xfId="16" applyNumberFormat="1" applyFont="1"/>
    <xf numFmtId="7" fontId="36" fillId="0" borderId="3" xfId="16" applyNumberFormat="1" applyFont="1" applyBorder="1"/>
    <xf numFmtId="3" fontId="36" fillId="0" borderId="0" xfId="16" quotePrefix="1" applyNumberFormat="1" applyFont="1" applyAlignment="1">
      <alignment horizontal="center"/>
    </xf>
    <xf numFmtId="16" fontId="36" fillId="0" borderId="0" xfId="16" applyNumberFormat="1" applyFont="1"/>
    <xf numFmtId="168" fontId="36" fillId="0" borderId="0" xfId="16" applyNumberFormat="1" applyFont="1"/>
    <xf numFmtId="0" fontId="30" fillId="6" borderId="11" xfId="16" applyFont="1" applyFill="1" applyBorder="1" applyAlignment="1">
      <alignment horizontal="center"/>
    </xf>
    <xf numFmtId="0" fontId="36" fillId="6" borderId="11" xfId="16" applyFont="1" applyFill="1" applyBorder="1" applyAlignment="1">
      <alignment horizontal="center"/>
    </xf>
    <xf numFmtId="0" fontId="37" fillId="0" borderId="0" xfId="16" applyFont="1"/>
    <xf numFmtId="0" fontId="36" fillId="8" borderId="0" xfId="16" applyFont="1" applyFill="1"/>
    <xf numFmtId="0" fontId="36" fillId="8" borderId="0" xfId="16" applyFont="1" applyFill="1" applyAlignment="1">
      <alignment horizontal="left"/>
    </xf>
    <xf numFmtId="0" fontId="30" fillId="8" borderId="0" xfId="16" applyFont="1" applyFill="1"/>
    <xf numFmtId="43" fontId="36" fillId="8" borderId="0" xfId="20" applyFont="1" applyFill="1" applyBorder="1" applyAlignment="1"/>
    <xf numFmtId="0" fontId="35" fillId="0" borderId="0" xfId="16" applyFont="1" applyAlignment="1">
      <alignment horizontal="center"/>
    </xf>
    <xf numFmtId="43" fontId="35" fillId="0" borderId="3" xfId="20" applyFont="1" applyBorder="1" applyAlignment="1"/>
    <xf numFmtId="37" fontId="35" fillId="0" borderId="3" xfId="20" applyNumberFormat="1" applyFont="1" applyBorder="1" applyAlignment="1"/>
    <xf numFmtId="43" fontId="36" fillId="9" borderId="10" xfId="20" applyFont="1" applyFill="1" applyBorder="1" applyAlignment="1"/>
    <xf numFmtId="0" fontId="48" fillId="0" borderId="0" xfId="16" applyFont="1" applyAlignment="1">
      <alignment horizontal="right"/>
    </xf>
    <xf numFmtId="7" fontId="59" fillId="0" borderId="0" xfId="16" quotePrefix="1" applyNumberFormat="1" applyFont="1" applyAlignment="1">
      <alignment horizontal="center"/>
    </xf>
    <xf numFmtId="17" fontId="59" fillId="0" borderId="0" xfId="16" quotePrefix="1" applyNumberFormat="1" applyFont="1" applyAlignment="1">
      <alignment horizontal="center"/>
    </xf>
    <xf numFmtId="7" fontId="59" fillId="0" borderId="0" xfId="16" applyNumberFormat="1" applyFont="1" applyAlignment="1">
      <alignment horizontal="center"/>
    </xf>
    <xf numFmtId="2" fontId="48" fillId="0" borderId="0" xfId="16" quotePrefix="1" applyNumberFormat="1" applyFont="1" applyAlignment="1">
      <alignment horizontal="center"/>
    </xf>
    <xf numFmtId="0" fontId="60" fillId="0" borderId="0" xfId="16" quotePrefix="1" applyFont="1" applyAlignment="1">
      <alignment horizontal="center"/>
    </xf>
    <xf numFmtId="43" fontId="48" fillId="0" borderId="0" xfId="20" applyFont="1" applyFill="1" applyBorder="1" applyAlignment="1"/>
    <xf numFmtId="0" fontId="48" fillId="0" borderId="0" xfId="16" applyFont="1"/>
    <xf numFmtId="0" fontId="23" fillId="0" borderId="0" xfId="16" applyFont="1" applyAlignment="1">
      <alignment horizontal="left" vertical="center"/>
    </xf>
    <xf numFmtId="0" fontId="28" fillId="0" borderId="0" xfId="16" applyFont="1" applyAlignment="1">
      <alignment horizontal="left" vertical="center" wrapText="1"/>
    </xf>
    <xf numFmtId="0" fontId="61" fillId="0" borderId="0" xfId="14" applyFont="1" applyAlignment="1">
      <alignment horizontal="left"/>
    </xf>
    <xf numFmtId="0" fontId="1" fillId="0" borderId="0" xfId="14" applyAlignment="1">
      <alignment horizontal="center"/>
    </xf>
    <xf numFmtId="0" fontId="1" fillId="0" borderId="0" xfId="14"/>
    <xf numFmtId="43" fontId="0" fillId="0" borderId="0" xfId="15" applyFont="1"/>
    <xf numFmtId="43" fontId="61" fillId="0" borderId="0" xfId="20" applyFont="1"/>
    <xf numFmtId="43" fontId="1" fillId="0" borderId="0" xfId="20" applyFont="1"/>
    <xf numFmtId="0" fontId="62" fillId="0" borderId="0" xfId="14" applyFont="1"/>
    <xf numFmtId="43" fontId="63" fillId="0" borderId="0" xfId="15" applyFont="1"/>
    <xf numFmtId="0" fontId="34" fillId="0" borderId="0" xfId="14" applyFont="1"/>
    <xf numFmtId="0" fontId="34" fillId="0" borderId="0" xfId="14" applyFont="1" applyAlignment="1">
      <alignment horizontal="center"/>
    </xf>
    <xf numFmtId="43" fontId="64" fillId="0" borderId="0" xfId="15" applyFont="1" applyAlignment="1">
      <alignment horizontal="center"/>
    </xf>
    <xf numFmtId="43" fontId="65" fillId="0" borderId="0" xfId="20" applyFont="1" applyAlignment="1">
      <alignment horizontal="center"/>
    </xf>
    <xf numFmtId="43" fontId="34" fillId="0" borderId="0" xfId="20" applyFont="1" applyAlignment="1">
      <alignment horizontal="center"/>
    </xf>
    <xf numFmtId="0" fontId="34" fillId="0" borderId="0" xfId="14" applyFont="1" applyAlignment="1">
      <alignment horizontal="center" wrapText="1"/>
    </xf>
    <xf numFmtId="49" fontId="1" fillId="0" borderId="0" xfId="14" applyNumberFormat="1" applyAlignment="1">
      <alignment horizontal="center"/>
    </xf>
    <xf numFmtId="43" fontId="2" fillId="0" borderId="0" xfId="15" applyFont="1" applyAlignment="1">
      <alignment horizontal="center"/>
    </xf>
    <xf numFmtId="43" fontId="1" fillId="0" borderId="0" xfId="20" applyFont="1" applyAlignment="1">
      <alignment horizontal="center"/>
    </xf>
    <xf numFmtId="43" fontId="61" fillId="0" borderId="0" xfId="20" applyFont="1" applyAlignment="1">
      <alignment horizontal="center"/>
    </xf>
    <xf numFmtId="43" fontId="1" fillId="0" borderId="0" xfId="14" applyNumberFormat="1"/>
    <xf numFmtId="43" fontId="2" fillId="0" borderId="0" xfId="15" applyFont="1"/>
    <xf numFmtId="43" fontId="2" fillId="0" borderId="0" xfId="20" applyFont="1" applyFill="1"/>
    <xf numFmtId="43" fontId="0" fillId="0" borderId="0" xfId="15" applyFont="1" applyFill="1"/>
    <xf numFmtId="43" fontId="0" fillId="0" borderId="0" xfId="20" applyFont="1" applyFill="1"/>
    <xf numFmtId="43" fontId="61" fillId="0" borderId="0" xfId="20" applyFont="1" applyFill="1"/>
    <xf numFmtId="43" fontId="1" fillId="0" borderId="0" xfId="20" applyFont="1" applyFill="1"/>
    <xf numFmtId="43" fontId="2" fillId="0" borderId="0" xfId="15" applyFont="1" applyFill="1"/>
    <xf numFmtId="0" fontId="66" fillId="0" borderId="0" xfId="14" applyFont="1" applyAlignment="1">
      <alignment horizontal="center"/>
    </xf>
    <xf numFmtId="0" fontId="66" fillId="0" borderId="0" xfId="14" applyFont="1"/>
    <xf numFmtId="43" fontId="67" fillId="0" borderId="0" xfId="15" applyFont="1" applyFill="1"/>
    <xf numFmtId="0" fontId="33" fillId="0" borderId="0" xfId="14" applyFont="1" applyAlignment="1">
      <alignment horizontal="center"/>
    </xf>
    <xf numFmtId="0" fontId="33" fillId="0" borderId="0" xfId="14" applyFont="1"/>
    <xf numFmtId="43" fontId="67" fillId="0" borderId="0" xfId="15" applyFont="1"/>
    <xf numFmtId="43" fontId="67" fillId="0" borderId="0" xfId="20" applyFont="1" applyFill="1"/>
    <xf numFmtId="0" fontId="1" fillId="7" borderId="0" xfId="14" applyFill="1" applyAlignment="1">
      <alignment horizontal="center"/>
    </xf>
    <xf numFmtId="0" fontId="1" fillId="7" borderId="0" xfId="14" applyFill="1"/>
    <xf numFmtId="43" fontId="0" fillId="7" borderId="0" xfId="15" applyFont="1" applyFill="1"/>
    <xf numFmtId="43" fontId="2" fillId="7" borderId="0" xfId="15" applyFont="1" applyFill="1"/>
    <xf numFmtId="43" fontId="2" fillId="7" borderId="0" xfId="20" applyFont="1" applyFill="1"/>
    <xf numFmtId="43" fontId="0" fillId="7" borderId="0" xfId="20" applyFont="1" applyFill="1"/>
    <xf numFmtId="43" fontId="0" fillId="12" borderId="0" xfId="15" applyFont="1" applyFill="1"/>
    <xf numFmtId="43" fontId="2" fillId="12" borderId="0" xfId="15" applyFont="1" applyFill="1"/>
    <xf numFmtId="43" fontId="2" fillId="0" borderId="0" xfId="20" applyFont="1"/>
    <xf numFmtId="43" fontId="0" fillId="0" borderId="0" xfId="20" applyFont="1"/>
    <xf numFmtId="0" fontId="61" fillId="0" borderId="0" xfId="14" applyFont="1" applyAlignment="1">
      <alignment horizontal="right"/>
    </xf>
    <xf numFmtId="0" fontId="61" fillId="0" borderId="0" xfId="14" applyFont="1"/>
    <xf numFmtId="43" fontId="61" fillId="0" borderId="3" xfId="14" applyNumberFormat="1" applyFont="1" applyBorder="1"/>
    <xf numFmtId="43" fontId="61" fillId="0" borderId="0" xfId="14" applyNumberFormat="1" applyFont="1"/>
    <xf numFmtId="43" fontId="67" fillId="0" borderId="0" xfId="20" applyFont="1"/>
    <xf numFmtId="43" fontId="1" fillId="0" borderId="0" xfId="14" applyNumberFormat="1" applyAlignment="1">
      <alignment horizontal="center"/>
    </xf>
    <xf numFmtId="43" fontId="5" fillId="0" borderId="3" xfId="1" applyNumberFormat="1" applyFont="1" applyBorder="1"/>
    <xf numFmtId="44" fontId="5" fillId="0" borderId="0" xfId="2" applyNumberFormat="1" applyFont="1"/>
    <xf numFmtId="0" fontId="29" fillId="0" borderId="0" xfId="0" quotePrefix="1" applyFont="1" applyAlignment="1">
      <alignment horizontal="left"/>
    </xf>
    <xf numFmtId="167" fontId="5" fillId="0" borderId="0" xfId="2" applyNumberFormat="1" applyFont="1" applyBorder="1"/>
    <xf numFmtId="165" fontId="5" fillId="0" borderId="0" xfId="3" applyNumberFormat="1" applyFont="1" applyBorder="1"/>
    <xf numFmtId="165" fontId="5" fillId="0" borderId="9" xfId="2" applyNumberFormat="1" applyFont="1" applyBorder="1" applyAlignment="1">
      <alignment horizontal="right"/>
    </xf>
    <xf numFmtId="165" fontId="5" fillId="0" borderId="0" xfId="2" applyNumberFormat="1" applyFont="1"/>
    <xf numFmtId="165" fontId="5" fillId="0" borderId="10" xfId="2" applyNumberFormat="1" applyFont="1" applyBorder="1"/>
    <xf numFmtId="165" fontId="5" fillId="0" borderId="0" xfId="2" applyNumberFormat="1" applyFont="1" applyAlignment="1">
      <alignment horizontal="left"/>
    </xf>
    <xf numFmtId="179" fontId="11" fillId="2" borderId="3" xfId="1" applyNumberFormat="1" applyFont="1" applyFill="1" applyBorder="1" applyAlignment="1">
      <alignment horizontal="center"/>
    </xf>
    <xf numFmtId="2" fontId="5" fillId="0" borderId="0" xfId="2" applyNumberFormat="1" applyFont="1" applyAlignment="1">
      <alignment horizontal="right"/>
    </xf>
    <xf numFmtId="179" fontId="11" fillId="2" borderId="3" xfId="1" applyNumberFormat="1" applyFont="1" applyFill="1" applyBorder="1" applyAlignment="1">
      <alignment vertical="center"/>
    </xf>
    <xf numFmtId="0" fontId="29" fillId="0" borderId="0" xfId="0" quotePrefix="1" applyFont="1"/>
    <xf numFmtId="43" fontId="1" fillId="0" borderId="0" xfId="1" applyFont="1" applyAlignment="1">
      <alignment horizontal="center"/>
    </xf>
    <xf numFmtId="43" fontId="39" fillId="0" borderId="0" xfId="16" applyNumberFormat="1" applyFont="1" applyAlignment="1">
      <alignment horizontal="center"/>
    </xf>
    <xf numFmtId="180" fontId="36" fillId="0" borderId="0" xfId="16" applyNumberFormat="1" applyFont="1"/>
    <xf numFmtId="180" fontId="36" fillId="0" borderId="4" xfId="16" applyNumberFormat="1" applyFont="1" applyBorder="1"/>
    <xf numFmtId="180" fontId="36" fillId="0" borderId="0" xfId="16" applyNumberFormat="1" applyFont="1" applyBorder="1"/>
    <xf numFmtId="180" fontId="36" fillId="0" borderId="0" xfId="16" applyNumberFormat="1" applyFont="1" applyBorder="1" applyAlignment="1">
      <alignment horizontal="right"/>
    </xf>
    <xf numFmtId="4" fontId="35" fillId="11" borderId="3" xfId="16" applyNumberFormat="1" applyFont="1" applyFill="1" applyBorder="1" applyAlignment="1">
      <alignment horizontal="right"/>
    </xf>
    <xf numFmtId="43" fontId="36" fillId="2" borderId="0" xfId="20" applyFont="1" applyFill="1" applyBorder="1" applyAlignment="1"/>
    <xf numFmtId="43" fontId="39" fillId="0" borderId="0" xfId="17" applyFont="1" applyBorder="1"/>
    <xf numFmtId="43" fontId="39" fillId="0" borderId="0" xfId="16" applyNumberFormat="1" applyFont="1" applyBorder="1"/>
    <xf numFmtId="0" fontId="39" fillId="0" borderId="0" xfId="16" applyFont="1" applyBorder="1"/>
    <xf numFmtId="43" fontId="1" fillId="12" borderId="0" xfId="1" applyFill="1" applyAlignment="1">
      <alignment horizontal="center"/>
    </xf>
    <xf numFmtId="0" fontId="40" fillId="0" borderId="15" xfId="16" applyFont="1" applyBorder="1" applyAlignment="1">
      <alignment horizontal="center"/>
    </xf>
    <xf numFmtId="0" fontId="40" fillId="0" borderId="11" xfId="16" applyFont="1" applyBorder="1" applyAlignment="1">
      <alignment horizontal="center"/>
    </xf>
    <xf numFmtId="0" fontId="5" fillId="0" borderId="0" xfId="2" applyFont="1" applyAlignment="1">
      <alignment horizontal="left" indent="2"/>
    </xf>
    <xf numFmtId="0" fontId="39" fillId="0" borderId="0" xfId="16" applyFont="1" applyAlignment="1">
      <alignment horizontal="left"/>
    </xf>
    <xf numFmtId="1" fontId="68" fillId="0" borderId="0" xfId="16" quotePrefix="1" applyNumberFormat="1" applyFont="1" applyAlignment="1">
      <alignment horizontal="left"/>
    </xf>
    <xf numFmtId="1" fontId="40" fillId="0" borderId="0" xfId="16" quotePrefix="1" applyNumberFormat="1" applyFont="1"/>
    <xf numFmtId="43" fontId="39" fillId="0" borderId="0" xfId="20" applyFont="1"/>
    <xf numFmtId="0" fontId="40" fillId="0" borderId="0" xfId="16" quotePrefix="1" applyFont="1" applyAlignment="1">
      <alignment vertical="center"/>
    </xf>
    <xf numFmtId="1" fontId="41" fillId="0" borderId="0" xfId="16" quotePrefix="1" applyNumberFormat="1" applyFont="1" applyAlignment="1">
      <alignment horizontal="left"/>
    </xf>
    <xf numFmtId="1" fontId="39" fillId="0" borderId="0" xfId="16" applyNumberFormat="1" applyFont="1"/>
    <xf numFmtId="0" fontId="40" fillId="0" borderId="0" xfId="16" quotePrefix="1" applyFont="1" applyAlignment="1">
      <alignment horizontal="center"/>
    </xf>
    <xf numFmtId="43" fontId="40" fillId="0" borderId="0" xfId="20" quotePrefix="1" applyFont="1" applyFill="1" applyBorder="1" applyAlignment="1">
      <alignment horizontal="center"/>
    </xf>
    <xf numFmtId="0" fontId="40" fillId="0" borderId="0" xfId="16" quotePrefix="1" applyFont="1" applyAlignment="1">
      <alignment horizontal="left" indent="4"/>
    </xf>
    <xf numFmtId="1" fontId="39" fillId="0" borderId="0" xfId="16" applyNumberFormat="1" applyFont="1" applyAlignment="1">
      <alignment horizontal="center"/>
    </xf>
    <xf numFmtId="1" fontId="40" fillId="0" borderId="11" xfId="16" applyNumberFormat="1" applyFont="1" applyBorder="1" applyAlignment="1">
      <alignment horizontal="center"/>
    </xf>
    <xf numFmtId="1" fontId="40" fillId="0" borderId="15" xfId="16" applyNumberFormat="1" applyFont="1" applyBorder="1" applyAlignment="1">
      <alignment horizontal="center"/>
    </xf>
    <xf numFmtId="43" fontId="40" fillId="0" borderId="11" xfId="20" quotePrefix="1" applyFont="1" applyFill="1" applyBorder="1" applyAlignment="1">
      <alignment horizontal="center"/>
    </xf>
    <xf numFmtId="0" fontId="42" fillId="0" borderId="1" xfId="16" quotePrefix="1" applyFont="1" applyBorder="1" applyAlignment="1">
      <alignment horizontal="center"/>
    </xf>
    <xf numFmtId="0" fontId="40" fillId="6" borderId="0" xfId="16" applyFont="1" applyFill="1" applyAlignment="1">
      <alignment horizontal="center"/>
    </xf>
    <xf numFmtId="49" fontId="39" fillId="6" borderId="0" xfId="16" applyNumberFormat="1" applyFont="1" applyFill="1" applyAlignment="1">
      <alignment horizontal="center"/>
    </xf>
    <xf numFmtId="1" fontId="39" fillId="6" borderId="0" xfId="16" applyNumberFormat="1" applyFont="1" applyFill="1" applyAlignment="1">
      <alignment horizontal="left"/>
    </xf>
    <xf numFmtId="0" fontId="39" fillId="6" borderId="0" xfId="16" applyFont="1" applyFill="1" applyAlignment="1">
      <alignment horizontal="left"/>
    </xf>
    <xf numFmtId="43" fontId="39" fillId="6" borderId="0" xfId="2" applyNumberFormat="1" applyFont="1" applyFill="1"/>
    <xf numFmtId="43" fontId="40" fillId="6" borderId="0" xfId="20" quotePrefix="1" applyFont="1" applyFill="1" applyBorder="1" applyAlignment="1">
      <alignment horizontal="center"/>
    </xf>
    <xf numFmtId="0" fontId="70" fillId="5" borderId="18" xfId="16" quotePrefix="1" applyFont="1" applyFill="1" applyBorder="1" applyAlignment="1">
      <alignment horizontal="left"/>
    </xf>
    <xf numFmtId="1" fontId="40" fillId="0" borderId="0" xfId="16" applyNumberFormat="1" applyFont="1" applyAlignment="1">
      <alignment horizontal="center"/>
    </xf>
    <xf numFmtId="0" fontId="71" fillId="5" borderId="19" xfId="16" quotePrefix="1" applyFont="1" applyFill="1" applyBorder="1" applyAlignment="1">
      <alignment horizontal="left" indent="1"/>
    </xf>
    <xf numFmtId="0" fontId="70" fillId="5" borderId="19" xfId="16" quotePrefix="1" applyFont="1" applyFill="1" applyBorder="1" applyAlignment="1">
      <alignment horizontal="left" indent="1"/>
    </xf>
    <xf numFmtId="1" fontId="39" fillId="0" borderId="0" xfId="16" applyNumberFormat="1" applyFont="1" applyAlignment="1">
      <alignment horizontal="left"/>
    </xf>
    <xf numFmtId="43" fontId="39" fillId="0" borderId="0" xfId="2" applyNumberFormat="1" applyFont="1"/>
    <xf numFmtId="0" fontId="72" fillId="5" borderId="19" xfId="16" applyFont="1" applyFill="1" applyBorder="1"/>
    <xf numFmtId="0" fontId="71" fillId="5" borderId="19" xfId="16" quotePrefix="1" applyFont="1" applyFill="1" applyBorder="1" applyAlignment="1">
      <alignment horizontal="left"/>
    </xf>
    <xf numFmtId="1" fontId="39" fillId="6" borderId="0" xfId="2" applyNumberFormat="1" applyFont="1" applyFill="1" applyAlignment="1">
      <alignment horizontal="center"/>
    </xf>
    <xf numFmtId="1" fontId="39" fillId="6" borderId="0" xfId="2" applyNumberFormat="1" applyFont="1" applyFill="1"/>
    <xf numFmtId="49" fontId="39" fillId="6" borderId="0" xfId="16" quotePrefix="1" applyNumberFormat="1" applyFont="1" applyFill="1" applyAlignment="1">
      <alignment horizontal="left"/>
    </xf>
    <xf numFmtId="43" fontId="45" fillId="6" borderId="0" xfId="20" applyFont="1" applyFill="1" applyBorder="1" applyAlignment="1"/>
    <xf numFmtId="43" fontId="45" fillId="0" borderId="0" xfId="20" applyFont="1"/>
    <xf numFmtId="0" fontId="39" fillId="6" borderId="0" xfId="16" quotePrefix="1" applyFont="1" applyFill="1" applyAlignment="1">
      <alignment horizontal="left" indent="1"/>
    </xf>
    <xf numFmtId="0" fontId="39" fillId="6" borderId="0" xfId="16" quotePrefix="1" applyFont="1" applyFill="1" applyAlignment="1">
      <alignment horizontal="left" vertical="center" indent="1"/>
    </xf>
    <xf numFmtId="0" fontId="71" fillId="5" borderId="20" xfId="16" quotePrefix="1" applyFont="1" applyFill="1" applyBorder="1" applyAlignment="1">
      <alignment horizontal="left" indent="2"/>
    </xf>
    <xf numFmtId="1" fontId="39" fillId="6" borderId="0" xfId="2" applyNumberFormat="1" applyFont="1" applyFill="1" applyAlignment="1">
      <alignment horizontal="left" indent="1"/>
    </xf>
    <xf numFmtId="49" fontId="39" fillId="6" borderId="0" xfId="2" applyNumberFormat="1" applyFont="1" applyFill="1" applyAlignment="1">
      <alignment horizontal="left" indent="1"/>
    </xf>
    <xf numFmtId="0" fontId="71" fillId="5" borderId="20" xfId="16" quotePrefix="1" applyFont="1" applyFill="1" applyBorder="1" applyAlignment="1">
      <alignment horizontal="left"/>
    </xf>
    <xf numFmtId="0" fontId="70" fillId="0" borderId="0" xfId="16" quotePrefix="1" applyFont="1" applyAlignment="1">
      <alignment horizontal="left" indent="1"/>
    </xf>
    <xf numFmtId="49" fontId="39" fillId="6" borderId="0" xfId="2" quotePrefix="1" applyNumberFormat="1" applyFont="1" applyFill="1" applyAlignment="1">
      <alignment horizontal="left" indent="1"/>
    </xf>
    <xf numFmtId="0" fontId="71" fillId="0" borderId="0" xfId="16" quotePrefix="1" applyFont="1" applyAlignment="1">
      <alignment horizontal="left" indent="2"/>
    </xf>
    <xf numFmtId="1" fontId="39" fillId="6" borderId="0" xfId="2" applyNumberFormat="1" applyFont="1" applyFill="1" applyAlignment="1">
      <alignment horizontal="right" indent="1"/>
    </xf>
    <xf numFmtId="0" fontId="71" fillId="0" borderId="0" xfId="16" quotePrefix="1" applyFont="1" applyAlignment="1">
      <alignment horizontal="left"/>
    </xf>
    <xf numFmtId="0" fontId="70" fillId="0" borderId="0" xfId="16" quotePrefix="1" applyFont="1" applyAlignment="1">
      <alignment horizontal="left"/>
    </xf>
    <xf numFmtId="43" fontId="70" fillId="0" borderId="0" xfId="16" quotePrefix="1" applyNumberFormat="1" applyFont="1" applyAlignment="1">
      <alignment horizontal="left" indent="1"/>
    </xf>
    <xf numFmtId="1" fontId="39" fillId="0" borderId="0" xfId="2" applyNumberFormat="1" applyFont="1" applyAlignment="1">
      <alignment horizontal="center"/>
    </xf>
    <xf numFmtId="1" fontId="39" fillId="0" borderId="0" xfId="2" applyNumberFormat="1" applyFont="1"/>
    <xf numFmtId="49" fontId="39" fillId="0" borderId="0" xfId="16" quotePrefix="1" applyNumberFormat="1" applyFont="1"/>
    <xf numFmtId="43" fontId="45" fillId="0" borderId="0" xfId="20" applyFont="1" applyFill="1" applyBorder="1" applyAlignment="1"/>
    <xf numFmtId="1" fontId="39" fillId="0" borderId="0" xfId="2" quotePrefix="1" applyNumberFormat="1" applyFont="1" applyAlignment="1">
      <alignment horizontal="right"/>
    </xf>
    <xf numFmtId="0" fontId="39" fillId="0" borderId="0" xfId="16" quotePrefix="1" applyFont="1" applyAlignment="1">
      <alignment horizontal="left" vertical="center" indent="1"/>
    </xf>
    <xf numFmtId="43" fontId="39" fillId="0" borderId="0" xfId="20" applyFont="1" applyFill="1" applyBorder="1" applyAlignment="1"/>
    <xf numFmtId="16" fontId="45" fillId="0" borderId="0" xfId="16" applyNumberFormat="1" applyFont="1"/>
    <xf numFmtId="1" fontId="39" fillId="0" borderId="0" xfId="2" applyNumberFormat="1" applyFont="1" applyAlignment="1">
      <alignment horizontal="left" indent="1"/>
    </xf>
    <xf numFmtId="49" fontId="39" fillId="0" borderId="0" xfId="16" quotePrefix="1" applyNumberFormat="1" applyFont="1" applyAlignment="1">
      <alignment horizontal="left" indent="1"/>
    </xf>
    <xf numFmtId="1" fontId="39" fillId="0" borderId="0" xfId="2" quotePrefix="1" applyNumberFormat="1" applyFont="1" applyAlignment="1">
      <alignment horizontal="right" indent="1"/>
    </xf>
    <xf numFmtId="49" fontId="39" fillId="0" borderId="0" xfId="2" quotePrefix="1" applyNumberFormat="1" applyFont="1" applyAlignment="1">
      <alignment horizontal="left" indent="1"/>
    </xf>
    <xf numFmtId="43" fontId="45" fillId="0" borderId="0" xfId="20" applyFont="1" applyFill="1"/>
    <xf numFmtId="49" fontId="39" fillId="6" borderId="0" xfId="16" quotePrefix="1" applyNumberFormat="1" applyFont="1" applyFill="1"/>
    <xf numFmtId="1" fontId="39" fillId="6" borderId="0" xfId="2" quotePrefix="1" applyNumberFormat="1" applyFont="1" applyFill="1" applyAlignment="1">
      <alignment horizontal="left"/>
    </xf>
    <xf numFmtId="1" fontId="39" fillId="0" borderId="0" xfId="2" quotePrefix="1" applyNumberFormat="1" applyFont="1" applyAlignment="1">
      <alignment horizontal="left"/>
    </xf>
    <xf numFmtId="49" fontId="39" fillId="6" borderId="0" xfId="16" quotePrefix="1" applyNumberFormat="1" applyFont="1" applyFill="1" applyAlignment="1">
      <alignment horizontal="left" indent="1"/>
    </xf>
    <xf numFmtId="43" fontId="39" fillId="0" borderId="0" xfId="20" applyFont="1" applyFill="1"/>
    <xf numFmtId="0" fontId="40" fillId="0" borderId="0" xfId="16" quotePrefix="1" applyFont="1" applyAlignment="1">
      <alignment horizontal="left" vertical="top"/>
    </xf>
    <xf numFmtId="43" fontId="45" fillId="6" borderId="0" xfId="2" applyNumberFormat="1" applyFont="1" applyFill="1"/>
    <xf numFmtId="0" fontId="39" fillId="0" borderId="0" xfId="16" quotePrefix="1" applyFont="1" applyAlignment="1">
      <alignment horizontal="left" vertical="top"/>
    </xf>
    <xf numFmtId="43" fontId="39" fillId="0" borderId="0" xfId="2" applyNumberFormat="1" applyFont="1" applyAlignment="1">
      <alignment vertical="center"/>
    </xf>
    <xf numFmtId="43" fontId="45" fillId="0" borderId="0" xfId="2" applyNumberFormat="1" applyFont="1"/>
    <xf numFmtId="1" fontId="39" fillId="6" borderId="0" xfId="20" applyNumberFormat="1" applyFont="1" applyFill="1" applyBorder="1" applyAlignment="1">
      <alignment horizontal="center"/>
    </xf>
    <xf numFmtId="1" fontId="39" fillId="6" borderId="0" xfId="20" quotePrefix="1" applyNumberFormat="1" applyFont="1" applyFill="1" applyBorder="1" applyAlignment="1">
      <alignment horizontal="left"/>
    </xf>
    <xf numFmtId="49" fontId="39" fillId="0" borderId="0" xfId="16" applyNumberFormat="1" applyFont="1"/>
    <xf numFmtId="43" fontId="45" fillId="0" borderId="0" xfId="20" applyFont="1" applyFill="1" applyAlignment="1"/>
    <xf numFmtId="43" fontId="39" fillId="0" borderId="9" xfId="16" applyNumberFormat="1" applyFont="1" applyBorder="1"/>
    <xf numFmtId="0" fontId="39" fillId="0" borderId="0" xfId="16" quotePrefix="1" applyFont="1" applyAlignment="1">
      <alignment horizontal="right"/>
    </xf>
    <xf numFmtId="0" fontId="39" fillId="0" borderId="0" xfId="16" quotePrefix="1" applyFont="1"/>
    <xf numFmtId="43" fontId="71" fillId="0" borderId="0" xfId="16" quotePrefix="1" applyNumberFormat="1" applyFont="1" applyAlignment="1">
      <alignment horizontal="left"/>
    </xf>
    <xf numFmtId="0" fontId="39" fillId="0" borderId="0" xfId="16" quotePrefix="1" applyFont="1" applyAlignment="1">
      <alignment vertical="center"/>
    </xf>
    <xf numFmtId="49" fontId="39" fillId="0" borderId="0" xfId="2" applyNumberFormat="1" applyFont="1"/>
    <xf numFmtId="43" fontId="45" fillId="0" borderId="0" xfId="20" applyFont="1" applyFill="1" applyBorder="1"/>
    <xf numFmtId="0" fontId="39" fillId="0" borderId="0" xfId="16" applyFont="1" applyAlignment="1">
      <alignment horizontal="right"/>
    </xf>
    <xf numFmtId="0" fontId="42" fillId="5" borderId="24" xfId="16" applyFont="1" applyFill="1" applyBorder="1"/>
    <xf numFmtId="0" fontId="40" fillId="5" borderId="2" xfId="16" quotePrefix="1" applyFont="1" applyFill="1" applyBorder="1" applyAlignment="1">
      <alignment horizontal="left"/>
    </xf>
    <xf numFmtId="0" fontId="42" fillId="5" borderId="25" xfId="16" applyFont="1" applyFill="1" applyBorder="1"/>
    <xf numFmtId="0" fontId="40" fillId="5" borderId="2" xfId="16" quotePrefix="1" applyFont="1" applyFill="1" applyBorder="1"/>
    <xf numFmtId="49" fontId="40" fillId="5" borderId="2" xfId="16" quotePrefix="1" applyNumberFormat="1" applyFont="1" applyFill="1" applyBorder="1"/>
    <xf numFmtId="49" fontId="40" fillId="5" borderId="25" xfId="16" quotePrefix="1" applyNumberFormat="1" applyFont="1" applyFill="1" applyBorder="1" applyAlignment="1">
      <alignment wrapText="1"/>
    </xf>
    <xf numFmtId="0" fontId="42" fillId="0" borderId="0" xfId="16" applyFont="1"/>
    <xf numFmtId="49" fontId="40" fillId="5" borderId="2" xfId="16" quotePrefix="1" applyNumberFormat="1" applyFont="1" applyFill="1" applyBorder="1" applyAlignment="1">
      <alignment horizontal="left" wrapText="1"/>
    </xf>
    <xf numFmtId="0" fontId="40" fillId="5" borderId="2" xfId="16" quotePrefix="1" applyFont="1" applyFill="1" applyBorder="1" applyAlignment="1">
      <alignment horizontal="left" indent="1"/>
    </xf>
    <xf numFmtId="0" fontId="40" fillId="5" borderId="25" xfId="16" quotePrefix="1" applyFont="1" applyFill="1" applyBorder="1" applyAlignment="1">
      <alignment vertical="top" wrapText="1"/>
    </xf>
    <xf numFmtId="0" fontId="40" fillId="5" borderId="27" xfId="16" applyFont="1" applyFill="1" applyBorder="1"/>
    <xf numFmtId="165" fontId="31" fillId="0" borderId="0" xfId="3" applyFont="1" applyBorder="1" applyAlignment="1">
      <alignment horizontal="center" wrapText="1"/>
    </xf>
    <xf numFmtId="43" fontId="31" fillId="6" borderId="0" xfId="1" applyFont="1" applyFill="1" applyAlignment="1">
      <alignment horizontal="left" indent="3"/>
    </xf>
    <xf numFmtId="2" fontId="31" fillId="0" borderId="0" xfId="2" applyNumberFormat="1" applyFont="1" applyBorder="1" applyAlignment="1">
      <alignment horizontal="right"/>
    </xf>
    <xf numFmtId="43" fontId="5" fillId="0" borderId="0" xfId="1" applyFont="1" applyAlignment="1">
      <alignment horizontal="right"/>
    </xf>
    <xf numFmtId="0" fontId="18" fillId="0" borderId="3" xfId="2" applyFont="1" applyBorder="1" applyAlignment="1">
      <alignment horizontal="center" wrapText="1"/>
    </xf>
    <xf numFmtId="4" fontId="32" fillId="0" borderId="0" xfId="2" applyNumberFormat="1" applyFont="1" applyFill="1" applyAlignment="1"/>
    <xf numFmtId="4" fontId="32" fillId="5" borderId="0" xfId="2" applyNumberFormat="1" applyFont="1" applyFill="1" applyAlignment="1"/>
    <xf numFmtId="4" fontId="22" fillId="0" borderId="0" xfId="2" applyNumberFormat="1" applyFont="1" applyAlignment="1"/>
    <xf numFmtId="4" fontId="32" fillId="0" borderId="0" xfId="2" applyNumberFormat="1" applyFont="1" applyAlignment="1"/>
    <xf numFmtId="2" fontId="5" fillId="0" borderId="0" xfId="2" applyNumberFormat="1" applyFont="1" applyBorder="1" applyAlignment="1">
      <alignment horizontal="right"/>
    </xf>
    <xf numFmtId="172" fontId="5" fillId="0" borderId="0" xfId="1" applyNumberFormat="1" applyFont="1" applyBorder="1"/>
    <xf numFmtId="4" fontId="5" fillId="0" borderId="0" xfId="2" applyNumberFormat="1" applyFont="1" applyBorder="1"/>
    <xf numFmtId="43" fontId="5" fillId="0" borderId="0" xfId="1" applyNumberFormat="1" applyFont="1" applyBorder="1"/>
    <xf numFmtId="0" fontId="5" fillId="6" borderId="11" xfId="0" applyFont="1" applyFill="1" applyBorder="1" applyAlignment="1">
      <alignment horizontal="center"/>
    </xf>
    <xf numFmtId="0" fontId="15" fillId="0" borderId="0" xfId="0" applyFont="1"/>
    <xf numFmtId="43" fontId="5" fillId="0" borderId="3" xfId="1" applyFont="1" applyBorder="1" applyAlignment="1"/>
    <xf numFmtId="0" fontId="5" fillId="0" borderId="0" xfId="0" applyFont="1" applyAlignment="1">
      <alignment horizontal="left"/>
    </xf>
    <xf numFmtId="0" fontId="11" fillId="0" borderId="0" xfId="0" applyFont="1"/>
    <xf numFmtId="43" fontId="5" fillId="0" borderId="0" xfId="1" applyFont="1" applyBorder="1" applyAlignment="1"/>
    <xf numFmtId="0" fontId="5" fillId="8" borderId="0" xfId="0" applyFont="1" applyFill="1" applyAlignment="1">
      <alignment horizontal="left"/>
    </xf>
    <xf numFmtId="0" fontId="11" fillId="8" borderId="0" xfId="0" applyFont="1" applyFill="1"/>
    <xf numFmtId="43" fontId="5" fillId="8" borderId="0" xfId="1" applyFont="1" applyFill="1" applyBorder="1" applyAlignment="1"/>
    <xf numFmtId="43" fontId="31" fillId="0" borderId="3" xfId="1" applyFont="1" applyBorder="1" applyAlignment="1"/>
    <xf numFmtId="37" fontId="31" fillId="0" borderId="3" xfId="1" applyNumberFormat="1" applyFont="1" applyBorder="1" applyAlignment="1"/>
    <xf numFmtId="43" fontId="5" fillId="9" borderId="10" xfId="1" applyFont="1" applyFill="1" applyBorder="1" applyAlignment="1"/>
    <xf numFmtId="43" fontId="5" fillId="0" borderId="10" xfId="1" applyFont="1" applyBorder="1" applyAlignment="1"/>
    <xf numFmtId="168" fontId="5" fillId="0" borderId="0" xfId="0" applyNumberFormat="1" applyFont="1"/>
    <xf numFmtId="165" fontId="5" fillId="5" borderId="5" xfId="0" applyNumberFormat="1" applyFont="1" applyFill="1" applyBorder="1" applyAlignment="1">
      <alignment horizontal="right"/>
    </xf>
    <xf numFmtId="165" fontId="5" fillId="5" borderId="3" xfId="0" applyNumberFormat="1" applyFont="1" applyFill="1" applyBorder="1" applyAlignment="1">
      <alignment horizontal="right"/>
    </xf>
    <xf numFmtId="43" fontId="35" fillId="6" borderId="8" xfId="20" applyFont="1" applyFill="1" applyBorder="1" applyAlignment="1"/>
    <xf numFmtId="43" fontId="5" fillId="0" borderId="7" xfId="1" applyFont="1" applyBorder="1" applyAlignment="1">
      <alignment horizontal="right"/>
    </xf>
    <xf numFmtId="43" fontId="5" fillId="0" borderId="3" xfId="1" applyFont="1" applyBorder="1"/>
    <xf numFmtId="43" fontId="5" fillId="0" borderId="3" xfId="1" applyFont="1" applyBorder="1" applyAlignment="1">
      <alignment horizontal="right"/>
    </xf>
    <xf numFmtId="0" fontId="5" fillId="0" borderId="0" xfId="0" applyFont="1"/>
    <xf numFmtId="0" fontId="5" fillId="8" borderId="0" xfId="0" applyFont="1" applyFill="1"/>
    <xf numFmtId="0" fontId="31" fillId="0" borderId="0" xfId="0" applyFont="1" applyAlignment="1">
      <alignment horizontal="center"/>
    </xf>
    <xf numFmtId="0" fontId="30" fillId="14" borderId="0" xfId="0" applyFont="1" applyFill="1"/>
    <xf numFmtId="4" fontId="36" fillId="0" borderId="0" xfId="16" quotePrefix="1" applyNumberFormat="1" applyFont="1" applyAlignment="1">
      <alignment horizontal="left"/>
    </xf>
    <xf numFmtId="0" fontId="5" fillId="0" borderId="5" xfId="2" applyFont="1" applyBorder="1" applyAlignment="1">
      <alignment horizontal="left" indent="3"/>
    </xf>
    <xf numFmtId="0" fontId="5" fillId="5" borderId="3" xfId="0" applyFont="1" applyFill="1" applyBorder="1" applyAlignment="1">
      <alignment horizontal="left" wrapText="1"/>
    </xf>
    <xf numFmtId="0" fontId="5" fillId="0" borderId="3" xfId="2" applyFont="1" applyBorder="1" applyAlignment="1">
      <alignment horizontal="left" wrapText="1"/>
    </xf>
    <xf numFmtId="0" fontId="5" fillId="5" borderId="5" xfId="0" applyFont="1" applyFill="1" applyBorder="1" applyAlignment="1">
      <alignment horizontal="left" indent="3"/>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0" borderId="5" xfId="2" applyFont="1" applyBorder="1" applyAlignment="1">
      <alignment horizontal="left" wrapText="1" indent="3"/>
    </xf>
    <xf numFmtId="0" fontId="5" fillId="0" borderId="3" xfId="2" applyFont="1" applyBorder="1" applyAlignment="1">
      <alignment horizontal="left" indent="3"/>
    </xf>
    <xf numFmtId="0" fontId="5" fillId="0" borderId="0" xfId="2" applyFont="1" applyAlignment="1">
      <alignment horizontal="center"/>
    </xf>
    <xf numFmtId="166" fontId="5" fillId="0" borderId="0" xfId="2" applyNumberFormat="1" applyFont="1" applyAlignment="1">
      <alignment horizontal="center"/>
    </xf>
    <xf numFmtId="0" fontId="5" fillId="5" borderId="0" xfId="0"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2" fontId="5" fillId="5" borderId="0" xfId="0" applyNumberFormat="1" applyFont="1" applyFill="1" applyAlignment="1">
      <alignment horizontal="center"/>
    </xf>
    <xf numFmtId="0" fontId="5" fillId="5" borderId="0" xfId="0" applyFont="1" applyFill="1" applyAlignment="1">
      <alignment horizontal="right"/>
    </xf>
    <xf numFmtId="0" fontId="5" fillId="0" borderId="0" xfId="2" applyFont="1" applyAlignment="1">
      <alignment horizontal="right"/>
    </xf>
    <xf numFmtId="3" fontId="5" fillId="0" borderId="0" xfId="2" quotePrefix="1" applyNumberFormat="1" applyFont="1" applyAlignment="1">
      <alignment horizontal="center"/>
    </xf>
    <xf numFmtId="0" fontId="5" fillId="5" borderId="0" xfId="0" applyFont="1" applyFill="1" applyAlignment="1">
      <alignment horizontal="left" indent="2"/>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3" fontId="5" fillId="5" borderId="0" xfId="0" quotePrefix="1" applyNumberFormat="1" applyFont="1" applyFill="1" applyAlignment="1">
      <alignment horizontal="center"/>
    </xf>
    <xf numFmtId="0" fontId="5" fillId="0" borderId="0" xfId="2" applyFont="1" applyAlignment="1">
      <alignment horizontal="left" wrapText="1"/>
    </xf>
    <xf numFmtId="0" fontId="5" fillId="0" borderId="3" xfId="2" applyFont="1" applyBorder="1" applyAlignment="1">
      <alignment horizontal="center"/>
    </xf>
    <xf numFmtId="0" fontId="5" fillId="0" borderId="3" xfId="2" applyFont="1" applyBorder="1" applyAlignment="1">
      <alignment horizontal="center" wrapText="1"/>
    </xf>
    <xf numFmtId="2" fontId="5" fillId="0" borderId="0" xfId="2" applyNumberFormat="1" applyFont="1" applyAlignment="1">
      <alignment horizontal="center"/>
    </xf>
    <xf numFmtId="4" fontId="5" fillId="0" borderId="0" xfId="2" applyNumberFormat="1" applyFont="1" applyAlignment="1">
      <alignment horizontal="left" indent="2"/>
    </xf>
    <xf numFmtId="0" fontId="9" fillId="0" borderId="0" xfId="2" applyFont="1" applyAlignment="1">
      <alignment horizontal="center"/>
    </xf>
    <xf numFmtId="0" fontId="9" fillId="0" borderId="0" xfId="2" applyFont="1" applyAlignment="1">
      <alignment horizontal="left"/>
    </xf>
    <xf numFmtId="41" fontId="41" fillId="0" borderId="0" xfId="18" applyNumberFormat="1" applyFont="1" applyBorder="1" applyAlignment="1">
      <alignment horizontal="center"/>
    </xf>
    <xf numFmtId="49" fontId="39" fillId="0" borderId="0" xfId="18" applyNumberFormat="1" applyFont="1" applyFill="1" applyAlignment="1">
      <alignment horizontal="center"/>
    </xf>
    <xf numFmtId="0" fontId="39" fillId="6" borderId="0" xfId="16" applyFont="1" applyFill="1"/>
    <xf numFmtId="43" fontId="39" fillId="0" borderId="0" xfId="2" applyNumberFormat="1" applyFont="1" applyFill="1"/>
    <xf numFmtId="1" fontId="39" fillId="0" borderId="0" xfId="18" applyNumberFormat="1" applyFont="1" applyFill="1" applyAlignment="1">
      <alignment horizontal="center"/>
    </xf>
    <xf numFmtId="49" fontId="45" fillId="0" borderId="0" xfId="16" applyNumberFormat="1" applyFont="1" applyAlignment="1">
      <alignment horizontal="center"/>
    </xf>
    <xf numFmtId="49" fontId="39" fillId="10" borderId="0" xfId="16" applyNumberFormat="1" applyFont="1" applyFill="1" applyAlignment="1">
      <alignment horizontal="center"/>
    </xf>
    <xf numFmtId="0" fontId="41" fillId="6" borderId="0" xfId="16" applyFont="1" applyFill="1" applyAlignment="1">
      <alignment horizontal="center"/>
    </xf>
    <xf numFmtId="43" fontId="39" fillId="0" borderId="0" xfId="1" applyFont="1"/>
    <xf numFmtId="0" fontId="40" fillId="5" borderId="2" xfId="0" quotePrefix="1" applyFont="1" applyFill="1" applyBorder="1" applyAlignment="1">
      <alignment horizontal="left"/>
    </xf>
    <xf numFmtId="0" fontId="40" fillId="5" borderId="2" xfId="0" quotePrefix="1" applyFont="1" applyFill="1" applyBorder="1" applyAlignment="1">
      <alignment horizontal="left" indent="1"/>
    </xf>
    <xf numFmtId="0" fontId="40" fillId="5" borderId="2" xfId="0" quotePrefix="1" applyFont="1" applyFill="1" applyBorder="1" applyAlignment="1">
      <alignment horizontal="left" indent="2"/>
    </xf>
    <xf numFmtId="49" fontId="40" fillId="5" borderId="28" xfId="16" quotePrefix="1" applyNumberFormat="1" applyFont="1" applyFill="1" applyBorder="1" applyAlignment="1">
      <alignment horizontal="left"/>
    </xf>
    <xf numFmtId="49" fontId="42" fillId="5" borderId="29" xfId="16" quotePrefix="1" applyNumberFormat="1" applyFont="1" applyFill="1" applyBorder="1" applyAlignment="1">
      <alignment horizontal="center"/>
    </xf>
    <xf numFmtId="49" fontId="40" fillId="5" borderId="0" xfId="16" quotePrefix="1" applyNumberFormat="1" applyFont="1" applyFill="1" applyBorder="1" applyAlignment="1">
      <alignment horizontal="center"/>
    </xf>
    <xf numFmtId="49" fontId="42" fillId="5" borderId="0" xfId="16" quotePrefix="1" applyNumberFormat="1" applyFont="1" applyFill="1" applyBorder="1" applyAlignment="1">
      <alignment horizontal="center"/>
    </xf>
    <xf numFmtId="49" fontId="40" fillId="5" borderId="0" xfId="16" quotePrefix="1" applyNumberFormat="1" applyFont="1" applyFill="1" applyBorder="1" applyAlignment="1">
      <alignment wrapText="1"/>
    </xf>
    <xf numFmtId="0" fontId="40" fillId="5" borderId="0" xfId="16" quotePrefix="1" applyFont="1" applyFill="1" applyBorder="1" applyAlignment="1">
      <alignment vertical="top" wrapText="1"/>
    </xf>
    <xf numFmtId="0" fontId="40" fillId="5" borderId="0" xfId="0" quotePrefix="1" applyFont="1" applyFill="1" applyBorder="1" applyAlignment="1">
      <alignment vertical="top" wrapText="1"/>
    </xf>
    <xf numFmtId="0" fontId="40" fillId="5" borderId="26" xfId="0" quotePrefix="1" applyFont="1" applyFill="1" applyBorder="1" applyAlignment="1">
      <alignment horizontal="left" indent="2"/>
    </xf>
    <xf numFmtId="0" fontId="40" fillId="5" borderId="8" xfId="0" quotePrefix="1" applyFont="1" applyFill="1" applyBorder="1" applyAlignment="1">
      <alignment vertical="top" wrapText="1"/>
    </xf>
    <xf numFmtId="43" fontId="39" fillId="0" borderId="0" xfId="20" quotePrefix="1" applyFont="1" applyFill="1" applyBorder="1" applyAlignment="1">
      <alignment horizontal="center"/>
    </xf>
    <xf numFmtId="43" fontId="77" fillId="6" borderId="0" xfId="1" applyFont="1" applyFill="1" applyAlignment="1">
      <alignment horizontal="left" vertical="center" wrapText="1" indent="3"/>
    </xf>
    <xf numFmtId="43" fontId="35" fillId="0" borderId="0" xfId="20" applyFont="1" applyFill="1" applyBorder="1" applyAlignment="1"/>
    <xf numFmtId="0" fontId="40" fillId="0" borderId="0" xfId="16" quotePrefix="1" applyFont="1" applyAlignment="1">
      <alignment horizontal="center"/>
    </xf>
    <xf numFmtId="0" fontId="42" fillId="0" borderId="21" xfId="16" quotePrefix="1" applyFont="1" applyBorder="1" applyAlignment="1">
      <alignment horizontal="center"/>
    </xf>
    <xf numFmtId="0" fontId="42" fillId="0" borderId="22" xfId="16" quotePrefix="1" applyFont="1" applyBorder="1" applyAlignment="1">
      <alignment horizontal="center"/>
    </xf>
    <xf numFmtId="0" fontId="42" fillId="0" borderId="23" xfId="16" quotePrefix="1" applyFont="1" applyBorder="1" applyAlignment="1">
      <alignment horizontal="center"/>
    </xf>
    <xf numFmtId="0" fontId="40" fillId="0" borderId="15" xfId="16" applyFont="1" applyBorder="1" applyAlignment="1">
      <alignment horizontal="center"/>
    </xf>
    <xf numFmtId="0" fontId="40" fillId="0" borderId="5" xfId="16" applyFont="1" applyBorder="1" applyAlignment="1">
      <alignment horizontal="center"/>
    </xf>
    <xf numFmtId="0" fontId="40" fillId="0" borderId="14" xfId="16" applyFont="1" applyBorder="1" applyAlignment="1">
      <alignment horizontal="center"/>
    </xf>
    <xf numFmtId="43" fontId="40" fillId="0" borderId="11" xfId="17" quotePrefix="1" applyFont="1" applyBorder="1" applyAlignment="1">
      <alignment horizontal="center"/>
    </xf>
    <xf numFmtId="0" fontId="40" fillId="0" borderId="11" xfId="16" quotePrefix="1" applyFont="1" applyBorder="1" applyAlignment="1">
      <alignment horizontal="center"/>
    </xf>
    <xf numFmtId="49" fontId="42" fillId="0" borderId="11" xfId="2" quotePrefix="1" applyNumberFormat="1" applyFont="1" applyBorder="1" applyAlignment="1">
      <alignment horizontal="center"/>
    </xf>
    <xf numFmtId="49" fontId="42" fillId="0" borderId="11" xfId="2" applyNumberFormat="1" applyFont="1" applyBorder="1" applyAlignment="1">
      <alignment horizontal="center"/>
    </xf>
    <xf numFmtId="0" fontId="36" fillId="0" borderId="3" xfId="16" quotePrefix="1" applyFont="1" applyBorder="1" applyAlignment="1">
      <alignment horizontal="center"/>
    </xf>
    <xf numFmtId="164" fontId="36" fillId="0" borderId="5" xfId="16" quotePrefix="1" applyNumberFormat="1" applyFont="1" applyBorder="1" applyAlignment="1">
      <alignment horizontal="center"/>
    </xf>
    <xf numFmtId="0" fontId="36" fillId="0" borderId="4" xfId="16" applyFont="1" applyBorder="1" applyAlignment="1">
      <alignment horizontal="left"/>
    </xf>
    <xf numFmtId="164" fontId="36" fillId="0" borderId="0" xfId="16" applyNumberFormat="1" applyFont="1" applyAlignment="1">
      <alignment horizontal="center"/>
    </xf>
    <xf numFmtId="0" fontId="36" fillId="0" borderId="0" xfId="16" applyFont="1" applyAlignment="1">
      <alignment horizontal="left"/>
    </xf>
    <xf numFmtId="0" fontId="47" fillId="0" borderId="2" xfId="16" applyFont="1" applyBorder="1" applyAlignment="1">
      <alignment horizontal="left"/>
    </xf>
    <xf numFmtId="0" fontId="47" fillId="0" borderId="0" xfId="16" applyFont="1" applyAlignment="1">
      <alignment horizontal="left"/>
    </xf>
    <xf numFmtId="4" fontId="36" fillId="0" borderId="0" xfId="16" applyNumberFormat="1" applyFont="1"/>
    <xf numFmtId="4" fontId="47" fillId="0" borderId="0" xfId="16" applyNumberFormat="1" applyFont="1" applyAlignment="1">
      <alignment horizontal="left"/>
    </xf>
    <xf numFmtId="164" fontId="36" fillId="0" borderId="0" xfId="16" applyNumberFormat="1" applyFont="1" applyAlignment="1">
      <alignment horizontal="center" wrapText="1"/>
    </xf>
    <xf numFmtId="0" fontId="36" fillId="0" borderId="3" xfId="16" applyFont="1" applyBorder="1" applyAlignment="1">
      <alignment horizontal="left" wrapText="1"/>
    </xf>
    <xf numFmtId="164" fontId="36" fillId="0" borderId="3" xfId="16" applyNumberFormat="1" applyFont="1" applyBorder="1" applyAlignment="1">
      <alignment horizontal="center" wrapText="1"/>
    </xf>
    <xf numFmtId="0" fontId="31" fillId="0" borderId="0" xfId="2" applyFont="1" applyAlignment="1">
      <alignment horizontal="left"/>
    </xf>
    <xf numFmtId="0" fontId="36" fillId="0" borderId="0" xfId="16" quotePrefix="1" applyFont="1" applyAlignment="1">
      <alignment horizontal="left" indent="2"/>
    </xf>
    <xf numFmtId="0" fontId="36" fillId="0" borderId="0" xfId="16" applyFont="1" applyAlignment="1">
      <alignment horizontal="left" indent="2"/>
    </xf>
    <xf numFmtId="0" fontId="36" fillId="0" borderId="0" xfId="16" applyFont="1" applyAlignment="1">
      <alignment horizontal="left" wrapText="1"/>
    </xf>
    <xf numFmtId="2" fontId="36" fillId="0" borderId="4" xfId="16" applyNumberFormat="1" applyFont="1" applyBorder="1" applyAlignment="1">
      <alignment horizontal="center"/>
    </xf>
    <xf numFmtId="0" fontId="36" fillId="0" borderId="0" xfId="16" quotePrefix="1" applyFont="1" applyAlignment="1">
      <alignment horizontal="left"/>
    </xf>
    <xf numFmtId="0" fontId="36" fillId="0" borderId="0" xfId="16" quotePrefix="1" applyFont="1" applyAlignment="1">
      <alignment horizontal="center"/>
    </xf>
    <xf numFmtId="0" fontId="49" fillId="0" borderId="0" xfId="16" quotePrefix="1" applyFont="1" applyAlignment="1">
      <alignment horizontal="right"/>
    </xf>
    <xf numFmtId="0" fontId="49" fillId="0" borderId="0" xfId="16" quotePrefix="1" applyFont="1" applyAlignment="1">
      <alignment horizontal="center"/>
    </xf>
    <xf numFmtId="0" fontId="48" fillId="0" borderId="4" xfId="16" applyFont="1" applyBorder="1" applyAlignment="1">
      <alignment horizontal="left" vertical="center" wrapText="1"/>
    </xf>
    <xf numFmtId="0" fontId="48" fillId="0" borderId="0" xfId="16" applyFont="1" applyAlignment="1">
      <alignment horizontal="left" vertical="center" wrapText="1"/>
    </xf>
    <xf numFmtId="0" fontId="36" fillId="0" borderId="0" xfId="16" applyFont="1" applyAlignment="1">
      <alignment horizontal="right"/>
    </xf>
    <xf numFmtId="0" fontId="36" fillId="0" borderId="0" xfId="16" applyFont="1" applyAlignment="1">
      <alignment horizontal="center"/>
    </xf>
    <xf numFmtId="0" fontId="36" fillId="0" borderId="3" xfId="16" applyFont="1" applyBorder="1" applyAlignment="1">
      <alignment horizontal="center"/>
    </xf>
    <xf numFmtId="177" fontId="36" fillId="0" borderId="0" xfId="16" applyNumberFormat="1" applyFont="1"/>
    <xf numFmtId="177" fontId="36" fillId="0" borderId="10" xfId="16" applyNumberFormat="1" applyFont="1" applyBorder="1"/>
    <xf numFmtId="0" fontId="36" fillId="0" borderId="0" xfId="16" quotePrefix="1" applyFont="1" applyAlignment="1">
      <alignment horizontal="left" wrapText="1"/>
    </xf>
    <xf numFmtId="0" fontId="5" fillId="0" borderId="5" xfId="2" applyFont="1" applyBorder="1" applyAlignment="1">
      <alignment horizontal="left" indent="3"/>
    </xf>
    <xf numFmtId="0" fontId="36" fillId="0" borderId="4" xfId="16" applyFont="1" applyBorder="1" applyAlignment="1">
      <alignment horizontal="left" indent="2"/>
    </xf>
    <xf numFmtId="7" fontId="36" fillId="0" borderId="4" xfId="16" applyNumberFormat="1" applyFont="1" applyBorder="1" applyAlignment="1">
      <alignment horizontal="right"/>
    </xf>
    <xf numFmtId="2" fontId="58" fillId="0" borderId="0" xfId="16" applyNumberFormat="1" applyFont="1" applyAlignment="1">
      <alignment horizontal="left" indent="3"/>
    </xf>
    <xf numFmtId="4" fontId="36" fillId="0" borderId="0" xfId="16" quotePrefix="1" applyNumberFormat="1" applyFont="1" applyAlignment="1">
      <alignment horizontal="center"/>
    </xf>
    <xf numFmtId="0" fontId="49" fillId="0" borderId="0" xfId="16" applyFont="1" applyAlignment="1">
      <alignment horizontal="right"/>
    </xf>
    <xf numFmtId="0" fontId="23" fillId="0" borderId="0" xfId="16" applyFont="1" applyAlignment="1">
      <alignment horizontal="left" vertical="center"/>
    </xf>
    <xf numFmtId="0" fontId="23" fillId="0" borderId="0" xfId="16" applyFont="1" applyAlignment="1">
      <alignment horizontal="left" vertical="center" wrapText="1"/>
    </xf>
    <xf numFmtId="7" fontId="36" fillId="0" borderId="0" xfId="16" applyNumberFormat="1" applyFont="1" applyAlignment="1">
      <alignment horizontal="right"/>
    </xf>
    <xf numFmtId="0" fontId="36" fillId="4" borderId="3" xfId="16" applyFont="1" applyFill="1" applyBorder="1" applyAlignment="1">
      <alignment horizontal="center"/>
    </xf>
    <xf numFmtId="3" fontId="36" fillId="0" borderId="0" xfId="16" quotePrefix="1" applyNumberFormat="1" applyFont="1" applyAlignment="1">
      <alignment horizontal="center"/>
    </xf>
    <xf numFmtId="0" fontId="27" fillId="0" borderId="0" xfId="16" applyFont="1" applyAlignment="1">
      <alignment horizontal="left" vertical="center" wrapText="1"/>
    </xf>
    <xf numFmtId="0" fontId="28" fillId="0" borderId="0" xfId="16" applyFont="1" applyAlignment="1">
      <alignment horizontal="left" vertical="center" wrapText="1"/>
    </xf>
    <xf numFmtId="0" fontId="28" fillId="0" borderId="0" xfId="16" applyFont="1" applyAlignment="1">
      <alignment horizontal="left" vertical="center"/>
    </xf>
    <xf numFmtId="0" fontId="5" fillId="5" borderId="3" xfId="0" applyFont="1" applyFill="1" applyBorder="1" applyAlignment="1">
      <alignment horizontal="left" wrapText="1"/>
    </xf>
    <xf numFmtId="2" fontId="11" fillId="5" borderId="3" xfId="0" applyNumberFormat="1" applyFont="1" applyFill="1" applyBorder="1" applyAlignment="1">
      <alignment horizontal="center" wrapText="1"/>
    </xf>
    <xf numFmtId="2" fontId="11" fillId="5" borderId="3" xfId="0" applyNumberFormat="1" applyFont="1" applyFill="1" applyBorder="1" applyAlignment="1">
      <alignment horizontal="center"/>
    </xf>
    <xf numFmtId="0" fontId="5" fillId="0" borderId="3" xfId="2" applyFont="1" applyBorder="1" applyAlignment="1">
      <alignment horizontal="left" wrapText="1"/>
    </xf>
    <xf numFmtId="2" fontId="11" fillId="0" borderId="3" xfId="2" applyNumberFormat="1" applyFont="1" applyBorder="1" applyAlignment="1">
      <alignment horizontal="center" wrapText="1"/>
    </xf>
    <xf numFmtId="2" fontId="11" fillId="0" borderId="3" xfId="2" applyNumberFormat="1" applyFont="1" applyBorder="1" applyAlignment="1">
      <alignment horizontal="center"/>
    </xf>
    <xf numFmtId="0" fontId="5" fillId="5" borderId="5" xfId="0" applyFont="1" applyFill="1" applyBorder="1" applyAlignment="1">
      <alignment horizontal="left" indent="3"/>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5" borderId="5" xfId="0" applyFont="1" applyFill="1" applyBorder="1" applyAlignment="1">
      <alignment horizontal="left" wrapText="1" indent="3"/>
    </xf>
    <xf numFmtId="0" fontId="5" fillId="0" borderId="5" xfId="2" applyFont="1" applyBorder="1" applyAlignment="1">
      <alignment horizontal="left" wrapText="1" indent="3"/>
    </xf>
    <xf numFmtId="0" fontId="5" fillId="5" borderId="3" xfId="0" applyFont="1" applyFill="1" applyBorder="1" applyAlignment="1">
      <alignment horizontal="left" indent="3"/>
    </xf>
    <xf numFmtId="0" fontId="5" fillId="0" borderId="3" xfId="2" applyFont="1" applyBorder="1" applyAlignment="1">
      <alignment horizontal="left" indent="3"/>
    </xf>
    <xf numFmtId="2" fontId="11" fillId="5" borderId="5" xfId="2" applyNumberFormat="1" applyFont="1" applyFill="1" applyBorder="1" applyAlignment="1">
      <alignment horizontal="center"/>
    </xf>
    <xf numFmtId="0" fontId="5" fillId="0" borderId="0" xfId="2" applyFont="1" applyAlignment="1">
      <alignment horizontal="center"/>
    </xf>
    <xf numFmtId="166" fontId="5" fillId="0" borderId="0" xfId="2" applyNumberFormat="1" applyFont="1" applyAlignment="1">
      <alignment horizontal="center"/>
    </xf>
    <xf numFmtId="0" fontId="11" fillId="0" borderId="3" xfId="2" applyFont="1" applyBorder="1" applyAlignment="1">
      <alignment horizontal="center"/>
    </xf>
    <xf numFmtId="0" fontId="28" fillId="0" borderId="0" xfId="2" applyFont="1" applyAlignment="1">
      <alignment horizontal="left"/>
    </xf>
    <xf numFmtId="0" fontId="11" fillId="0" borderId="0" xfId="2" applyFont="1" applyAlignment="1">
      <alignment horizontal="center"/>
    </xf>
    <xf numFmtId="0" fontId="4" fillId="5" borderId="2" xfId="0" applyFont="1" applyFill="1" applyBorder="1" applyAlignment="1">
      <alignment horizontal="left"/>
    </xf>
    <xf numFmtId="0" fontId="4" fillId="5" borderId="0" xfId="0" applyFont="1" applyFill="1" applyAlignment="1">
      <alignment horizontal="left"/>
    </xf>
    <xf numFmtId="0" fontId="7" fillId="5" borderId="0" xfId="0" applyFont="1" applyFill="1" applyAlignment="1">
      <alignment horizontal="left"/>
    </xf>
    <xf numFmtId="0" fontId="5" fillId="5" borderId="0" xfId="0" applyFont="1" applyFill="1" applyAlignment="1">
      <alignment horizontal="center"/>
    </xf>
    <xf numFmtId="4" fontId="5" fillId="5" borderId="0" xfId="0" applyNumberFormat="1" applyFont="1" applyFill="1" applyAlignment="1">
      <alignment horizontal="left" indent="2"/>
    </xf>
    <xf numFmtId="4" fontId="4" fillId="5" borderId="0" xfId="0" applyNumberFormat="1" applyFont="1" applyFill="1" applyAlignment="1">
      <alignment horizontal="left"/>
    </xf>
    <xf numFmtId="4" fontId="5" fillId="5" borderId="0" xfId="0" applyNumberFormat="1" applyFont="1" applyFill="1" applyAlignment="1">
      <alignment horizontal="left"/>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4" fontId="5" fillId="5" borderId="0" xfId="0" applyNumberFormat="1" applyFont="1" applyFill="1" applyAlignment="1">
      <alignment horizontal="center" wrapText="1"/>
    </xf>
    <xf numFmtId="0" fontId="3" fillId="5" borderId="3" xfId="0" applyFont="1" applyFill="1" applyBorder="1" applyAlignment="1">
      <alignment horizontal="center" wrapText="1"/>
    </xf>
    <xf numFmtId="164" fontId="5" fillId="5" borderId="3" xfId="0" applyNumberFormat="1" applyFont="1" applyFill="1" applyBorder="1" applyAlignment="1">
      <alignment horizontal="center" wrapText="1"/>
    </xf>
    <xf numFmtId="0" fontId="5" fillId="5" borderId="3" xfId="0" quotePrefix="1" applyFont="1" applyFill="1" applyBorder="1" applyAlignment="1">
      <alignment horizontal="center"/>
    </xf>
    <xf numFmtId="0" fontId="3" fillId="5" borderId="3" xfId="0" quotePrefix="1" applyFont="1" applyFill="1" applyBorder="1" applyAlignment="1">
      <alignment horizontal="center"/>
    </xf>
    <xf numFmtId="164" fontId="5" fillId="5" borderId="3" xfId="0" quotePrefix="1" applyNumberFormat="1" applyFont="1" applyFill="1" applyBorder="1" applyAlignment="1">
      <alignment horizontal="center"/>
    </xf>
    <xf numFmtId="0" fontId="5" fillId="5" borderId="4" xfId="0" applyFont="1" applyFill="1" applyBorder="1" applyAlignment="1">
      <alignment horizontal="left" indent="3"/>
    </xf>
    <xf numFmtId="2" fontId="30" fillId="5" borderId="5" xfId="0" applyNumberFormat="1" applyFont="1" applyFill="1" applyBorder="1" applyAlignment="1">
      <alignment horizontal="center"/>
    </xf>
    <xf numFmtId="164" fontId="5" fillId="5" borderId="4" xfId="0" applyNumberFormat="1" applyFont="1" applyFill="1" applyBorder="1" applyAlignment="1">
      <alignment horizontal="center"/>
    </xf>
    <xf numFmtId="0" fontId="27" fillId="0" borderId="0" xfId="2" applyFont="1" applyAlignment="1">
      <alignment horizontal="left" wrapText="1"/>
    </xf>
    <xf numFmtId="0" fontId="23" fillId="0" borderId="0" xfId="2" applyFont="1" applyAlignment="1">
      <alignment horizontal="left" wrapText="1"/>
    </xf>
    <xf numFmtId="0" fontId="28" fillId="0" borderId="0" xfId="2" applyFont="1" applyAlignment="1">
      <alignment horizontal="left" wrapText="1"/>
    </xf>
    <xf numFmtId="164" fontId="5" fillId="5" borderId="0" xfId="0" applyNumberFormat="1" applyFont="1" applyFill="1" applyAlignment="1">
      <alignment horizontal="center"/>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0" fontId="5" fillId="5" borderId="0" xfId="0" applyFont="1" applyFill="1" applyAlignment="1">
      <alignment horizontal="left" wrapText="1"/>
    </xf>
    <xf numFmtId="0" fontId="5" fillId="5" borderId="3" xfId="0" applyFont="1" applyFill="1" applyBorder="1" applyAlignment="1">
      <alignment horizontal="left"/>
    </xf>
    <xf numFmtId="2" fontId="3" fillId="5" borderId="3" xfId="0" applyNumberFormat="1" applyFont="1" applyFill="1" applyBorder="1" applyAlignment="1">
      <alignment horizontal="center"/>
    </xf>
    <xf numFmtId="0" fontId="9" fillId="5" borderId="0" xfId="0" applyFont="1" applyFill="1" applyAlignment="1">
      <alignment horizontal="left" vertical="center" wrapText="1" indent="6"/>
    </xf>
    <xf numFmtId="4" fontId="11" fillId="5" borderId="3" xfId="0" applyNumberFormat="1" applyFont="1" applyFill="1" applyBorder="1" applyAlignment="1">
      <alignment horizontal="center" vertical="center" wrapText="1"/>
    </xf>
    <xf numFmtId="4" fontId="11" fillId="5" borderId="5" xfId="0" applyNumberFormat="1" applyFont="1" applyFill="1" applyBorder="1" applyAlignment="1">
      <alignment horizontal="center" vertical="center" wrapText="1"/>
    </xf>
    <xf numFmtId="164" fontId="5" fillId="5" borderId="3" xfId="0" applyNumberFormat="1" applyFont="1" applyFill="1" applyBorder="1" applyAlignment="1">
      <alignment horizontal="center"/>
    </xf>
    <xf numFmtId="0" fontId="5" fillId="5" borderId="4" xfId="0" applyFont="1" applyFill="1" applyBorder="1" applyAlignment="1">
      <alignment horizontal="right"/>
    </xf>
    <xf numFmtId="2" fontId="13" fillId="5" borderId="3" xfId="0" applyNumberFormat="1" applyFont="1" applyFill="1" applyBorder="1" applyAlignment="1">
      <alignment horizontal="center"/>
    </xf>
    <xf numFmtId="2" fontId="5" fillId="5" borderId="0" xfId="0" applyNumberFormat="1" applyFont="1" applyFill="1" applyAlignment="1">
      <alignment horizontal="center"/>
    </xf>
    <xf numFmtId="4" fontId="11" fillId="5" borderId="5" xfId="0" applyNumberFormat="1" applyFont="1" applyFill="1" applyBorder="1" applyAlignment="1">
      <alignment horizontal="center"/>
    </xf>
    <xf numFmtId="0" fontId="5" fillId="5" borderId="0" xfId="0" applyFont="1" applyFill="1" applyAlignment="1">
      <alignment horizontal="right"/>
    </xf>
    <xf numFmtId="0" fontId="5" fillId="0" borderId="0" xfId="2" applyFont="1" applyAlignment="1">
      <alignment horizontal="right"/>
    </xf>
    <xf numFmtId="4" fontId="11" fillId="5" borderId="6" xfId="0" applyNumberFormat="1" applyFont="1" applyFill="1" applyBorder="1" applyAlignment="1">
      <alignment horizontal="center" vertical="center" wrapText="1"/>
    </xf>
    <xf numFmtId="2" fontId="5" fillId="5" borderId="7" xfId="0" applyNumberFormat="1" applyFont="1" applyFill="1" applyBorder="1" applyAlignment="1">
      <alignment horizontal="center"/>
    </xf>
    <xf numFmtId="0" fontId="5" fillId="4" borderId="3" xfId="2" applyFont="1" applyFill="1" applyBorder="1" applyAlignment="1">
      <alignment horizontal="center"/>
    </xf>
    <xf numFmtId="3" fontId="5" fillId="0" borderId="0" xfId="2" quotePrefix="1" applyNumberFormat="1" applyFont="1" applyAlignment="1">
      <alignment horizontal="center"/>
    </xf>
    <xf numFmtId="0" fontId="5" fillId="5" borderId="0" xfId="0" applyFont="1" applyFill="1" applyAlignment="1">
      <alignment horizontal="left" indent="2"/>
    </xf>
    <xf numFmtId="164" fontId="5" fillId="5" borderId="0" xfId="0" applyNumberFormat="1" applyFont="1" applyFill="1" applyAlignment="1">
      <alignment horizontal="right" wrapText="1"/>
    </xf>
    <xf numFmtId="4" fontId="22" fillId="5" borderId="0" xfId="0" applyNumberFormat="1" applyFont="1" applyFill="1" applyAlignment="1">
      <alignment horizontal="left" indent="1"/>
    </xf>
    <xf numFmtId="169" fontId="13" fillId="5" borderId="0" xfId="0" applyNumberFormat="1" applyFont="1" applyFill="1" applyAlignment="1">
      <alignment horizontal="left" indent="2"/>
    </xf>
    <xf numFmtId="7" fontId="5" fillId="0" borderId="4" xfId="2" applyNumberFormat="1" applyFont="1" applyBorder="1" applyAlignment="1">
      <alignment horizontal="right"/>
    </xf>
    <xf numFmtId="7" fontId="5" fillId="0" borderId="0" xfId="2" applyNumberFormat="1" applyFont="1" applyAlignment="1">
      <alignment horizontal="right"/>
    </xf>
    <xf numFmtId="0" fontId="5" fillId="5" borderId="0" xfId="0" applyFont="1" applyFill="1" applyAlignment="1">
      <alignment horizontal="left" wrapText="1" indent="2"/>
    </xf>
    <xf numFmtId="166" fontId="5" fillId="5" borderId="0" xfId="0" applyNumberFormat="1" applyFont="1" applyFill="1" applyAlignment="1">
      <alignment horizontal="center"/>
    </xf>
    <xf numFmtId="170" fontId="5" fillId="5" borderId="2" xfId="6" applyFont="1" applyFill="1" applyBorder="1" applyAlignment="1">
      <alignment horizontal="right"/>
    </xf>
    <xf numFmtId="170" fontId="5" fillId="5" borderId="0" xfId="6" applyFont="1" applyFill="1" applyBorder="1" applyAlignment="1">
      <alignment horizontal="right"/>
    </xf>
    <xf numFmtId="2" fontId="25" fillId="5" borderId="0" xfId="0" applyNumberFormat="1" applyFont="1" applyFill="1" applyAlignment="1">
      <alignment horizontal="left" indent="6"/>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30" fillId="5" borderId="3" xfId="0" applyFont="1" applyFill="1" applyBorder="1" applyAlignment="1">
      <alignment horizontal="center"/>
    </xf>
    <xf numFmtId="0" fontId="22" fillId="5" borderId="0" xfId="0" applyFont="1" applyFill="1" applyAlignment="1">
      <alignment horizontal="right"/>
    </xf>
    <xf numFmtId="0" fontId="22" fillId="5" borderId="0" xfId="0" applyFont="1" applyFill="1" applyAlignment="1">
      <alignment horizontal="center"/>
    </xf>
    <xf numFmtId="4" fontId="22" fillId="5" borderId="0" xfId="0" applyNumberFormat="1" applyFont="1" applyFill="1" applyAlignment="1">
      <alignment horizontal="left"/>
    </xf>
    <xf numFmtId="0" fontId="11" fillId="5" borderId="5" xfId="0" applyFont="1" applyFill="1" applyBorder="1" applyAlignment="1">
      <alignment horizontal="center"/>
    </xf>
    <xf numFmtId="7" fontId="5" fillId="5" borderId="4" xfId="0" applyNumberFormat="1" applyFont="1" applyFill="1" applyBorder="1" applyAlignment="1">
      <alignment horizontal="right"/>
    </xf>
    <xf numFmtId="0" fontId="5" fillId="5" borderId="3" xfId="0" applyFont="1" applyFill="1" applyBorder="1" applyAlignment="1">
      <alignment horizontal="center"/>
    </xf>
    <xf numFmtId="0" fontId="11"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2" fontId="25" fillId="0" borderId="0" xfId="2" applyNumberFormat="1" applyFont="1" applyAlignment="1">
      <alignment horizontal="left" indent="6"/>
    </xf>
    <xf numFmtId="4" fontId="5" fillId="0" borderId="0" xfId="2" quotePrefix="1" applyNumberFormat="1" applyFont="1" applyAlignment="1">
      <alignment horizontal="center"/>
    </xf>
    <xf numFmtId="0" fontId="11" fillId="0" borderId="3" xfId="2" applyFont="1" applyFill="1" applyBorder="1" applyAlignment="1">
      <alignment horizontal="center"/>
    </xf>
    <xf numFmtId="0" fontId="11" fillId="0" borderId="3" xfId="1" applyNumberFormat="1" applyFont="1" applyFill="1" applyBorder="1" applyAlignment="1">
      <alignment horizontal="center"/>
    </xf>
    <xf numFmtId="3" fontId="5" fillId="5" borderId="0" xfId="0" quotePrefix="1" applyNumberFormat="1" applyFont="1" applyFill="1" applyAlignment="1">
      <alignment horizontal="center"/>
    </xf>
    <xf numFmtId="169" fontId="13" fillId="0" borderId="0" xfId="2" applyNumberFormat="1" applyFont="1" applyAlignment="1">
      <alignment horizontal="left" indent="2"/>
    </xf>
    <xf numFmtId="0" fontId="5" fillId="0" borderId="4" xfId="2" applyFont="1" applyBorder="1" applyAlignment="1">
      <alignment horizontal="left"/>
    </xf>
    <xf numFmtId="0" fontId="5" fillId="0" borderId="0" xfId="2" applyFont="1" applyAlignment="1">
      <alignment horizontal="left" wrapText="1"/>
    </xf>
    <xf numFmtId="0" fontId="5" fillId="0" borderId="0" xfId="2" applyFont="1" applyAlignment="1">
      <alignment horizontal="left" wrapText="1" indent="2"/>
    </xf>
    <xf numFmtId="0" fontId="5" fillId="0" borderId="3" xfId="2" applyFont="1" applyBorder="1" applyAlignment="1">
      <alignment horizontal="center"/>
    </xf>
    <xf numFmtId="0" fontId="5" fillId="0" borderId="3" xfId="2" applyFont="1" applyBorder="1" applyAlignment="1">
      <alignment horizontal="center" wrapText="1"/>
    </xf>
    <xf numFmtId="7" fontId="5" fillId="5" borderId="0" xfId="0" applyNumberFormat="1" applyFont="1" applyFill="1" applyAlignment="1">
      <alignment horizontal="right"/>
    </xf>
    <xf numFmtId="0" fontId="23" fillId="5" borderId="0" xfId="0" applyFont="1" applyFill="1" applyAlignment="1">
      <alignment horizontal="left" wrapText="1"/>
    </xf>
    <xf numFmtId="0" fontId="23" fillId="5" borderId="0" xfId="0" applyFont="1" applyFill="1" applyAlignment="1">
      <alignment horizontal="left"/>
    </xf>
    <xf numFmtId="4" fontId="11" fillId="0" borderId="0" xfId="2" applyNumberFormat="1" applyFont="1" applyFill="1" applyBorder="1" applyAlignment="1">
      <alignment horizontal="center" vertical="center" wrapText="1"/>
    </xf>
    <xf numFmtId="4" fontId="11" fillId="0" borderId="3" xfId="2" applyNumberFormat="1" applyFont="1" applyFill="1" applyBorder="1" applyAlignment="1">
      <alignment horizontal="center" vertical="center" wrapText="1"/>
    </xf>
    <xf numFmtId="2" fontId="5" fillId="0" borderId="7" xfId="2" applyNumberFormat="1" applyFont="1" applyBorder="1" applyAlignment="1">
      <alignment horizontal="center"/>
    </xf>
    <xf numFmtId="0" fontId="5" fillId="0" borderId="3" xfId="2" applyFont="1" applyBorder="1" applyAlignment="1">
      <alignment horizontal="left"/>
    </xf>
    <xf numFmtId="2" fontId="3" fillId="0" borderId="3" xfId="2" applyNumberFormat="1" applyFont="1" applyBorder="1" applyAlignment="1">
      <alignment horizontal="center"/>
    </xf>
    <xf numFmtId="0" fontId="9" fillId="0" borderId="4" xfId="2" applyFont="1" applyBorder="1" applyAlignment="1">
      <alignment horizontal="left" vertical="center" wrapText="1" indent="3"/>
    </xf>
    <xf numFmtId="0" fontId="9" fillId="0" borderId="0" xfId="2" applyFont="1" applyAlignment="1">
      <alignment horizontal="left" vertical="center" wrapText="1" indent="3"/>
    </xf>
    <xf numFmtId="2" fontId="5" fillId="0" borderId="0" xfId="2" applyNumberFormat="1" applyFont="1" applyAlignment="1">
      <alignment horizontal="center"/>
    </xf>
    <xf numFmtId="2" fontId="5" fillId="0" borderId="4" xfId="2" applyNumberFormat="1" applyFont="1" applyBorder="1" applyAlignment="1">
      <alignment horizontal="center"/>
    </xf>
    <xf numFmtId="2" fontId="5" fillId="0" borderId="3" xfId="2" applyNumberFormat="1" applyFont="1" applyFill="1" applyBorder="1" applyAlignment="1">
      <alignment horizontal="center"/>
    </xf>
    <xf numFmtId="164" fontId="5" fillId="5" borderId="3" xfId="2" applyNumberFormat="1" applyFont="1" applyFill="1" applyBorder="1" applyAlignment="1">
      <alignment horizontal="center"/>
    </xf>
    <xf numFmtId="0" fontId="5" fillId="0" borderId="4" xfId="2" applyFont="1" applyBorder="1" applyAlignment="1">
      <alignment horizontal="right"/>
    </xf>
    <xf numFmtId="2" fontId="13" fillId="0" borderId="3" xfId="2" applyNumberFormat="1" applyFont="1" applyBorder="1" applyAlignment="1">
      <alignment horizontal="center"/>
    </xf>
    <xf numFmtId="2" fontId="5" fillId="0" borderId="0" xfId="2" applyNumberFormat="1" applyFont="1" applyFill="1" applyBorder="1" applyAlignment="1">
      <alignment horizontal="center"/>
    </xf>
    <xf numFmtId="164" fontId="5" fillId="5" borderId="0" xfId="2" applyNumberFormat="1" applyFont="1" applyFill="1" applyAlignment="1">
      <alignment horizontal="center"/>
    </xf>
    <xf numFmtId="164" fontId="5" fillId="0" borderId="0" xfId="2" applyNumberFormat="1" applyFont="1" applyAlignment="1">
      <alignment horizontal="center"/>
    </xf>
    <xf numFmtId="164" fontId="73" fillId="0" borderId="0" xfId="2" applyNumberFormat="1" applyFont="1" applyAlignment="1">
      <alignment horizontal="center" wrapText="1"/>
    </xf>
    <xf numFmtId="0" fontId="4" fillId="0" borderId="2" xfId="2" applyFont="1" applyBorder="1" applyAlignment="1">
      <alignment horizontal="left"/>
    </xf>
    <xf numFmtId="0" fontId="4" fillId="0" borderId="0" xfId="2" applyFont="1" applyBorder="1" applyAlignment="1">
      <alignment horizontal="left"/>
    </xf>
    <xf numFmtId="0" fontId="4" fillId="0" borderId="0" xfId="2" applyFont="1" applyAlignment="1">
      <alignment horizontal="left"/>
    </xf>
    <xf numFmtId="4" fontId="5" fillId="0" borderId="0" xfId="2" applyNumberFormat="1" applyFont="1" applyAlignment="1">
      <alignment horizontal="left" indent="2"/>
    </xf>
    <xf numFmtId="4" fontId="5" fillId="0" borderId="0" xfId="2" applyNumberFormat="1" applyFont="1" applyAlignment="1">
      <alignment horizontal="left"/>
    </xf>
    <xf numFmtId="0" fontId="5" fillId="0" borderId="3" xfId="2" quotePrefix="1" applyFont="1" applyBorder="1" applyAlignment="1">
      <alignment horizontal="center"/>
    </xf>
    <xf numFmtId="0" fontId="3" fillId="0" borderId="0" xfId="2" quotePrefix="1" applyFont="1" applyBorder="1" applyAlignment="1">
      <alignment horizontal="center"/>
    </xf>
    <xf numFmtId="164" fontId="5" fillId="0" borderId="3" xfId="2" quotePrefix="1" applyNumberFormat="1" applyFont="1" applyBorder="1" applyAlignment="1">
      <alignment horizontal="center"/>
    </xf>
    <xf numFmtId="0" fontId="5" fillId="0" borderId="4" xfId="2" applyFont="1" applyBorder="1" applyAlignment="1">
      <alignment horizontal="left" indent="3"/>
    </xf>
    <xf numFmtId="2" fontId="5" fillId="0" borderId="4" xfId="2" applyNumberFormat="1" applyFont="1" applyFill="1" applyBorder="1" applyAlignment="1">
      <alignment horizontal="center"/>
    </xf>
    <xf numFmtId="164" fontId="5" fillId="5" borderId="4" xfId="2" applyNumberFormat="1" applyFont="1" applyFill="1" applyBorder="1" applyAlignment="1">
      <alignment horizontal="center"/>
    </xf>
    <xf numFmtId="0" fontId="9" fillId="0" borderId="0" xfId="2" applyFont="1" applyAlignment="1">
      <alignment horizontal="center"/>
    </xf>
    <xf numFmtId="7" fontId="9" fillId="5" borderId="0" xfId="2" applyNumberFormat="1" applyFont="1" applyFill="1" applyAlignment="1">
      <alignment horizontal="center"/>
    </xf>
    <xf numFmtId="0" fontId="9" fillId="0" borderId="0" xfId="2" applyFont="1" applyAlignment="1">
      <alignment horizontal="left"/>
    </xf>
    <xf numFmtId="164" fontId="5" fillId="0" borderId="0" xfId="2" applyNumberFormat="1" applyFont="1" applyAlignment="1">
      <alignment horizontal="center" wrapText="1"/>
    </xf>
    <xf numFmtId="0" fontId="3" fillId="0" borderId="3" xfId="2" applyFont="1" applyBorder="1" applyAlignment="1">
      <alignment horizontal="center" wrapText="1"/>
    </xf>
    <xf numFmtId="164" fontId="5" fillId="0" borderId="3" xfId="2" applyNumberFormat="1" applyFont="1" applyBorder="1" applyAlignment="1">
      <alignment horizontal="center" wrapText="1"/>
    </xf>
    <xf numFmtId="43" fontId="11" fillId="0" borderId="3" xfId="2" applyNumberFormat="1" applyFont="1" applyFill="1" applyBorder="1" applyAlignment="1">
      <alignment horizontal="center"/>
    </xf>
    <xf numFmtId="4" fontId="22" fillId="0" borderId="0" xfId="2" applyNumberFormat="1" applyFont="1" applyAlignment="1">
      <alignment horizontal="left"/>
    </xf>
    <xf numFmtId="164" fontId="5" fillId="0" borderId="0" xfId="2" applyNumberFormat="1" applyFont="1" applyAlignment="1">
      <alignment horizontal="right" wrapText="1"/>
    </xf>
    <xf numFmtId="43" fontId="13" fillId="0" borderId="3" xfId="1" applyFont="1" applyBorder="1" applyAlignment="1">
      <alignment horizontal="center"/>
    </xf>
    <xf numFmtId="1" fontId="11" fillId="0" borderId="3" xfId="2" applyNumberFormat="1" applyFont="1" applyFill="1" applyBorder="1" applyAlignment="1">
      <alignment horizontal="center"/>
    </xf>
    <xf numFmtId="164" fontId="74" fillId="5" borderId="0" xfId="0" applyNumberFormat="1" applyFont="1" applyFill="1" applyAlignment="1">
      <alignment horizontal="right"/>
    </xf>
    <xf numFmtId="4" fontId="32" fillId="0" borderId="0" xfId="2" applyNumberFormat="1" applyFont="1" applyAlignment="1">
      <alignment horizontal="left" indent="1"/>
    </xf>
    <xf numFmtId="2" fontId="11" fillId="0" borderId="3" xfId="2" applyNumberFormat="1" applyFont="1" applyFill="1" applyBorder="1" applyAlignment="1">
      <alignment horizontal="center"/>
    </xf>
    <xf numFmtId="2" fontId="11" fillId="0" borderId="3" xfId="1" applyNumberFormat="1" applyFont="1" applyFill="1" applyBorder="1" applyAlignment="1">
      <alignment horizontal="center"/>
    </xf>
    <xf numFmtId="43" fontId="11" fillId="0" borderId="3" xfId="1" applyFont="1" applyFill="1" applyBorder="1" applyAlignment="1">
      <alignment horizontal="center"/>
    </xf>
    <xf numFmtId="165" fontId="5" fillId="0" borderId="0" xfId="2" applyNumberFormat="1" applyFont="1" applyAlignment="1">
      <alignment horizontal="center"/>
    </xf>
    <xf numFmtId="165" fontId="5" fillId="0" borderId="0" xfId="2" applyNumberFormat="1" applyFont="1" applyAlignment="1">
      <alignment horizontal="left"/>
    </xf>
    <xf numFmtId="165" fontId="5" fillId="0" borderId="0" xfId="2" applyNumberFormat="1" applyFont="1" applyAlignment="1">
      <alignment horizontal="right"/>
    </xf>
    <xf numFmtId="165" fontId="5" fillId="0" borderId="0" xfId="2" applyNumberFormat="1" applyFont="1" applyAlignment="1">
      <alignment horizontal="left" indent="2"/>
    </xf>
    <xf numFmtId="166" fontId="5" fillId="5" borderId="0" xfId="0" applyNumberFormat="1" applyFont="1" applyFill="1" applyAlignment="1">
      <alignment horizontal="left" indent="2"/>
    </xf>
    <xf numFmtId="43" fontId="45" fillId="0" borderId="0" xfId="16" applyNumberFormat="1" applyFont="1"/>
  </cellXfs>
  <cellStyles count="23">
    <cellStyle name="Comma" xfId="1" builtinId="3"/>
    <cellStyle name="Comma 2" xfId="7" xr:uid="{A77AAC65-6ABC-4BD7-B4E4-E8C6EA87404E}"/>
    <cellStyle name="Comma 2 2" xfId="20" xr:uid="{E2538F31-FAEE-410C-AF2B-5F50FABAC09B}"/>
    <cellStyle name="Comma 3" xfId="15" xr:uid="{E12AE131-F748-46E9-B13D-002899C3BEBA}"/>
    <cellStyle name="Comma 3 8" xfId="8" xr:uid="{DD14EDE5-9F57-4335-8F7B-31D969EC9681}"/>
    <cellStyle name="Comma 4" xfId="17" xr:uid="{C67BBFE0-F8BA-4FA9-B2E2-B5F9B888CB9F}"/>
    <cellStyle name="Comma_charter school revenue frame" xfId="6" xr:uid="{54A18062-2B6E-435D-9591-679221AA979E}"/>
    <cellStyle name="Comma_charter school revenue frame 2" xfId="22" xr:uid="{881D83CA-369D-4FF1-8828-1DD9606B6256}"/>
    <cellStyle name="Currency 2" xfId="4" xr:uid="{049B6946-81A6-4654-9DB7-D984AC16F1BF}"/>
    <cellStyle name="Currency 2 8" xfId="9" xr:uid="{EBE2B08F-1A54-4FF2-9D8F-8BC80D7B785F}"/>
    <cellStyle name="Currency_charter school revenue frame" xfId="3" xr:uid="{3B48E0E5-2BEF-49BA-8437-CEC3897C6086}"/>
    <cellStyle name="Currency_charter school revenue frame 2" xfId="21" xr:uid="{2307F5FA-701B-4A97-B3FB-462A24E87172}"/>
    <cellStyle name="Normal" xfId="0" builtinId="0"/>
    <cellStyle name="Normal 2" xfId="2" xr:uid="{AF2D144A-E667-4245-AF28-F226C3B3204D}"/>
    <cellStyle name="Normal 2 2" xfId="11" xr:uid="{CE1E0F82-DC65-4709-9150-11DA8DAD6052}"/>
    <cellStyle name="Normal 2 2 2" xfId="18" xr:uid="{86E235BA-E09F-40BE-8B3D-693563FEDECB}"/>
    <cellStyle name="Normal 2 3" xfId="10" xr:uid="{B0EC3044-EB83-4D47-95A1-A611DC2B1103}"/>
    <cellStyle name="Normal 3" xfId="14" xr:uid="{8C037667-6869-4A85-886F-D0E1318975F9}"/>
    <cellStyle name="Normal 3 8" xfId="12" xr:uid="{1B25DA00-62E1-4173-AE38-4ADD75ADC081}"/>
    <cellStyle name="Normal 4" xfId="16" xr:uid="{FCA7D7F8-2C47-4643-A907-38A516636C11}"/>
    <cellStyle name="Percent 2" xfId="5" xr:uid="{5229ADFB-D40A-4B60-9737-6A11FF83C6E0}"/>
    <cellStyle name="Percent 3" xfId="19" xr:uid="{6227FAB4-7B4E-431E-8FC9-D4621A766CA4}"/>
    <cellStyle name="Percent 3 8" xfId="13" xr:uid="{9DF5C671-750A-41AF-AD37-8977655559A3}"/>
  </cellStyles>
  <dxfs count="18">
    <dxf>
      <fill>
        <patternFill>
          <bgColor theme="0" tint="-0.14996795556505021"/>
        </patternFill>
      </fill>
    </dxf>
    <dxf>
      <fill>
        <patternFill>
          <bgColor theme="0" tint="-0.14996795556505021"/>
        </patternFill>
      </fill>
    </dxf>
    <dxf>
      <fill>
        <patternFill>
          <bgColor rgb="FFFFFF66"/>
        </patternFill>
      </fill>
    </dxf>
    <dxf>
      <fill>
        <patternFill>
          <bgColor theme="0" tint="-0.14996795556505021"/>
        </patternFill>
      </fill>
    </dxf>
    <dxf>
      <fill>
        <patternFill>
          <bgColor rgb="FFFFFF66"/>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Charter%20Schools\!!FEFP\FY%2026%20-%20FEFP%20Funding\!Payments%202025-26\2025-09\2526CSREWC2nd%20-%202nd%20calc%20-%20July%202025%20-%20First%20used%20in%20aug%2010%20paymen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Charter%20Schools\!!FEFP\FY%2026%20-%20FEFP%20Funding\!Payments%202025-26\2025-09\01%20-%202025-08%20-%20FEFP%20CS%20Pmt%20Calc%20-%20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charter school calculator"/>
      <sheetName val="Detail 2025-26 FEFP Second"/>
      <sheetName val="111-112-113 ADDITIONAL FUND"/>
      <sheetName val="Transportation Per Student"/>
      <sheetName val="75% or more ESE Calc"/>
    </sheetNames>
    <sheetDataSet>
      <sheetData sheetId="0" refreshError="1"/>
      <sheetData sheetId="1" refreshError="1">
        <row r="1">
          <cell r="A1" t="str">
            <v>Charter School Worksheet DATA</v>
          </cell>
        </row>
        <row r="2">
          <cell r="C2" t="str">
            <v>Comparable Wage Factor</v>
          </cell>
          <cell r="D2" t="str">
            <v>Small District Factor</v>
          </cell>
          <cell r="E2" t="str">
            <v>Unweighted FTE</v>
          </cell>
          <cell r="F2" t="str">
            <v>Weighted FTE Funded</v>
          </cell>
          <cell r="G2" t="str">
            <v>Non Virtual UFTE</v>
          </cell>
          <cell r="H2" t="str">
            <v>Non Scholarship UFTE</v>
          </cell>
          <cell r="I2" t="str">
            <v>Non Virtual and Scholarship UFTE</v>
          </cell>
          <cell r="L2" t="str">
            <v>Discretionary Tax Compression 0.748 mills</v>
          </cell>
          <cell r="M2" t="str">
            <v>Safe Schools Allocation</v>
          </cell>
          <cell r="N2" t="str">
            <v>Educational Enrichment Allocation Base</v>
          </cell>
          <cell r="O2" t="str">
            <v>Academic
Acceleration
Options
Supplement</v>
          </cell>
          <cell r="Q2" t="str">
            <v>Total Disc.</v>
          </cell>
          <cell r="R2" t="str">
            <v>Total Proration to Funds Available</v>
          </cell>
          <cell r="T2" t="str">
            <v>Mental Health Assistance Allocation</v>
          </cell>
          <cell r="V2" t="str">
            <v>Exempt Property Allocation Per Military and Indian Land Student</v>
          </cell>
          <cell r="AM2" t="str">
            <v>Qualifying Students With Disabilities BSA</v>
          </cell>
        </row>
        <row r="3">
          <cell r="A3">
            <v>1</v>
          </cell>
          <cell r="C3">
            <v>1</v>
          </cell>
          <cell r="D3">
            <v>1</v>
          </cell>
          <cell r="E3">
            <v>31987.56</v>
          </cell>
          <cell r="F3">
            <v>33359.06</v>
          </cell>
          <cell r="G3">
            <v>31841.690000000002</v>
          </cell>
          <cell r="H3">
            <v>26624.81</v>
          </cell>
          <cell r="I3">
            <v>26478.940000000002</v>
          </cell>
          <cell r="L3">
            <v>7004956</v>
          </cell>
          <cell r="M3">
            <v>3698967</v>
          </cell>
          <cell r="N3">
            <v>8812506</v>
          </cell>
          <cell r="O3">
            <v>8461768</v>
          </cell>
          <cell r="Q3">
            <v>20634936</v>
          </cell>
          <cell r="T3">
            <v>1737180</v>
          </cell>
          <cell r="V3">
            <v>0</v>
          </cell>
          <cell r="AB3">
            <v>958.42</v>
          </cell>
          <cell r="AC3">
            <v>915.09</v>
          </cell>
          <cell r="AD3">
            <v>917.3</v>
          </cell>
          <cell r="AL3">
            <v>161</v>
          </cell>
          <cell r="AM3">
            <v>564</v>
          </cell>
        </row>
        <row r="4">
          <cell r="A4">
            <v>2</v>
          </cell>
          <cell r="C4">
            <v>1</v>
          </cell>
          <cell r="D4">
            <v>1.0373000000000001</v>
          </cell>
          <cell r="E4">
            <v>4688.2599999999993</v>
          </cell>
          <cell r="F4">
            <v>4933.880000000001</v>
          </cell>
          <cell r="G4">
            <v>4683.4499999999989</v>
          </cell>
          <cell r="H4">
            <v>4434.2599999999993</v>
          </cell>
          <cell r="I4">
            <v>4429.4499999999989</v>
          </cell>
          <cell r="L4">
            <v>2745867</v>
          </cell>
          <cell r="M4">
            <v>624227</v>
          </cell>
          <cell r="N4">
            <v>1804580</v>
          </cell>
          <cell r="O4">
            <v>675079</v>
          </cell>
          <cell r="Q4">
            <v>1305156</v>
          </cell>
          <cell r="T4">
            <v>372666</v>
          </cell>
          <cell r="V4">
            <v>0</v>
          </cell>
        </row>
        <row r="5">
          <cell r="A5">
            <v>3</v>
          </cell>
          <cell r="C5">
            <v>1</v>
          </cell>
          <cell r="D5">
            <v>1</v>
          </cell>
          <cell r="E5">
            <v>28697.590000000004</v>
          </cell>
          <cell r="F5">
            <v>32325.119999999995</v>
          </cell>
          <cell r="G5">
            <v>28523.900000000005</v>
          </cell>
          <cell r="H5">
            <v>27015.090000000004</v>
          </cell>
          <cell r="I5">
            <v>26841.400000000005</v>
          </cell>
          <cell r="L5">
            <v>0</v>
          </cell>
          <cell r="M5">
            <v>3093252</v>
          </cell>
          <cell r="N5">
            <v>7870885</v>
          </cell>
          <cell r="O5">
            <v>4053755</v>
          </cell>
          <cell r="Q5">
            <v>25075853</v>
          </cell>
          <cell r="T5">
            <v>1761179</v>
          </cell>
          <cell r="V5">
            <v>520.66</v>
          </cell>
        </row>
        <row r="6">
          <cell r="A6">
            <v>4</v>
          </cell>
          <cell r="C6">
            <v>1</v>
          </cell>
          <cell r="D6">
            <v>1.0373000000000001</v>
          </cell>
          <cell r="E6">
            <v>3078.81</v>
          </cell>
          <cell r="F6">
            <v>3244.14</v>
          </cell>
          <cell r="G6">
            <v>3035.02</v>
          </cell>
          <cell r="H6">
            <v>2538.81</v>
          </cell>
          <cell r="I6">
            <v>2495.02</v>
          </cell>
          <cell r="L6">
            <v>1387620</v>
          </cell>
          <cell r="M6">
            <v>488225</v>
          </cell>
          <cell r="N6">
            <v>1663707</v>
          </cell>
          <cell r="O6">
            <v>115709</v>
          </cell>
          <cell r="Q6">
            <v>1272720</v>
          </cell>
          <cell r="T6">
            <v>256113</v>
          </cell>
          <cell r="V6">
            <v>0</v>
          </cell>
        </row>
        <row r="7">
          <cell r="A7">
            <v>5</v>
          </cell>
          <cell r="C7">
            <v>1</v>
          </cell>
          <cell r="D7">
            <v>1</v>
          </cell>
          <cell r="E7">
            <v>81576.12</v>
          </cell>
          <cell r="F7">
            <v>86710.37</v>
          </cell>
          <cell r="G7">
            <v>80969.83</v>
          </cell>
          <cell r="H7">
            <v>69522.37</v>
          </cell>
          <cell r="I7">
            <v>68916.08</v>
          </cell>
          <cell r="L7">
            <v>13159860</v>
          </cell>
          <cell r="M7">
            <v>7351060</v>
          </cell>
          <cell r="N7">
            <v>21654571</v>
          </cell>
          <cell r="O7">
            <v>16005458</v>
          </cell>
          <cell r="Q7">
            <v>57328169</v>
          </cell>
          <cell r="T7">
            <v>4374985</v>
          </cell>
          <cell r="V7">
            <v>1249.48</v>
          </cell>
        </row>
        <row r="8">
          <cell r="A8">
            <v>6</v>
          </cell>
          <cell r="C8">
            <v>1.0248999999999999</v>
          </cell>
          <cell r="D8">
            <v>1</v>
          </cell>
          <cell r="E8">
            <v>284621.67</v>
          </cell>
          <cell r="F8">
            <v>303877.90000000002</v>
          </cell>
          <cell r="G8">
            <v>284256.58999999997</v>
          </cell>
          <cell r="H8">
            <v>235800.16999999998</v>
          </cell>
          <cell r="I8">
            <v>235435.08999999997</v>
          </cell>
          <cell r="L8">
            <v>0</v>
          </cell>
          <cell r="M8">
            <v>25049636</v>
          </cell>
          <cell r="N8">
            <v>61729161</v>
          </cell>
          <cell r="O8">
            <v>66842129</v>
          </cell>
          <cell r="Q8">
            <v>249288592</v>
          </cell>
          <cell r="T8">
            <v>14599537</v>
          </cell>
          <cell r="V8">
            <v>0</v>
          </cell>
        </row>
        <row r="9">
          <cell r="A9">
            <v>7</v>
          </cell>
          <cell r="C9">
            <v>1</v>
          </cell>
          <cell r="D9">
            <v>1.0373000000000001</v>
          </cell>
          <cell r="E9">
            <v>2016.0800000000002</v>
          </cell>
          <cell r="F9">
            <v>2171.39</v>
          </cell>
          <cell r="G9">
            <v>1955.0500000000002</v>
          </cell>
          <cell r="H9">
            <v>1961.5800000000002</v>
          </cell>
          <cell r="I9">
            <v>1900.5500000000002</v>
          </cell>
          <cell r="L9">
            <v>1184790</v>
          </cell>
          <cell r="M9">
            <v>407640</v>
          </cell>
          <cell r="N9">
            <v>1545076</v>
          </cell>
          <cell r="O9">
            <v>306311</v>
          </cell>
          <cell r="Q9">
            <v>557269</v>
          </cell>
          <cell r="T9">
            <v>220619</v>
          </cell>
          <cell r="V9">
            <v>0</v>
          </cell>
        </row>
        <row r="10">
          <cell r="A10">
            <v>8</v>
          </cell>
          <cell r="C10">
            <v>1</v>
          </cell>
          <cell r="D10">
            <v>1</v>
          </cell>
          <cell r="E10">
            <v>18233.100000000002</v>
          </cell>
          <cell r="F10">
            <v>19408.090000000004</v>
          </cell>
          <cell r="G10">
            <v>18046.980000000003</v>
          </cell>
          <cell r="H10">
            <v>16596.850000000002</v>
          </cell>
          <cell r="I10">
            <v>16410.730000000003</v>
          </cell>
          <cell r="L10">
            <v>0</v>
          </cell>
          <cell r="M10">
            <v>1721063</v>
          </cell>
          <cell r="N10">
            <v>3991992</v>
          </cell>
          <cell r="O10">
            <v>4028728</v>
          </cell>
          <cell r="Q10">
            <v>27629907</v>
          </cell>
          <cell r="T10">
            <v>1120553</v>
          </cell>
          <cell r="V10">
            <v>0</v>
          </cell>
        </row>
        <row r="11">
          <cell r="A11">
            <v>9</v>
          </cell>
          <cell r="C11">
            <v>1</v>
          </cell>
          <cell r="D11">
            <v>1</v>
          </cell>
          <cell r="E11">
            <v>16728.79</v>
          </cell>
          <cell r="F11">
            <v>17570.739999999994</v>
          </cell>
          <cell r="G11">
            <v>16638.96</v>
          </cell>
          <cell r="H11">
            <v>14865.54</v>
          </cell>
          <cell r="I11">
            <v>14775.71</v>
          </cell>
          <cell r="L11">
            <v>1411408</v>
          </cell>
          <cell r="M11">
            <v>1686990</v>
          </cell>
          <cell r="N11">
            <v>3597010</v>
          </cell>
          <cell r="O11">
            <v>1981338</v>
          </cell>
          <cell r="Q11">
            <v>13043685</v>
          </cell>
          <cell r="T11">
            <v>1014094</v>
          </cell>
          <cell r="V11">
            <v>0</v>
          </cell>
        </row>
        <row r="12">
          <cell r="A12">
            <v>10</v>
          </cell>
          <cell r="C12">
            <v>1</v>
          </cell>
          <cell r="D12">
            <v>1</v>
          </cell>
          <cell r="E12">
            <v>41363.46</v>
          </cell>
          <cell r="F12">
            <v>44070.479999999996</v>
          </cell>
          <cell r="G12">
            <v>40621.54</v>
          </cell>
          <cell r="H12">
            <v>38133.21</v>
          </cell>
          <cell r="I12">
            <v>37391.29</v>
          </cell>
          <cell r="L12">
            <v>20003369</v>
          </cell>
          <cell r="M12">
            <v>3388758</v>
          </cell>
          <cell r="N12">
            <v>10385709</v>
          </cell>
          <cell r="O12">
            <v>9002614</v>
          </cell>
          <cell r="Q12">
            <v>15737965</v>
          </cell>
          <cell r="T12">
            <v>2444841</v>
          </cell>
          <cell r="V12">
            <v>0</v>
          </cell>
        </row>
        <row r="13">
          <cell r="A13">
            <v>11</v>
          </cell>
          <cell r="C13">
            <v>1.0454000000000001</v>
          </cell>
          <cell r="D13">
            <v>1</v>
          </cell>
          <cell r="E13">
            <v>51895.39</v>
          </cell>
          <cell r="F13">
            <v>56105.840000000004</v>
          </cell>
          <cell r="G13">
            <v>51689.26</v>
          </cell>
          <cell r="H13">
            <v>47497.64</v>
          </cell>
          <cell r="I13">
            <v>47291.51</v>
          </cell>
          <cell r="L13">
            <v>0</v>
          </cell>
          <cell r="M13">
            <v>4312423</v>
          </cell>
          <cell r="N13">
            <v>11661614</v>
          </cell>
          <cell r="O13">
            <v>11216623</v>
          </cell>
          <cell r="Q13">
            <v>128983697</v>
          </cell>
          <cell r="T13">
            <v>3020667</v>
          </cell>
          <cell r="V13">
            <v>0</v>
          </cell>
        </row>
        <row r="14">
          <cell r="A14">
            <v>12</v>
          </cell>
          <cell r="C14">
            <v>1</v>
          </cell>
          <cell r="D14">
            <v>1.0373000000000001</v>
          </cell>
          <cell r="E14">
            <v>10316.380000000001</v>
          </cell>
          <cell r="F14">
            <v>10875.93</v>
          </cell>
          <cell r="G14">
            <v>10270.530000000001</v>
          </cell>
          <cell r="H14">
            <v>8857.880000000001</v>
          </cell>
          <cell r="I14">
            <v>8812.0300000000007</v>
          </cell>
          <cell r="L14">
            <v>5191512</v>
          </cell>
          <cell r="M14">
            <v>1195213</v>
          </cell>
          <cell r="N14">
            <v>3792085</v>
          </cell>
          <cell r="O14">
            <v>1052887</v>
          </cell>
          <cell r="Q14">
            <v>3722663</v>
          </cell>
          <cell r="T14">
            <v>644678</v>
          </cell>
          <cell r="V14">
            <v>0</v>
          </cell>
        </row>
        <row r="15">
          <cell r="A15">
            <v>13</v>
          </cell>
          <cell r="C15">
            <v>1.0286999999999999</v>
          </cell>
          <cell r="D15">
            <v>1</v>
          </cell>
          <cell r="E15">
            <v>396765.5</v>
          </cell>
          <cell r="F15">
            <v>423446.13000000006</v>
          </cell>
          <cell r="G15">
            <v>395547.22</v>
          </cell>
          <cell r="H15">
            <v>324592.25</v>
          </cell>
          <cell r="I15">
            <v>323373.96999999997</v>
          </cell>
          <cell r="L15">
            <v>0</v>
          </cell>
          <cell r="M15">
            <v>37232402</v>
          </cell>
          <cell r="N15">
            <v>128655689</v>
          </cell>
          <cell r="O15">
            <v>66898842</v>
          </cell>
          <cell r="Q15">
            <v>419070407</v>
          </cell>
          <cell r="T15">
            <v>20059432</v>
          </cell>
          <cell r="V15">
            <v>0</v>
          </cell>
        </row>
        <row r="16">
          <cell r="A16">
            <v>14</v>
          </cell>
          <cell r="C16">
            <v>1</v>
          </cell>
          <cell r="D16">
            <v>1.0373000000000001</v>
          </cell>
          <cell r="E16">
            <v>4616.2300000000005</v>
          </cell>
          <cell r="F16">
            <v>4831.3000000000011</v>
          </cell>
          <cell r="G16">
            <v>4616.2300000000005</v>
          </cell>
          <cell r="H16">
            <v>3976.7300000000005</v>
          </cell>
          <cell r="I16">
            <v>3976.7300000000005</v>
          </cell>
          <cell r="L16">
            <v>1768108</v>
          </cell>
          <cell r="M16">
            <v>657588</v>
          </cell>
          <cell r="N16">
            <v>2404687</v>
          </cell>
          <cell r="O16">
            <v>475053</v>
          </cell>
          <cell r="Q16">
            <v>2220705</v>
          </cell>
          <cell r="T16">
            <v>344532</v>
          </cell>
          <cell r="V16">
            <v>0</v>
          </cell>
        </row>
        <row r="17">
          <cell r="A17">
            <v>15</v>
          </cell>
          <cell r="C17">
            <v>1</v>
          </cell>
          <cell r="D17">
            <v>1.0373000000000001</v>
          </cell>
          <cell r="E17">
            <v>2064.2999999999997</v>
          </cell>
          <cell r="F17">
            <v>2167.13</v>
          </cell>
          <cell r="G17">
            <v>2050.41</v>
          </cell>
          <cell r="H17">
            <v>1819.0499999999997</v>
          </cell>
          <cell r="I17">
            <v>1805.1599999999999</v>
          </cell>
          <cell r="L17">
            <v>1127810</v>
          </cell>
          <cell r="M17">
            <v>421120</v>
          </cell>
          <cell r="N17">
            <v>862259</v>
          </cell>
          <cell r="O17">
            <v>221118</v>
          </cell>
          <cell r="Q17">
            <v>655920</v>
          </cell>
          <cell r="T17">
            <v>211855</v>
          </cell>
          <cell r="V17">
            <v>0</v>
          </cell>
        </row>
        <row r="18">
          <cell r="A18">
            <v>16</v>
          </cell>
          <cell r="C18">
            <v>1.0088999999999999</v>
          </cell>
          <cell r="D18">
            <v>1</v>
          </cell>
          <cell r="E18">
            <v>154732.69</v>
          </cell>
          <cell r="F18">
            <v>164410.16</v>
          </cell>
          <cell r="G18">
            <v>152576.67000000001</v>
          </cell>
          <cell r="H18">
            <v>129383.69</v>
          </cell>
          <cell r="I18">
            <v>127227.67000000001</v>
          </cell>
          <cell r="L18">
            <v>42941416</v>
          </cell>
          <cell r="M18">
            <v>15392018</v>
          </cell>
          <cell r="N18">
            <v>39975088</v>
          </cell>
          <cell r="O18">
            <v>16238099</v>
          </cell>
          <cell r="Q18">
            <v>90759802</v>
          </cell>
          <cell r="T18">
            <v>8055904</v>
          </cell>
          <cell r="V18">
            <v>181.46</v>
          </cell>
        </row>
        <row r="19">
          <cell r="A19">
            <v>17</v>
          </cell>
          <cell r="C19">
            <v>1</v>
          </cell>
          <cell r="D19">
            <v>1</v>
          </cell>
          <cell r="E19">
            <v>41499.229999999996</v>
          </cell>
          <cell r="F19">
            <v>43701.08</v>
          </cell>
          <cell r="G19">
            <v>41225.649999999994</v>
          </cell>
          <cell r="H19">
            <v>35502.479999999996</v>
          </cell>
          <cell r="I19">
            <v>35228.899999999994</v>
          </cell>
          <cell r="L19">
            <v>9923711</v>
          </cell>
          <cell r="M19">
            <v>4588952</v>
          </cell>
          <cell r="N19">
            <v>10789165</v>
          </cell>
          <cell r="O19">
            <v>6982683</v>
          </cell>
          <cell r="Q19">
            <v>25934930</v>
          </cell>
          <cell r="T19">
            <v>2283075</v>
          </cell>
          <cell r="V19">
            <v>543.54999999999995</v>
          </cell>
        </row>
        <row r="20">
          <cell r="A20">
            <v>18</v>
          </cell>
          <cell r="C20">
            <v>1</v>
          </cell>
          <cell r="D20">
            <v>1</v>
          </cell>
          <cell r="E20">
            <v>15204.950000000003</v>
          </cell>
          <cell r="F20">
            <v>16132.7</v>
          </cell>
          <cell r="G20">
            <v>14960.230000000003</v>
          </cell>
          <cell r="H20">
            <v>13278.450000000003</v>
          </cell>
          <cell r="I20">
            <v>13033.730000000003</v>
          </cell>
          <cell r="L20">
            <v>0</v>
          </cell>
          <cell r="M20">
            <v>1340441</v>
          </cell>
          <cell r="N20">
            <v>3205977</v>
          </cell>
          <cell r="O20">
            <v>2501375</v>
          </cell>
          <cell r="Q20">
            <v>14393901</v>
          </cell>
          <cell r="T20">
            <v>916502</v>
          </cell>
          <cell r="V20">
            <v>0</v>
          </cell>
        </row>
        <row r="21">
          <cell r="A21">
            <v>19</v>
          </cell>
          <cell r="C21">
            <v>1</v>
          </cell>
          <cell r="D21">
            <v>1.0373000000000001</v>
          </cell>
          <cell r="E21">
            <v>1210.3400000000001</v>
          </cell>
          <cell r="F21">
            <v>1302.6999999999998</v>
          </cell>
          <cell r="G21">
            <v>1192.1600000000001</v>
          </cell>
          <cell r="H21">
            <v>1142.8400000000001</v>
          </cell>
          <cell r="I21">
            <v>1124.6600000000001</v>
          </cell>
          <cell r="L21">
            <v>0</v>
          </cell>
          <cell r="M21">
            <v>371988</v>
          </cell>
          <cell r="N21">
            <v>257995</v>
          </cell>
          <cell r="O21">
            <v>79386</v>
          </cell>
          <cell r="Q21">
            <v>3170047</v>
          </cell>
          <cell r="T21">
            <v>170274</v>
          </cell>
          <cell r="V21">
            <v>0</v>
          </cell>
        </row>
        <row r="22">
          <cell r="A22">
            <v>20</v>
          </cell>
          <cell r="C22">
            <v>1</v>
          </cell>
          <cell r="D22">
            <v>1.0373000000000001</v>
          </cell>
          <cell r="E22">
            <v>5116.99</v>
          </cell>
          <cell r="F22">
            <v>5386.69</v>
          </cell>
          <cell r="G22">
            <v>5100.53</v>
          </cell>
          <cell r="H22">
            <v>4180.74</v>
          </cell>
          <cell r="I22">
            <v>4164.28</v>
          </cell>
          <cell r="L22">
            <v>2331864</v>
          </cell>
          <cell r="M22">
            <v>624243</v>
          </cell>
          <cell r="N22">
            <v>1438247</v>
          </cell>
          <cell r="O22">
            <v>261880</v>
          </cell>
          <cell r="Q22">
            <v>2089630</v>
          </cell>
          <cell r="T22">
            <v>357077</v>
          </cell>
          <cell r="V22">
            <v>0</v>
          </cell>
        </row>
        <row r="23">
          <cell r="A23">
            <v>21</v>
          </cell>
          <cell r="C23">
            <v>1</v>
          </cell>
          <cell r="D23">
            <v>1.0373000000000001</v>
          </cell>
          <cell r="E23">
            <v>3032.1700000000005</v>
          </cell>
          <cell r="F23">
            <v>3341.8199999999997</v>
          </cell>
          <cell r="G23">
            <v>2980.7900000000004</v>
          </cell>
          <cell r="H23">
            <v>2685.1700000000005</v>
          </cell>
          <cell r="I23">
            <v>2633.7900000000004</v>
          </cell>
          <cell r="L23">
            <v>1413537</v>
          </cell>
          <cell r="M23">
            <v>449309</v>
          </cell>
          <cell r="N23">
            <v>2156393</v>
          </cell>
          <cell r="O23">
            <v>563534</v>
          </cell>
          <cell r="Q23">
            <v>1206486</v>
          </cell>
          <cell r="T23">
            <v>265113</v>
          </cell>
          <cell r="V23">
            <v>0</v>
          </cell>
        </row>
        <row r="24">
          <cell r="A24">
            <v>22</v>
          </cell>
          <cell r="C24">
            <v>1</v>
          </cell>
          <cell r="D24">
            <v>1.0373000000000001</v>
          </cell>
          <cell r="E24">
            <v>1966.69</v>
          </cell>
          <cell r="F24">
            <v>2078.33</v>
          </cell>
          <cell r="G24">
            <v>1923.65</v>
          </cell>
          <cell r="H24">
            <v>1852.19</v>
          </cell>
          <cell r="I24">
            <v>1809.15</v>
          </cell>
          <cell r="L24">
            <v>755740</v>
          </cell>
          <cell r="M24">
            <v>395557</v>
          </cell>
          <cell r="N24">
            <v>1672979</v>
          </cell>
          <cell r="O24">
            <v>165346</v>
          </cell>
          <cell r="Q24">
            <v>943635</v>
          </cell>
          <cell r="T24">
            <v>213893</v>
          </cell>
          <cell r="V24">
            <v>1514.77</v>
          </cell>
        </row>
        <row r="25">
          <cell r="A25">
            <v>23</v>
          </cell>
          <cell r="C25">
            <v>1</v>
          </cell>
          <cell r="D25">
            <v>1.0373000000000001</v>
          </cell>
          <cell r="E25">
            <v>1933.45</v>
          </cell>
          <cell r="F25">
            <v>2092.21</v>
          </cell>
          <cell r="G25">
            <v>1926.3700000000001</v>
          </cell>
          <cell r="H25">
            <v>1843.7</v>
          </cell>
          <cell r="I25">
            <v>1836.6200000000001</v>
          </cell>
          <cell r="L25">
            <v>0</v>
          </cell>
          <cell r="M25">
            <v>420523</v>
          </cell>
          <cell r="N25">
            <v>385717</v>
          </cell>
          <cell r="O25">
            <v>130391</v>
          </cell>
          <cell r="Q25">
            <v>3413546</v>
          </cell>
          <cell r="T25">
            <v>213371</v>
          </cell>
          <cell r="V25">
            <v>0</v>
          </cell>
        </row>
        <row r="26">
          <cell r="A26">
            <v>24</v>
          </cell>
          <cell r="C26">
            <v>1</v>
          </cell>
          <cell r="D26">
            <v>1.0373000000000001</v>
          </cell>
          <cell r="E26">
            <v>1633.2199999999998</v>
          </cell>
          <cell r="F26">
            <v>1758.99</v>
          </cell>
          <cell r="G26">
            <v>1630.2099999999998</v>
          </cell>
          <cell r="H26">
            <v>1454.2199999999998</v>
          </cell>
          <cell r="I26">
            <v>1451.2099999999998</v>
          </cell>
          <cell r="L26">
            <v>414070</v>
          </cell>
          <cell r="M26">
            <v>409421</v>
          </cell>
          <cell r="N26">
            <v>867875</v>
          </cell>
          <cell r="O26">
            <v>206874</v>
          </cell>
          <cell r="Q26">
            <v>997159</v>
          </cell>
          <cell r="T26">
            <v>189421</v>
          </cell>
          <cell r="V26">
            <v>0</v>
          </cell>
        </row>
        <row r="27">
          <cell r="A27">
            <v>25</v>
          </cell>
          <cell r="C27">
            <v>1</v>
          </cell>
          <cell r="D27">
            <v>1.0373000000000001</v>
          </cell>
          <cell r="E27">
            <v>4428.4000000000005</v>
          </cell>
          <cell r="F27">
            <v>4642.0900000000011</v>
          </cell>
          <cell r="G27">
            <v>4368.68</v>
          </cell>
          <cell r="H27">
            <v>4240.4000000000005</v>
          </cell>
          <cell r="I27">
            <v>4180.68</v>
          </cell>
          <cell r="L27">
            <v>1238004</v>
          </cell>
          <cell r="M27">
            <v>639988</v>
          </cell>
          <cell r="N27">
            <v>1103048</v>
          </cell>
          <cell r="O27">
            <v>784762</v>
          </cell>
          <cell r="Q27">
            <v>2588469</v>
          </cell>
          <cell r="T27">
            <v>360746</v>
          </cell>
          <cell r="V27">
            <v>0</v>
          </cell>
        </row>
        <row r="28">
          <cell r="A28">
            <v>26</v>
          </cell>
          <cell r="C28">
            <v>1</v>
          </cell>
          <cell r="D28">
            <v>1.0373000000000001</v>
          </cell>
          <cell r="E28">
            <v>13774.81</v>
          </cell>
          <cell r="F28">
            <v>14382.029999999999</v>
          </cell>
          <cell r="G28">
            <v>8025.2799999999988</v>
          </cell>
          <cell r="H28">
            <v>13064.06</v>
          </cell>
          <cell r="I28">
            <v>7314.5299999999988</v>
          </cell>
          <cell r="L28">
            <v>8167911</v>
          </cell>
          <cell r="M28">
            <v>906057</v>
          </cell>
          <cell r="N28">
            <v>4055977</v>
          </cell>
          <cell r="O28">
            <v>1650991</v>
          </cell>
          <cell r="Q28">
            <v>3734558</v>
          </cell>
          <cell r="T28">
            <v>903319</v>
          </cell>
          <cell r="V28">
            <v>0</v>
          </cell>
        </row>
        <row r="29">
          <cell r="A29">
            <v>27</v>
          </cell>
          <cell r="C29">
            <v>1</v>
          </cell>
          <cell r="D29">
            <v>1</v>
          </cell>
          <cell r="E29">
            <v>26356.339999999997</v>
          </cell>
          <cell r="F29">
            <v>28298.7</v>
          </cell>
          <cell r="G29">
            <v>25955.869999999995</v>
          </cell>
          <cell r="H29">
            <v>23141.839999999997</v>
          </cell>
          <cell r="I29">
            <v>22741.369999999995</v>
          </cell>
          <cell r="L29">
            <v>7766159</v>
          </cell>
          <cell r="M29">
            <v>2306367</v>
          </cell>
          <cell r="N29">
            <v>6103523</v>
          </cell>
          <cell r="O29">
            <v>4203858</v>
          </cell>
          <cell r="Q29">
            <v>15007736</v>
          </cell>
          <cell r="T29">
            <v>1523010</v>
          </cell>
          <cell r="V29">
            <v>0</v>
          </cell>
        </row>
        <row r="30">
          <cell r="A30">
            <v>28</v>
          </cell>
          <cell r="C30">
            <v>1</v>
          </cell>
          <cell r="D30">
            <v>1.0373000000000001</v>
          </cell>
          <cell r="E30">
            <v>13150.74</v>
          </cell>
          <cell r="F30">
            <v>13770.07</v>
          </cell>
          <cell r="G30">
            <v>12899.08</v>
          </cell>
          <cell r="H30">
            <v>11589.24</v>
          </cell>
          <cell r="I30">
            <v>11337.58</v>
          </cell>
          <cell r="L30">
            <v>4322780</v>
          </cell>
          <cell r="M30">
            <v>1428733</v>
          </cell>
          <cell r="N30">
            <v>2867594</v>
          </cell>
          <cell r="O30">
            <v>1724405</v>
          </cell>
          <cell r="Q30">
            <v>7040550</v>
          </cell>
          <cell r="T30">
            <v>812631</v>
          </cell>
          <cell r="V30">
            <v>0</v>
          </cell>
        </row>
        <row r="31">
          <cell r="A31">
            <v>29</v>
          </cell>
          <cell r="C31">
            <v>1.0133000000000001</v>
          </cell>
          <cell r="D31">
            <v>1</v>
          </cell>
          <cell r="E31">
            <v>237811.45</v>
          </cell>
          <cell r="F31">
            <v>254558.66999999998</v>
          </cell>
          <cell r="G31">
            <v>231737.46000000002</v>
          </cell>
          <cell r="H31">
            <v>211105.2</v>
          </cell>
          <cell r="I31">
            <v>205031.21000000002</v>
          </cell>
          <cell r="L31">
            <v>68056881</v>
          </cell>
          <cell r="M31">
            <v>17940855</v>
          </cell>
          <cell r="N31">
            <v>60838035</v>
          </cell>
          <cell r="O31">
            <v>51698358</v>
          </cell>
          <cell r="Q31">
            <v>137431190</v>
          </cell>
          <cell r="T31">
            <v>13081024</v>
          </cell>
          <cell r="V31">
            <v>77.099999999999994</v>
          </cell>
        </row>
        <row r="32">
          <cell r="A32">
            <v>30</v>
          </cell>
          <cell r="C32">
            <v>1</v>
          </cell>
          <cell r="D32">
            <v>1.0373000000000001</v>
          </cell>
          <cell r="E32">
            <v>2872.66</v>
          </cell>
          <cell r="F32">
            <v>2991.23</v>
          </cell>
          <cell r="G32">
            <v>2835.31</v>
          </cell>
          <cell r="H32">
            <v>2732.91</v>
          </cell>
          <cell r="I32">
            <v>2695.56</v>
          </cell>
          <cell r="L32">
            <v>1859358</v>
          </cell>
          <cell r="M32">
            <v>477916</v>
          </cell>
          <cell r="N32">
            <v>2426657</v>
          </cell>
          <cell r="O32">
            <v>171591</v>
          </cell>
          <cell r="Q32">
            <v>622840</v>
          </cell>
          <cell r="T32">
            <v>268049</v>
          </cell>
          <cell r="V32">
            <v>0</v>
          </cell>
        </row>
        <row r="33">
          <cell r="A33">
            <v>31</v>
          </cell>
          <cell r="C33">
            <v>1</v>
          </cell>
          <cell r="D33">
            <v>1</v>
          </cell>
          <cell r="E33">
            <v>18045.689999999999</v>
          </cell>
          <cell r="F33">
            <v>19345.889999999996</v>
          </cell>
          <cell r="G33">
            <v>18010.699999999997</v>
          </cell>
          <cell r="H33">
            <v>15811.939999999999</v>
          </cell>
          <cell r="I33">
            <v>15776.949999999997</v>
          </cell>
          <cell r="L33">
            <v>0</v>
          </cell>
          <cell r="M33">
            <v>1708786</v>
          </cell>
          <cell r="N33">
            <v>3903279</v>
          </cell>
          <cell r="O33">
            <v>2621695</v>
          </cell>
          <cell r="Q33">
            <v>24883143</v>
          </cell>
          <cell r="T33">
            <v>1072289</v>
          </cell>
          <cell r="V33">
            <v>0</v>
          </cell>
        </row>
        <row r="34">
          <cell r="A34">
            <v>32</v>
          </cell>
          <cell r="C34">
            <v>1</v>
          </cell>
          <cell r="D34">
            <v>1.0373000000000001</v>
          </cell>
          <cell r="E34">
            <v>5908.2100000000009</v>
          </cell>
          <cell r="F34">
            <v>6362.43</v>
          </cell>
          <cell r="G34">
            <v>5815.5900000000011</v>
          </cell>
          <cell r="H34">
            <v>5584.7100000000009</v>
          </cell>
          <cell r="I34">
            <v>5492.0900000000011</v>
          </cell>
          <cell r="L34">
            <v>3196460</v>
          </cell>
          <cell r="M34">
            <v>689063</v>
          </cell>
          <cell r="N34">
            <v>2492329</v>
          </cell>
          <cell r="O34">
            <v>892910</v>
          </cell>
          <cell r="Q34">
            <v>1908685</v>
          </cell>
          <cell r="T34">
            <v>443408</v>
          </cell>
          <cell r="V34">
            <v>0</v>
          </cell>
        </row>
        <row r="35">
          <cell r="A35">
            <v>33</v>
          </cell>
          <cell r="C35">
            <v>1</v>
          </cell>
          <cell r="D35">
            <v>1.0373000000000001</v>
          </cell>
          <cell r="E35">
            <v>1116.8200000000002</v>
          </cell>
          <cell r="F35">
            <v>1164.9099999999999</v>
          </cell>
          <cell r="G35">
            <v>1105.1200000000001</v>
          </cell>
          <cell r="H35">
            <v>679.32000000000016</v>
          </cell>
          <cell r="I35">
            <v>667.62000000000012</v>
          </cell>
          <cell r="L35">
            <v>25341</v>
          </cell>
          <cell r="M35">
            <v>361303</v>
          </cell>
          <cell r="N35">
            <v>1396695</v>
          </cell>
          <cell r="O35">
            <v>58073</v>
          </cell>
          <cell r="Q35">
            <v>939677</v>
          </cell>
          <cell r="T35">
            <v>141772</v>
          </cell>
          <cell r="V35">
            <v>0</v>
          </cell>
        </row>
        <row r="36">
          <cell r="A36">
            <v>34</v>
          </cell>
          <cell r="C36">
            <v>1</v>
          </cell>
          <cell r="D36">
            <v>1.0373000000000001</v>
          </cell>
          <cell r="E36">
            <v>1213.83</v>
          </cell>
          <cell r="F36">
            <v>1276.4899999999996</v>
          </cell>
          <cell r="G36">
            <v>1213.83</v>
          </cell>
          <cell r="H36">
            <v>1150.08</v>
          </cell>
          <cell r="I36">
            <v>1150.08</v>
          </cell>
          <cell r="L36">
            <v>740376</v>
          </cell>
          <cell r="M36">
            <v>335906</v>
          </cell>
          <cell r="N36">
            <v>788844</v>
          </cell>
          <cell r="O36">
            <v>419391</v>
          </cell>
          <cell r="Q36">
            <v>308466</v>
          </cell>
          <cell r="T36">
            <v>170719</v>
          </cell>
          <cell r="V36">
            <v>0</v>
          </cell>
        </row>
        <row r="37">
          <cell r="A37">
            <v>35</v>
          </cell>
          <cell r="C37">
            <v>1</v>
          </cell>
          <cell r="D37">
            <v>1</v>
          </cell>
          <cell r="E37">
            <v>53533.459999999992</v>
          </cell>
          <cell r="F37">
            <v>56491.6</v>
          </cell>
          <cell r="G37">
            <v>53238.859999999993</v>
          </cell>
          <cell r="H37">
            <v>45639.209999999992</v>
          </cell>
          <cell r="I37">
            <v>45344.609999999993</v>
          </cell>
          <cell r="L37">
            <v>10828748</v>
          </cell>
          <cell r="M37">
            <v>4502120</v>
          </cell>
          <cell r="N37">
            <v>12223642</v>
          </cell>
          <cell r="O37">
            <v>9125475</v>
          </cell>
          <cell r="Q37">
            <v>35428640</v>
          </cell>
          <cell r="T37">
            <v>2906391</v>
          </cell>
          <cell r="V37">
            <v>0</v>
          </cell>
        </row>
        <row r="38">
          <cell r="A38">
            <v>36</v>
          </cell>
          <cell r="C38">
            <v>1.0054000000000001</v>
          </cell>
          <cell r="D38">
            <v>1</v>
          </cell>
          <cell r="E38">
            <v>111725.43</v>
          </cell>
          <cell r="F38">
            <v>120876.37999999999</v>
          </cell>
          <cell r="G38">
            <v>110994.01</v>
          </cell>
          <cell r="H38">
            <v>101932.43</v>
          </cell>
          <cell r="I38">
            <v>101201.01</v>
          </cell>
          <cell r="L38">
            <v>0</v>
          </cell>
          <cell r="M38">
            <v>8981663</v>
          </cell>
          <cell r="N38">
            <v>40743681</v>
          </cell>
          <cell r="O38">
            <v>15449963</v>
          </cell>
          <cell r="Q38">
            <v>121445626</v>
          </cell>
          <cell r="T38">
            <v>6367905</v>
          </cell>
          <cell r="V38">
            <v>0</v>
          </cell>
        </row>
        <row r="39">
          <cell r="A39">
            <v>37</v>
          </cell>
          <cell r="C39">
            <v>1</v>
          </cell>
          <cell r="D39">
            <v>1</v>
          </cell>
          <cell r="E39">
            <v>34928.329999999994</v>
          </cell>
          <cell r="F39">
            <v>36583.800000000003</v>
          </cell>
          <cell r="G39">
            <v>34825.749999999993</v>
          </cell>
          <cell r="H39">
            <v>30775.329999999994</v>
          </cell>
          <cell r="I39">
            <v>30672.749999999993</v>
          </cell>
          <cell r="L39">
            <v>9239940</v>
          </cell>
          <cell r="M39">
            <v>4065739</v>
          </cell>
          <cell r="N39">
            <v>9823648</v>
          </cell>
          <cell r="O39">
            <v>5687213</v>
          </cell>
          <cell r="Q39">
            <v>20941084</v>
          </cell>
          <cell r="T39">
            <v>1992399</v>
          </cell>
          <cell r="V39">
            <v>0</v>
          </cell>
        </row>
        <row r="40">
          <cell r="A40">
            <v>38</v>
          </cell>
          <cell r="C40">
            <v>1</v>
          </cell>
          <cell r="D40">
            <v>1.0373000000000001</v>
          </cell>
          <cell r="E40">
            <v>5961.9</v>
          </cell>
          <cell r="F40">
            <v>6358.37</v>
          </cell>
          <cell r="G40">
            <v>5935.0099999999993</v>
          </cell>
          <cell r="H40">
            <v>5265.15</v>
          </cell>
          <cell r="I40">
            <v>5238.2599999999993</v>
          </cell>
          <cell r="L40">
            <v>2316437</v>
          </cell>
          <cell r="M40">
            <v>811081</v>
          </cell>
          <cell r="N40">
            <v>3329185</v>
          </cell>
          <cell r="O40">
            <v>616348</v>
          </cell>
          <cell r="Q40">
            <v>2835110</v>
          </cell>
          <cell r="T40">
            <v>423758</v>
          </cell>
          <cell r="V40">
            <v>0</v>
          </cell>
        </row>
        <row r="41">
          <cell r="A41">
            <v>39</v>
          </cell>
          <cell r="C41">
            <v>1</v>
          </cell>
          <cell r="D41">
            <v>1.0373000000000001</v>
          </cell>
          <cell r="E41">
            <v>1210.9100000000001</v>
          </cell>
          <cell r="F41">
            <v>1355.89</v>
          </cell>
          <cell r="G41">
            <v>1202.0500000000002</v>
          </cell>
          <cell r="H41">
            <v>1177.1600000000001</v>
          </cell>
          <cell r="I41">
            <v>1168.3000000000002</v>
          </cell>
          <cell r="L41">
            <v>746005</v>
          </cell>
          <cell r="M41">
            <v>339629</v>
          </cell>
          <cell r="N41">
            <v>776657</v>
          </cell>
          <cell r="O41">
            <v>10957</v>
          </cell>
          <cell r="Q41">
            <v>300320</v>
          </cell>
          <cell r="T41">
            <v>172385</v>
          </cell>
          <cell r="V41">
            <v>0</v>
          </cell>
        </row>
        <row r="42">
          <cell r="A42">
            <v>40</v>
          </cell>
          <cell r="C42">
            <v>1</v>
          </cell>
          <cell r="D42">
            <v>1.0373000000000001</v>
          </cell>
          <cell r="E42">
            <v>2266.6299999999997</v>
          </cell>
          <cell r="F42">
            <v>2360.52</v>
          </cell>
          <cell r="G42">
            <v>2259.8999999999996</v>
          </cell>
          <cell r="H42">
            <v>2072.6299999999997</v>
          </cell>
          <cell r="I42">
            <v>2065.8999999999996</v>
          </cell>
          <cell r="L42">
            <v>884666</v>
          </cell>
          <cell r="M42">
            <v>444710</v>
          </cell>
          <cell r="N42">
            <v>961022</v>
          </cell>
          <cell r="O42">
            <v>179481</v>
          </cell>
          <cell r="Q42">
            <v>1073873</v>
          </cell>
          <cell r="T42">
            <v>227448</v>
          </cell>
          <cell r="V42">
            <v>0</v>
          </cell>
        </row>
        <row r="43">
          <cell r="A43">
            <v>41</v>
          </cell>
          <cell r="C43">
            <v>1</v>
          </cell>
          <cell r="D43">
            <v>1</v>
          </cell>
          <cell r="E43">
            <v>59562.929999999993</v>
          </cell>
          <cell r="F43">
            <v>62891.210000000006</v>
          </cell>
          <cell r="G43">
            <v>59460.549999999996</v>
          </cell>
          <cell r="H43">
            <v>53942.179999999993</v>
          </cell>
          <cell r="I43">
            <v>53839.799999999996</v>
          </cell>
          <cell r="L43">
            <v>0</v>
          </cell>
          <cell r="M43">
            <v>5401876</v>
          </cell>
          <cell r="N43">
            <v>14678431</v>
          </cell>
          <cell r="O43">
            <v>7664173</v>
          </cell>
          <cell r="Q43">
            <v>57773364</v>
          </cell>
          <cell r="T43">
            <v>3416947</v>
          </cell>
          <cell r="V43">
            <v>0</v>
          </cell>
        </row>
        <row r="44">
          <cell r="A44">
            <v>42</v>
          </cell>
          <cell r="C44">
            <v>1</v>
          </cell>
          <cell r="D44">
            <v>1</v>
          </cell>
          <cell r="E44">
            <v>53624.4</v>
          </cell>
          <cell r="F44">
            <v>57795.37</v>
          </cell>
          <cell r="G44">
            <v>52738.47</v>
          </cell>
          <cell r="H44">
            <v>46332.15</v>
          </cell>
          <cell r="I44">
            <v>45446.22</v>
          </cell>
          <cell r="L44">
            <v>15528554</v>
          </cell>
          <cell r="M44">
            <v>4745617</v>
          </cell>
          <cell r="N44">
            <v>15458700</v>
          </cell>
          <cell r="O44">
            <v>7045978</v>
          </cell>
          <cell r="Q44">
            <v>30807460</v>
          </cell>
          <cell r="T44">
            <v>2949000</v>
          </cell>
          <cell r="V44">
            <v>0</v>
          </cell>
        </row>
        <row r="45">
          <cell r="A45">
            <v>43</v>
          </cell>
          <cell r="C45">
            <v>1</v>
          </cell>
          <cell r="D45">
            <v>1</v>
          </cell>
          <cell r="E45">
            <v>20201.160000000003</v>
          </cell>
          <cell r="F45">
            <v>21755.16</v>
          </cell>
          <cell r="G45">
            <v>20185.410000000003</v>
          </cell>
          <cell r="H45">
            <v>17497.160000000003</v>
          </cell>
          <cell r="I45">
            <v>17481.410000000003</v>
          </cell>
          <cell r="L45">
            <v>0</v>
          </cell>
          <cell r="M45">
            <v>1829036</v>
          </cell>
          <cell r="N45">
            <v>4658389</v>
          </cell>
          <cell r="O45">
            <v>4983075</v>
          </cell>
          <cell r="Q45">
            <v>30547306</v>
          </cell>
          <cell r="T45">
            <v>1175914</v>
          </cell>
          <cell r="V45">
            <v>0</v>
          </cell>
        </row>
        <row r="46">
          <cell r="A46">
            <v>44</v>
          </cell>
          <cell r="C46">
            <v>1.0267999999999999</v>
          </cell>
          <cell r="D46">
            <v>1</v>
          </cell>
          <cell r="E46">
            <v>9199.69</v>
          </cell>
          <cell r="F46">
            <v>9836.67</v>
          </cell>
          <cell r="G46">
            <v>9184.07</v>
          </cell>
          <cell r="H46">
            <v>8456.94</v>
          </cell>
          <cell r="I46">
            <v>8441.32</v>
          </cell>
          <cell r="L46">
            <v>0</v>
          </cell>
          <cell r="M46">
            <v>1060185</v>
          </cell>
          <cell r="N46">
            <v>1991106</v>
          </cell>
          <cell r="O46">
            <v>1514833</v>
          </cell>
          <cell r="Q46">
            <v>42406408</v>
          </cell>
          <cell r="T46">
            <v>620024</v>
          </cell>
          <cell r="V46">
            <v>4040.57</v>
          </cell>
        </row>
        <row r="47">
          <cell r="A47">
            <v>45</v>
          </cell>
          <cell r="C47">
            <v>1</v>
          </cell>
          <cell r="D47">
            <v>1</v>
          </cell>
          <cell r="E47">
            <v>13860.19</v>
          </cell>
          <cell r="F47">
            <v>14611.210000000003</v>
          </cell>
          <cell r="G47">
            <v>13750.35</v>
          </cell>
          <cell r="H47">
            <v>12195.19</v>
          </cell>
          <cell r="I47">
            <v>12085.35</v>
          </cell>
          <cell r="L47">
            <v>0</v>
          </cell>
          <cell r="M47">
            <v>1287288</v>
          </cell>
          <cell r="N47">
            <v>5272434</v>
          </cell>
          <cell r="O47">
            <v>2501969</v>
          </cell>
          <cell r="Q47">
            <v>14512499</v>
          </cell>
          <cell r="T47">
            <v>849892</v>
          </cell>
          <cell r="V47">
            <v>0</v>
          </cell>
        </row>
        <row r="48">
          <cell r="A48">
            <v>46</v>
          </cell>
          <cell r="C48">
            <v>1.0004</v>
          </cell>
          <cell r="D48">
            <v>1</v>
          </cell>
          <cell r="E48">
            <v>33623.679999999993</v>
          </cell>
          <cell r="F48">
            <v>35752.1</v>
          </cell>
          <cell r="G48">
            <v>33030.55999999999</v>
          </cell>
          <cell r="H48">
            <v>30688.679999999993</v>
          </cell>
          <cell r="I48">
            <v>30095.55999999999</v>
          </cell>
          <cell r="L48">
            <v>5421482</v>
          </cell>
          <cell r="M48">
            <v>2978567</v>
          </cell>
          <cell r="N48">
            <v>8973082</v>
          </cell>
          <cell r="O48">
            <v>5748292</v>
          </cell>
          <cell r="Q48">
            <v>23631914</v>
          </cell>
          <cell r="T48">
            <v>1987071</v>
          </cell>
          <cell r="V48">
            <v>214.17</v>
          </cell>
        </row>
        <row r="49">
          <cell r="A49">
            <v>47</v>
          </cell>
          <cell r="C49">
            <v>1</v>
          </cell>
          <cell r="D49">
            <v>1.0373000000000001</v>
          </cell>
          <cell r="E49">
            <v>6262.3200000000006</v>
          </cell>
          <cell r="F49">
            <v>6515.9800000000005</v>
          </cell>
          <cell r="G49">
            <v>6229.170000000001</v>
          </cell>
          <cell r="H49">
            <v>5813.0700000000006</v>
          </cell>
          <cell r="I49">
            <v>5779.920000000001</v>
          </cell>
          <cell r="L49">
            <v>1581236</v>
          </cell>
          <cell r="M49">
            <v>876187</v>
          </cell>
          <cell r="N49">
            <v>1928053</v>
          </cell>
          <cell r="O49">
            <v>1049928</v>
          </cell>
          <cell r="Q49">
            <v>3829940</v>
          </cell>
          <cell r="T49">
            <v>457450</v>
          </cell>
          <cell r="V49">
            <v>0</v>
          </cell>
        </row>
        <row r="50">
          <cell r="A50">
            <v>48</v>
          </cell>
          <cell r="C50">
            <v>1.0089999999999999</v>
          </cell>
          <cell r="D50">
            <v>1</v>
          </cell>
          <cell r="E50">
            <v>230961.28000000003</v>
          </cell>
          <cell r="F50">
            <v>254503.63000000003</v>
          </cell>
          <cell r="G50">
            <v>228279.19000000003</v>
          </cell>
          <cell r="H50">
            <v>200344.53000000003</v>
          </cell>
          <cell r="I50">
            <v>197662.44000000003</v>
          </cell>
          <cell r="L50">
            <v>18294443</v>
          </cell>
          <cell r="M50">
            <v>21108003</v>
          </cell>
          <cell r="N50">
            <v>54497091</v>
          </cell>
          <cell r="O50">
            <v>43179349</v>
          </cell>
          <cell r="Q50">
            <v>181275593</v>
          </cell>
          <cell r="T50">
            <v>12419342</v>
          </cell>
          <cell r="V50">
            <v>0</v>
          </cell>
        </row>
        <row r="51">
          <cell r="A51">
            <v>49</v>
          </cell>
          <cell r="C51">
            <v>1</v>
          </cell>
          <cell r="D51">
            <v>1</v>
          </cell>
          <cell r="E51">
            <v>84955.200000000012</v>
          </cell>
          <cell r="F51">
            <v>91341.970000000016</v>
          </cell>
          <cell r="G51">
            <v>82567.910000000018</v>
          </cell>
          <cell r="H51">
            <v>74169.200000000012</v>
          </cell>
          <cell r="I51">
            <v>71781.910000000018</v>
          </cell>
          <cell r="L51">
            <v>28550894</v>
          </cell>
          <cell r="M51">
            <v>6479103</v>
          </cell>
          <cell r="N51">
            <v>20266294</v>
          </cell>
          <cell r="O51">
            <v>9745886</v>
          </cell>
          <cell r="Q51">
            <v>44856932</v>
          </cell>
          <cell r="T51">
            <v>4660722</v>
          </cell>
          <cell r="V51">
            <v>0</v>
          </cell>
        </row>
        <row r="52">
          <cell r="A52">
            <v>50</v>
          </cell>
          <cell r="C52">
            <v>1.0355000000000001</v>
          </cell>
          <cell r="D52">
            <v>1</v>
          </cell>
          <cell r="E52">
            <v>215320.92</v>
          </cell>
          <cell r="F52">
            <v>229051.25000000003</v>
          </cell>
          <cell r="G52">
            <v>215016.58000000002</v>
          </cell>
          <cell r="H52">
            <v>186156.17</v>
          </cell>
          <cell r="I52">
            <v>185851.83000000002</v>
          </cell>
          <cell r="L52">
            <v>0</v>
          </cell>
          <cell r="M52">
            <v>19167881</v>
          </cell>
          <cell r="N52">
            <v>47290747</v>
          </cell>
          <cell r="O52">
            <v>63269727</v>
          </cell>
          <cell r="Q52">
            <v>268816278</v>
          </cell>
          <cell r="T52">
            <v>11546889</v>
          </cell>
          <cell r="V52">
            <v>0</v>
          </cell>
        </row>
        <row r="53">
          <cell r="A53">
            <v>51</v>
          </cell>
          <cell r="C53">
            <v>1</v>
          </cell>
          <cell r="D53">
            <v>1</v>
          </cell>
          <cell r="E53">
            <v>93901.36</v>
          </cell>
          <cell r="F53">
            <v>101315.32</v>
          </cell>
          <cell r="G53">
            <v>91766.33</v>
          </cell>
          <cell r="H53">
            <v>84622.86</v>
          </cell>
          <cell r="I53">
            <v>82487.83</v>
          </cell>
          <cell r="L53">
            <v>33168777</v>
          </cell>
          <cell r="M53">
            <v>7423256</v>
          </cell>
          <cell r="N53">
            <v>24092332</v>
          </cell>
          <cell r="O53">
            <v>14302705</v>
          </cell>
          <cell r="Q53">
            <v>47969066</v>
          </cell>
          <cell r="T53">
            <v>5303526</v>
          </cell>
          <cell r="V53">
            <v>0</v>
          </cell>
        </row>
        <row r="54">
          <cell r="A54">
            <v>52</v>
          </cell>
          <cell r="C54">
            <v>1.0024999999999999</v>
          </cell>
          <cell r="D54">
            <v>1</v>
          </cell>
          <cell r="E54">
            <v>98886.24</v>
          </cell>
          <cell r="F54">
            <v>105736.72</v>
          </cell>
          <cell r="G54">
            <v>98416.37000000001</v>
          </cell>
          <cell r="H54">
            <v>81492.740000000005</v>
          </cell>
          <cell r="I54">
            <v>81022.87000000001</v>
          </cell>
          <cell r="L54">
            <v>0</v>
          </cell>
          <cell r="M54">
            <v>9935895</v>
          </cell>
          <cell r="N54">
            <v>23134736</v>
          </cell>
          <cell r="O54">
            <v>19676577</v>
          </cell>
          <cell r="Q54">
            <v>109328925</v>
          </cell>
          <cell r="T54">
            <v>5111052</v>
          </cell>
          <cell r="V54">
            <v>0</v>
          </cell>
        </row>
        <row r="55">
          <cell r="A55">
            <v>53</v>
          </cell>
          <cell r="C55">
            <v>1</v>
          </cell>
          <cell r="D55">
            <v>1</v>
          </cell>
          <cell r="E55">
            <v>131529.75</v>
          </cell>
          <cell r="F55">
            <v>141357.78999999998</v>
          </cell>
          <cell r="G55">
            <v>131095.91</v>
          </cell>
          <cell r="H55">
            <v>115233</v>
          </cell>
          <cell r="I55">
            <v>114799.16</v>
          </cell>
          <cell r="L55">
            <v>55329305</v>
          </cell>
          <cell r="M55">
            <v>10256313</v>
          </cell>
          <cell r="N55">
            <v>32967999</v>
          </cell>
          <cell r="O55">
            <v>10624451</v>
          </cell>
          <cell r="Q55">
            <v>58323241</v>
          </cell>
          <cell r="T55">
            <v>7185767</v>
          </cell>
          <cell r="V55">
            <v>0</v>
          </cell>
        </row>
        <row r="56">
          <cell r="A56">
            <v>54</v>
          </cell>
          <cell r="C56">
            <v>1</v>
          </cell>
          <cell r="D56">
            <v>1.0373000000000001</v>
          </cell>
          <cell r="E56">
            <v>10421.14</v>
          </cell>
          <cell r="F56">
            <v>10879.51</v>
          </cell>
          <cell r="G56">
            <v>10347.14</v>
          </cell>
          <cell r="H56">
            <v>9673.14</v>
          </cell>
          <cell r="I56">
            <v>9599.14</v>
          </cell>
          <cell r="L56">
            <v>2883738</v>
          </cell>
          <cell r="M56">
            <v>1180148</v>
          </cell>
          <cell r="N56">
            <v>2978735</v>
          </cell>
          <cell r="O56">
            <v>1362649</v>
          </cell>
          <cell r="Q56">
            <v>6120955</v>
          </cell>
          <cell r="T56">
            <v>694809</v>
          </cell>
          <cell r="V56">
            <v>0</v>
          </cell>
        </row>
        <row r="57">
          <cell r="A57">
            <v>55</v>
          </cell>
          <cell r="C57">
            <v>1</v>
          </cell>
          <cell r="D57">
            <v>1</v>
          </cell>
          <cell r="E57">
            <v>57390.02</v>
          </cell>
          <cell r="F57">
            <v>61409.3</v>
          </cell>
          <cell r="G57">
            <v>57049.02</v>
          </cell>
          <cell r="H57">
            <v>51419.519999999997</v>
          </cell>
          <cell r="I57">
            <v>51078.52</v>
          </cell>
          <cell r="L57">
            <v>3881861</v>
          </cell>
          <cell r="M57">
            <v>4157587</v>
          </cell>
          <cell r="N57">
            <v>12937006</v>
          </cell>
          <cell r="O57">
            <v>18229761</v>
          </cell>
          <cell r="Q57">
            <v>45707538</v>
          </cell>
          <cell r="T57">
            <v>3261827</v>
          </cell>
          <cell r="V57">
            <v>0</v>
          </cell>
        </row>
        <row r="58">
          <cell r="A58">
            <v>56</v>
          </cell>
          <cell r="C58">
            <v>1</v>
          </cell>
          <cell r="D58">
            <v>1</v>
          </cell>
          <cell r="E58">
            <v>55899.509999999995</v>
          </cell>
          <cell r="F58">
            <v>58371.779999999992</v>
          </cell>
          <cell r="G58">
            <v>55628.959999999992</v>
          </cell>
          <cell r="H58">
            <v>48751.259999999995</v>
          </cell>
          <cell r="I58">
            <v>48480.709999999992</v>
          </cell>
          <cell r="L58">
            <v>11918335</v>
          </cell>
          <cell r="M58">
            <v>4356223</v>
          </cell>
          <cell r="N58">
            <v>16737641</v>
          </cell>
          <cell r="O58">
            <v>9948258</v>
          </cell>
          <cell r="Q58">
            <v>36383198</v>
          </cell>
          <cell r="T58">
            <v>3097753</v>
          </cell>
          <cell r="V58">
            <v>0</v>
          </cell>
        </row>
        <row r="59">
          <cell r="A59">
            <v>57</v>
          </cell>
          <cell r="C59">
            <v>1</v>
          </cell>
          <cell r="D59">
            <v>1</v>
          </cell>
          <cell r="E59">
            <v>31318.12</v>
          </cell>
          <cell r="F59">
            <v>34085.760000000002</v>
          </cell>
          <cell r="G59">
            <v>30653.55</v>
          </cell>
          <cell r="H59">
            <v>28385.62</v>
          </cell>
          <cell r="I59">
            <v>27721.05</v>
          </cell>
          <cell r="L59">
            <v>11617457</v>
          </cell>
          <cell r="M59">
            <v>2435932</v>
          </cell>
          <cell r="N59">
            <v>8510652</v>
          </cell>
          <cell r="O59">
            <v>6852038</v>
          </cell>
          <cell r="Q59">
            <v>15444056</v>
          </cell>
          <cell r="T59">
            <v>1845454</v>
          </cell>
          <cell r="V59">
            <v>522.58000000000004</v>
          </cell>
        </row>
        <row r="60">
          <cell r="A60">
            <v>58</v>
          </cell>
          <cell r="C60">
            <v>1.0127999999999999</v>
          </cell>
          <cell r="D60">
            <v>1</v>
          </cell>
          <cell r="E60">
            <v>49159.58</v>
          </cell>
          <cell r="F60">
            <v>53543.439999999995</v>
          </cell>
          <cell r="G60">
            <v>48980.3</v>
          </cell>
          <cell r="H60">
            <v>44428.08</v>
          </cell>
          <cell r="I60">
            <v>44248.800000000003</v>
          </cell>
          <cell r="L60">
            <v>0</v>
          </cell>
          <cell r="M60">
            <v>4675632</v>
          </cell>
          <cell r="N60">
            <v>9944470</v>
          </cell>
          <cell r="O60">
            <v>13088746</v>
          </cell>
          <cell r="Q60">
            <v>84215822</v>
          </cell>
          <cell r="T60">
            <v>2831917</v>
          </cell>
          <cell r="V60">
            <v>0</v>
          </cell>
        </row>
        <row r="61">
          <cell r="A61">
            <v>59</v>
          </cell>
          <cell r="C61">
            <v>1</v>
          </cell>
          <cell r="D61">
            <v>1</v>
          </cell>
          <cell r="E61">
            <v>71990.960000000006</v>
          </cell>
          <cell r="F61">
            <v>75628.819999999992</v>
          </cell>
          <cell r="G61">
            <v>71109.820000000007</v>
          </cell>
          <cell r="H61">
            <v>60599.460000000006</v>
          </cell>
          <cell r="I61">
            <v>59718.320000000007</v>
          </cell>
          <cell r="L61">
            <v>17794006</v>
          </cell>
          <cell r="M61">
            <v>5666097</v>
          </cell>
          <cell r="N61">
            <v>16750629</v>
          </cell>
          <cell r="O61">
            <v>17495029</v>
          </cell>
          <cell r="Q61">
            <v>44411792</v>
          </cell>
          <cell r="T61">
            <v>3826308</v>
          </cell>
          <cell r="V61">
            <v>0</v>
          </cell>
        </row>
        <row r="62">
          <cell r="A62">
            <v>60</v>
          </cell>
          <cell r="C62">
            <v>1</v>
          </cell>
          <cell r="D62">
            <v>1</v>
          </cell>
          <cell r="E62">
            <v>10718.519999999999</v>
          </cell>
          <cell r="F62">
            <v>11370.479999999998</v>
          </cell>
          <cell r="G62">
            <v>10654.169999999998</v>
          </cell>
          <cell r="H62">
            <v>10136.019999999999</v>
          </cell>
          <cell r="I62">
            <v>10071.669999999998</v>
          </cell>
          <cell r="L62">
            <v>0</v>
          </cell>
          <cell r="M62">
            <v>1163147</v>
          </cell>
          <cell r="N62">
            <v>2162903</v>
          </cell>
          <cell r="O62">
            <v>2877740</v>
          </cell>
          <cell r="Q62">
            <v>18860815</v>
          </cell>
          <cell r="T62">
            <v>723272</v>
          </cell>
          <cell r="V62">
            <v>0</v>
          </cell>
        </row>
        <row r="63">
          <cell r="A63">
            <v>61</v>
          </cell>
          <cell r="C63">
            <v>1</v>
          </cell>
          <cell r="D63">
            <v>1.0373000000000001</v>
          </cell>
          <cell r="E63">
            <v>6728.8300000000008</v>
          </cell>
          <cell r="F63">
            <v>6977.4199999999992</v>
          </cell>
          <cell r="G63">
            <v>6597.56</v>
          </cell>
          <cell r="H63">
            <v>5848.8300000000008</v>
          </cell>
          <cell r="I63">
            <v>5717.56</v>
          </cell>
          <cell r="L63">
            <v>3318995</v>
          </cell>
          <cell r="M63">
            <v>808024</v>
          </cell>
          <cell r="N63">
            <v>1370247</v>
          </cell>
          <cell r="O63">
            <v>738522</v>
          </cell>
          <cell r="Q63">
            <v>2495267</v>
          </cell>
          <cell r="T63">
            <v>459649</v>
          </cell>
          <cell r="V63">
            <v>0</v>
          </cell>
        </row>
        <row r="64">
          <cell r="A64">
            <v>62</v>
          </cell>
          <cell r="C64">
            <v>1</v>
          </cell>
          <cell r="D64">
            <v>1.0373000000000001</v>
          </cell>
          <cell r="E64">
            <v>2714.2999999999997</v>
          </cell>
          <cell r="F64">
            <v>3002.78</v>
          </cell>
          <cell r="G64">
            <v>2709.49</v>
          </cell>
          <cell r="H64">
            <v>2179.7999999999997</v>
          </cell>
          <cell r="I64">
            <v>2174.9899999999998</v>
          </cell>
          <cell r="L64">
            <v>873950</v>
          </cell>
          <cell r="M64">
            <v>528139</v>
          </cell>
          <cell r="N64">
            <v>821084</v>
          </cell>
          <cell r="O64">
            <v>158278</v>
          </cell>
          <cell r="Q64">
            <v>1471415</v>
          </cell>
          <cell r="T64">
            <v>234038</v>
          </cell>
          <cell r="V64">
            <v>0</v>
          </cell>
        </row>
        <row r="65">
          <cell r="A65">
            <v>63</v>
          </cell>
          <cell r="C65">
            <v>1</v>
          </cell>
          <cell r="D65">
            <v>1.0373000000000001</v>
          </cell>
          <cell r="E65">
            <v>2249.9100000000003</v>
          </cell>
          <cell r="F65">
            <v>2359.4399999999996</v>
          </cell>
          <cell r="G65">
            <v>2249.9100000000003</v>
          </cell>
          <cell r="H65">
            <v>2100.1600000000003</v>
          </cell>
          <cell r="I65">
            <v>2100.1600000000003</v>
          </cell>
          <cell r="L65">
            <v>1615345</v>
          </cell>
          <cell r="M65">
            <v>416159</v>
          </cell>
          <cell r="N65">
            <v>1006745</v>
          </cell>
          <cell r="O65">
            <v>265112</v>
          </cell>
          <cell r="Q65">
            <v>328746</v>
          </cell>
          <cell r="T65">
            <v>229140</v>
          </cell>
          <cell r="V65">
            <v>0</v>
          </cell>
        </row>
        <row r="66">
          <cell r="A66">
            <v>64</v>
          </cell>
          <cell r="C66">
            <v>1</v>
          </cell>
          <cell r="D66">
            <v>1</v>
          </cell>
          <cell r="E66">
            <v>68009.740000000005</v>
          </cell>
          <cell r="F66">
            <v>73137.17</v>
          </cell>
          <cell r="G66">
            <v>67384.200000000012</v>
          </cell>
          <cell r="H66">
            <v>58212.490000000005</v>
          </cell>
          <cell r="I66">
            <v>57586.950000000012</v>
          </cell>
          <cell r="L66">
            <v>6609187</v>
          </cell>
          <cell r="M66">
            <v>6209709</v>
          </cell>
          <cell r="N66">
            <v>17783364</v>
          </cell>
          <cell r="O66">
            <v>10308462</v>
          </cell>
          <cell r="Q66">
            <v>52156739</v>
          </cell>
          <cell r="T66">
            <v>3679532</v>
          </cell>
          <cell r="V66">
            <v>0</v>
          </cell>
        </row>
        <row r="67">
          <cell r="A67">
            <v>65</v>
          </cell>
          <cell r="C67">
            <v>1</v>
          </cell>
          <cell r="D67">
            <v>1.0373000000000001</v>
          </cell>
          <cell r="E67">
            <v>5364.57</v>
          </cell>
          <cell r="F67">
            <v>5688.83</v>
          </cell>
          <cell r="G67">
            <v>5364.1399999999994</v>
          </cell>
          <cell r="H67">
            <v>5002.82</v>
          </cell>
          <cell r="I67">
            <v>5002.3899999999994</v>
          </cell>
          <cell r="L67">
            <v>2551282</v>
          </cell>
          <cell r="M67">
            <v>681207</v>
          </cell>
          <cell r="N67">
            <v>994404</v>
          </cell>
          <cell r="O67">
            <v>925508</v>
          </cell>
          <cell r="Q67">
            <v>2084128</v>
          </cell>
          <cell r="T67">
            <v>407627</v>
          </cell>
          <cell r="V67">
            <v>0</v>
          </cell>
        </row>
        <row r="68">
          <cell r="A68">
            <v>66</v>
          </cell>
          <cell r="C68">
            <v>1</v>
          </cell>
          <cell r="D68">
            <v>1</v>
          </cell>
          <cell r="E68">
            <v>13138.57</v>
          </cell>
          <cell r="F68">
            <v>13692.820000000002</v>
          </cell>
          <cell r="G68">
            <v>13138.57</v>
          </cell>
          <cell r="H68">
            <v>11839.82</v>
          </cell>
          <cell r="I68">
            <v>11839.82</v>
          </cell>
          <cell r="L68">
            <v>0</v>
          </cell>
          <cell r="M68">
            <v>1230788</v>
          </cell>
          <cell r="N68">
            <v>2684210</v>
          </cell>
          <cell r="O68">
            <v>2839147</v>
          </cell>
          <cell r="Q68">
            <v>37690430</v>
          </cell>
          <cell r="T68">
            <v>828040</v>
          </cell>
          <cell r="V68">
            <v>0</v>
          </cell>
        </row>
        <row r="69">
          <cell r="A69">
            <v>67</v>
          </cell>
          <cell r="C69">
            <v>1</v>
          </cell>
          <cell r="D69">
            <v>1.0373000000000001</v>
          </cell>
          <cell r="E69">
            <v>3424.6499999999996</v>
          </cell>
          <cell r="F69">
            <v>3726.9199999999996</v>
          </cell>
          <cell r="G69">
            <v>3373.3499999999995</v>
          </cell>
          <cell r="H69">
            <v>3055.8999999999996</v>
          </cell>
          <cell r="I69">
            <v>3004.5999999999995</v>
          </cell>
          <cell r="L69">
            <v>1713592</v>
          </cell>
          <cell r="M69">
            <v>506855</v>
          </cell>
          <cell r="N69">
            <v>1813817</v>
          </cell>
          <cell r="O69">
            <v>586380</v>
          </cell>
          <cell r="Q69">
            <v>1245581</v>
          </cell>
          <cell r="T69">
            <v>287910</v>
          </cell>
          <cell r="V69">
            <v>0</v>
          </cell>
        </row>
        <row r="70">
          <cell r="A70">
            <v>69</v>
          </cell>
          <cell r="C70">
            <v>1</v>
          </cell>
          <cell r="D70">
            <v>1</v>
          </cell>
          <cell r="E70">
            <v>508.89</v>
          </cell>
          <cell r="F70">
            <v>521.66000000000008</v>
          </cell>
          <cell r="G70">
            <v>508.89</v>
          </cell>
          <cell r="H70">
            <v>508.89</v>
          </cell>
          <cell r="I70">
            <v>508.89</v>
          </cell>
          <cell r="L70">
            <v>134622</v>
          </cell>
          <cell r="M70">
            <v>284003</v>
          </cell>
          <cell r="N70">
            <v>785324</v>
          </cell>
          <cell r="O70">
            <v>66484</v>
          </cell>
          <cell r="T70">
            <v>131292</v>
          </cell>
        </row>
        <row r="71">
          <cell r="A71">
            <v>70</v>
          </cell>
          <cell r="C71">
            <v>1.0355000000000001</v>
          </cell>
          <cell r="D71">
            <v>1</v>
          </cell>
          <cell r="E71">
            <v>1321.9099999999999</v>
          </cell>
          <cell r="F71">
            <v>1330.77</v>
          </cell>
          <cell r="G71">
            <v>1321.9099999999999</v>
          </cell>
          <cell r="H71">
            <v>1321.9099999999999</v>
          </cell>
          <cell r="I71">
            <v>1321.9099999999999</v>
          </cell>
          <cell r="L71">
            <v>0</v>
          </cell>
          <cell r="M71">
            <v>338328</v>
          </cell>
          <cell r="N71">
            <v>1448377</v>
          </cell>
          <cell r="O71">
            <v>936396</v>
          </cell>
          <cell r="Q71">
            <v>0</v>
          </cell>
          <cell r="T71">
            <v>181285</v>
          </cell>
          <cell r="V71">
            <v>0</v>
          </cell>
        </row>
        <row r="72">
          <cell r="A72">
            <v>72</v>
          </cell>
          <cell r="C72">
            <v>1.0248999999999999</v>
          </cell>
          <cell r="D72">
            <v>1</v>
          </cell>
          <cell r="E72">
            <v>713.21</v>
          </cell>
          <cell r="F72">
            <v>765.02</v>
          </cell>
          <cell r="G72">
            <v>713.21</v>
          </cell>
          <cell r="H72">
            <v>713.21</v>
          </cell>
          <cell r="I72">
            <v>713.21</v>
          </cell>
          <cell r="L72">
            <v>0</v>
          </cell>
          <cell r="M72">
            <v>297655</v>
          </cell>
          <cell r="N72">
            <v>200819</v>
          </cell>
          <cell r="O72">
            <v>0</v>
          </cell>
          <cell r="Q72">
            <v>0</v>
          </cell>
          <cell r="T72">
            <v>143856</v>
          </cell>
          <cell r="V72">
            <v>0</v>
          </cell>
        </row>
        <row r="73">
          <cell r="A73">
            <v>73</v>
          </cell>
          <cell r="C73">
            <v>1</v>
          </cell>
          <cell r="D73">
            <v>1</v>
          </cell>
          <cell r="E73">
            <v>1846.14</v>
          </cell>
          <cell r="F73">
            <v>1883.5</v>
          </cell>
          <cell r="G73">
            <v>1846.14</v>
          </cell>
          <cell r="H73">
            <v>1846.14</v>
          </cell>
          <cell r="I73">
            <v>1846.14</v>
          </cell>
          <cell r="L73">
            <v>488378</v>
          </cell>
          <cell r="M73">
            <v>373356</v>
          </cell>
          <cell r="N73">
            <v>1492955</v>
          </cell>
          <cell r="O73">
            <v>538955</v>
          </cell>
          <cell r="Q73">
            <v>0</v>
          </cell>
          <cell r="T73">
            <v>213521</v>
          </cell>
          <cell r="V73">
            <v>0</v>
          </cell>
        </row>
        <row r="74">
          <cell r="A74">
            <v>74</v>
          </cell>
          <cell r="C74">
            <v>1</v>
          </cell>
          <cell r="D74">
            <v>1</v>
          </cell>
          <cell r="E74">
            <v>1347.4600000000003</v>
          </cell>
          <cell r="F74">
            <v>1366.36</v>
          </cell>
          <cell r="G74">
            <v>1338.4900000000002</v>
          </cell>
          <cell r="H74">
            <v>1347.4600000000003</v>
          </cell>
          <cell r="I74">
            <v>1338.4900000000002</v>
          </cell>
          <cell r="L74">
            <v>295080</v>
          </cell>
          <cell r="M74">
            <v>339435</v>
          </cell>
          <cell r="N74">
            <v>1481320</v>
          </cell>
          <cell r="O74">
            <v>456309</v>
          </cell>
          <cell r="Q74">
            <v>0</v>
          </cell>
          <cell r="T74">
            <v>182856</v>
          </cell>
          <cell r="V74">
            <v>0</v>
          </cell>
        </row>
        <row r="75">
          <cell r="A75">
            <v>75</v>
          </cell>
          <cell r="C75">
            <v>1</v>
          </cell>
          <cell r="D75">
            <v>1</v>
          </cell>
          <cell r="E75">
            <v>48831.270000000004</v>
          </cell>
          <cell r="F75">
            <v>48493.75</v>
          </cell>
          <cell r="G75">
            <v>0</v>
          </cell>
          <cell r="H75">
            <v>48831.270000000004</v>
          </cell>
          <cell r="I75">
            <v>0</v>
          </cell>
          <cell r="L75">
            <v>703170</v>
          </cell>
          <cell r="M75">
            <v>0</v>
          </cell>
          <cell r="N75">
            <v>0</v>
          </cell>
          <cell r="O75">
            <v>4001919</v>
          </cell>
          <cell r="Q75">
            <v>0</v>
          </cell>
          <cell r="T75">
            <v>3102673</v>
          </cell>
          <cell r="V75">
            <v>0</v>
          </cell>
        </row>
        <row r="76">
          <cell r="A76">
            <v>76</v>
          </cell>
          <cell r="C76">
            <v>1</v>
          </cell>
          <cell r="D76">
            <v>1</v>
          </cell>
          <cell r="E76">
            <v>269.37</v>
          </cell>
          <cell r="F76">
            <v>266.19</v>
          </cell>
          <cell r="G76">
            <v>265.3</v>
          </cell>
          <cell r="H76">
            <v>269.37</v>
          </cell>
          <cell r="I76">
            <v>265.3</v>
          </cell>
          <cell r="L76">
            <v>0</v>
          </cell>
          <cell r="M76">
            <v>267727</v>
          </cell>
          <cell r="N76">
            <v>73207</v>
          </cell>
          <cell r="O76">
            <v>19026</v>
          </cell>
          <cell r="T76">
            <v>116564</v>
          </cell>
        </row>
        <row r="77">
          <cell r="A77">
            <v>77</v>
          </cell>
          <cell r="C77">
            <v>1</v>
          </cell>
          <cell r="D77">
            <v>1</v>
          </cell>
          <cell r="E77">
            <v>362.12</v>
          </cell>
          <cell r="F77">
            <v>355.49</v>
          </cell>
          <cell r="G77">
            <v>354.84000000000003</v>
          </cell>
          <cell r="H77">
            <v>362.12</v>
          </cell>
          <cell r="I77">
            <v>354.84000000000003</v>
          </cell>
          <cell r="L77">
            <v>5215</v>
          </cell>
          <cell r="M77">
            <v>273710</v>
          </cell>
          <cell r="N77">
            <v>94835</v>
          </cell>
          <cell r="O77">
            <v>7783</v>
          </cell>
          <cell r="Q77">
            <v>0</v>
          </cell>
          <cell r="T77">
            <v>122267</v>
          </cell>
          <cell r="V77">
            <v>0</v>
          </cell>
        </row>
        <row r="78">
          <cell r="E78">
            <v>3234902.4899999998</v>
          </cell>
          <cell r="F78">
            <v>3457442.8399999989</v>
          </cell>
          <cell r="G78">
            <v>3151995.2500000009</v>
          </cell>
          <cell r="H78">
            <v>2805298.4899999998</v>
          </cell>
          <cell r="I78">
            <v>2722391.2500000014</v>
          </cell>
          <cell r="L78">
            <v>456433608</v>
          </cell>
          <cell r="M78">
            <v>290000000</v>
          </cell>
          <cell r="N78">
            <v>842296921</v>
          </cell>
          <cell r="Q78">
            <v>2748622155</v>
          </cell>
          <cell r="T78">
            <v>180000000</v>
          </cell>
        </row>
      </sheetData>
      <sheetData sheetId="2" refreshError="1">
        <row r="1">
          <cell r="A1" t="str">
            <v>ESE Funding Based on the 2001-02 Matrix Levels</v>
          </cell>
        </row>
        <row r="2">
          <cell r="D2" t="str">
            <v>Program 111- Grades K-3</v>
          </cell>
          <cell r="G2" t="str">
            <v>Program 112- Grades 4-8</v>
          </cell>
          <cell r="J2" t="str">
            <v>Program 113- Grades 9-12</v>
          </cell>
        </row>
        <row r="3">
          <cell r="D3" t="str">
            <v xml:space="preserve">ESE LEVEL 1
</v>
          </cell>
          <cell r="E3" t="str">
            <v xml:space="preserve">ESE LEVEL 2
</v>
          </cell>
          <cell r="F3" t="str">
            <v>ESE LEVEL 3</v>
          </cell>
          <cell r="G3" t="str">
            <v>ESE LEVEL 1</v>
          </cell>
          <cell r="H3" t="str">
            <v>ESE LEVEL 2</v>
          </cell>
          <cell r="I3" t="str">
            <v>ESE LEVEL 3</v>
          </cell>
          <cell r="J3" t="str">
            <v>ESE LEVEL 1</v>
          </cell>
          <cell r="K3" t="str">
            <v>ESE LEVEL 2</v>
          </cell>
          <cell r="L3" t="str">
            <v>ESE LEVEL 3</v>
          </cell>
        </row>
        <row r="6">
          <cell r="A6">
            <v>1</v>
          </cell>
          <cell r="D6">
            <v>975</v>
          </cell>
          <cell r="E6">
            <v>3147</v>
          </cell>
          <cell r="F6">
            <v>6422</v>
          </cell>
          <cell r="G6">
            <v>1093</v>
          </cell>
          <cell r="H6">
            <v>3265</v>
          </cell>
          <cell r="I6">
            <v>6540</v>
          </cell>
          <cell r="J6">
            <v>778</v>
          </cell>
          <cell r="K6">
            <v>2950</v>
          </cell>
          <cell r="L6">
            <v>6225</v>
          </cell>
        </row>
        <row r="7">
          <cell r="A7">
            <v>2</v>
          </cell>
          <cell r="D7">
            <v>947</v>
          </cell>
          <cell r="E7">
            <v>3058</v>
          </cell>
          <cell r="F7">
            <v>6241</v>
          </cell>
          <cell r="G7">
            <v>1062</v>
          </cell>
          <cell r="H7">
            <v>3173</v>
          </cell>
          <cell r="I7">
            <v>6356</v>
          </cell>
          <cell r="J7">
            <v>756</v>
          </cell>
          <cell r="K7">
            <v>2867</v>
          </cell>
          <cell r="L7">
            <v>6050</v>
          </cell>
        </row>
        <row r="8">
          <cell r="A8">
            <v>3</v>
          </cell>
          <cell r="D8">
            <v>973</v>
          </cell>
          <cell r="E8">
            <v>3143</v>
          </cell>
          <cell r="F8">
            <v>6414</v>
          </cell>
          <cell r="G8">
            <v>1091</v>
          </cell>
          <cell r="H8">
            <v>3261</v>
          </cell>
          <cell r="I8">
            <v>6532</v>
          </cell>
          <cell r="J8">
            <v>777</v>
          </cell>
          <cell r="K8">
            <v>2946</v>
          </cell>
          <cell r="L8">
            <v>6217</v>
          </cell>
        </row>
        <row r="9">
          <cell r="A9">
            <v>4</v>
          </cell>
          <cell r="D9">
            <v>943</v>
          </cell>
          <cell r="E9">
            <v>3046</v>
          </cell>
          <cell r="F9">
            <v>6215</v>
          </cell>
          <cell r="G9">
            <v>1058</v>
          </cell>
          <cell r="H9">
            <v>3160</v>
          </cell>
          <cell r="I9">
            <v>6329</v>
          </cell>
          <cell r="J9">
            <v>753</v>
          </cell>
          <cell r="K9">
            <v>2855</v>
          </cell>
          <cell r="L9">
            <v>6025</v>
          </cell>
        </row>
        <row r="10">
          <cell r="A10">
            <v>5</v>
          </cell>
          <cell r="D10">
            <v>996</v>
          </cell>
          <cell r="E10">
            <v>3217</v>
          </cell>
          <cell r="F10">
            <v>6565</v>
          </cell>
          <cell r="G10">
            <v>1117</v>
          </cell>
          <cell r="H10">
            <v>3338</v>
          </cell>
          <cell r="I10">
            <v>6686</v>
          </cell>
          <cell r="J10">
            <v>795</v>
          </cell>
          <cell r="K10">
            <v>3016</v>
          </cell>
          <cell r="L10">
            <v>6364</v>
          </cell>
        </row>
        <row r="11">
          <cell r="A11">
            <v>6</v>
          </cell>
          <cell r="D11">
            <v>1058</v>
          </cell>
          <cell r="E11">
            <v>3418</v>
          </cell>
          <cell r="F11">
            <v>6974</v>
          </cell>
          <cell r="G11">
            <v>1187</v>
          </cell>
          <cell r="H11">
            <v>3546</v>
          </cell>
          <cell r="I11">
            <v>7102</v>
          </cell>
          <cell r="J11">
            <v>845</v>
          </cell>
          <cell r="K11">
            <v>3204</v>
          </cell>
          <cell r="L11">
            <v>6760</v>
          </cell>
        </row>
        <row r="12">
          <cell r="A12">
            <v>7</v>
          </cell>
          <cell r="D12">
            <v>927</v>
          </cell>
          <cell r="E12">
            <v>2992</v>
          </cell>
          <cell r="F12">
            <v>6105</v>
          </cell>
          <cell r="G12">
            <v>1039</v>
          </cell>
          <cell r="H12">
            <v>3104</v>
          </cell>
          <cell r="I12">
            <v>6218</v>
          </cell>
          <cell r="J12">
            <v>739</v>
          </cell>
          <cell r="K12">
            <v>2805</v>
          </cell>
          <cell r="L12">
            <v>5918</v>
          </cell>
        </row>
        <row r="13">
          <cell r="A13">
            <v>8</v>
          </cell>
          <cell r="D13">
            <v>984</v>
          </cell>
          <cell r="E13">
            <v>3177</v>
          </cell>
          <cell r="F13">
            <v>6483</v>
          </cell>
          <cell r="G13">
            <v>1103</v>
          </cell>
          <cell r="H13">
            <v>3296</v>
          </cell>
          <cell r="I13">
            <v>6602</v>
          </cell>
          <cell r="J13">
            <v>785</v>
          </cell>
          <cell r="K13">
            <v>2978</v>
          </cell>
          <cell r="L13">
            <v>6284</v>
          </cell>
        </row>
        <row r="14">
          <cell r="A14">
            <v>9</v>
          </cell>
          <cell r="D14">
            <v>948</v>
          </cell>
          <cell r="E14">
            <v>3062</v>
          </cell>
          <cell r="F14">
            <v>6249</v>
          </cell>
          <cell r="G14">
            <v>1063</v>
          </cell>
          <cell r="H14">
            <v>3177</v>
          </cell>
          <cell r="I14">
            <v>6364</v>
          </cell>
          <cell r="J14">
            <v>757</v>
          </cell>
          <cell r="K14">
            <v>2870</v>
          </cell>
          <cell r="L14">
            <v>6057</v>
          </cell>
        </row>
        <row r="15">
          <cell r="A15">
            <v>10</v>
          </cell>
          <cell r="D15">
            <v>982</v>
          </cell>
          <cell r="E15">
            <v>3170</v>
          </cell>
          <cell r="F15">
            <v>6470</v>
          </cell>
          <cell r="G15">
            <v>1101</v>
          </cell>
          <cell r="H15">
            <v>3290</v>
          </cell>
          <cell r="I15">
            <v>6589</v>
          </cell>
          <cell r="J15">
            <v>784</v>
          </cell>
          <cell r="K15">
            <v>2972</v>
          </cell>
          <cell r="L15">
            <v>6272</v>
          </cell>
        </row>
        <row r="16">
          <cell r="A16">
            <v>11</v>
          </cell>
          <cell r="D16">
            <v>1024</v>
          </cell>
          <cell r="E16">
            <v>3306</v>
          </cell>
          <cell r="F16">
            <v>6746</v>
          </cell>
          <cell r="G16">
            <v>1148</v>
          </cell>
          <cell r="H16">
            <v>3430</v>
          </cell>
          <cell r="I16">
            <v>6870</v>
          </cell>
          <cell r="J16">
            <v>817</v>
          </cell>
          <cell r="K16">
            <v>3099</v>
          </cell>
          <cell r="L16">
            <v>6539</v>
          </cell>
        </row>
        <row r="17">
          <cell r="A17">
            <v>12</v>
          </cell>
          <cell r="D17">
            <v>947</v>
          </cell>
          <cell r="E17">
            <v>3059</v>
          </cell>
          <cell r="F17">
            <v>6243</v>
          </cell>
          <cell r="G17">
            <v>1062</v>
          </cell>
          <cell r="H17">
            <v>3174</v>
          </cell>
          <cell r="I17">
            <v>6357</v>
          </cell>
          <cell r="J17">
            <v>756</v>
          </cell>
          <cell r="K17">
            <v>2868</v>
          </cell>
          <cell r="L17">
            <v>6051</v>
          </cell>
        </row>
        <row r="18">
          <cell r="A18">
            <v>13</v>
          </cell>
          <cell r="D18">
            <v>1070</v>
          </cell>
          <cell r="E18">
            <v>3455</v>
          </cell>
          <cell r="F18">
            <v>7050</v>
          </cell>
          <cell r="G18">
            <v>1200</v>
          </cell>
          <cell r="H18">
            <v>3584</v>
          </cell>
          <cell r="I18">
            <v>7179</v>
          </cell>
          <cell r="J18">
            <v>854</v>
          </cell>
          <cell r="K18">
            <v>3238</v>
          </cell>
          <cell r="L18">
            <v>6833</v>
          </cell>
        </row>
        <row r="19">
          <cell r="A19">
            <v>14</v>
          </cell>
          <cell r="D19">
            <v>951</v>
          </cell>
          <cell r="E19">
            <v>3070</v>
          </cell>
          <cell r="F19">
            <v>6265</v>
          </cell>
          <cell r="G19">
            <v>1066</v>
          </cell>
          <cell r="H19">
            <v>3185</v>
          </cell>
          <cell r="I19">
            <v>6380</v>
          </cell>
          <cell r="J19">
            <v>759</v>
          </cell>
          <cell r="K19">
            <v>2878</v>
          </cell>
          <cell r="L19">
            <v>6073</v>
          </cell>
        </row>
        <row r="20">
          <cell r="A20">
            <v>15</v>
          </cell>
          <cell r="D20">
            <v>949</v>
          </cell>
          <cell r="E20">
            <v>3065</v>
          </cell>
          <cell r="F20">
            <v>6255</v>
          </cell>
          <cell r="G20">
            <v>1064</v>
          </cell>
          <cell r="H20">
            <v>3180</v>
          </cell>
          <cell r="I20">
            <v>6370</v>
          </cell>
          <cell r="J20">
            <v>758</v>
          </cell>
          <cell r="K20">
            <v>2874</v>
          </cell>
          <cell r="L20">
            <v>6063</v>
          </cell>
        </row>
        <row r="21">
          <cell r="A21">
            <v>16</v>
          </cell>
          <cell r="D21">
            <v>994</v>
          </cell>
          <cell r="E21">
            <v>3209</v>
          </cell>
          <cell r="F21">
            <v>6549</v>
          </cell>
          <cell r="G21">
            <v>1114</v>
          </cell>
          <cell r="H21">
            <v>3330</v>
          </cell>
          <cell r="I21">
            <v>6669</v>
          </cell>
          <cell r="J21">
            <v>793</v>
          </cell>
          <cell r="K21">
            <v>3008</v>
          </cell>
          <cell r="L21">
            <v>6348</v>
          </cell>
        </row>
        <row r="22">
          <cell r="A22">
            <v>17</v>
          </cell>
          <cell r="D22">
            <v>966</v>
          </cell>
          <cell r="E22">
            <v>3118</v>
          </cell>
          <cell r="F22">
            <v>6363</v>
          </cell>
          <cell r="G22">
            <v>1083</v>
          </cell>
          <cell r="H22">
            <v>3235</v>
          </cell>
          <cell r="I22">
            <v>6480</v>
          </cell>
          <cell r="J22">
            <v>771</v>
          </cell>
          <cell r="K22">
            <v>2923</v>
          </cell>
          <cell r="L22">
            <v>6168</v>
          </cell>
        </row>
        <row r="23">
          <cell r="A23">
            <v>18</v>
          </cell>
          <cell r="D23">
            <v>975</v>
          </cell>
          <cell r="E23">
            <v>3148</v>
          </cell>
          <cell r="F23">
            <v>6424</v>
          </cell>
          <cell r="G23">
            <v>1093</v>
          </cell>
          <cell r="H23">
            <v>3266</v>
          </cell>
          <cell r="I23">
            <v>6542</v>
          </cell>
          <cell r="J23">
            <v>778</v>
          </cell>
          <cell r="K23">
            <v>2951</v>
          </cell>
          <cell r="L23">
            <v>6227</v>
          </cell>
        </row>
        <row r="24">
          <cell r="A24">
            <v>19</v>
          </cell>
          <cell r="D24">
            <v>975</v>
          </cell>
          <cell r="E24">
            <v>3149</v>
          </cell>
          <cell r="F24">
            <v>6426</v>
          </cell>
          <cell r="G24">
            <v>1094</v>
          </cell>
          <cell r="H24">
            <v>3267</v>
          </cell>
          <cell r="I24">
            <v>6545</v>
          </cell>
          <cell r="J24">
            <v>778</v>
          </cell>
          <cell r="K24">
            <v>2952</v>
          </cell>
          <cell r="L24">
            <v>6229</v>
          </cell>
        </row>
        <row r="25">
          <cell r="A25">
            <v>20</v>
          </cell>
          <cell r="D25">
            <v>954</v>
          </cell>
          <cell r="E25">
            <v>3080</v>
          </cell>
          <cell r="F25">
            <v>6286</v>
          </cell>
          <cell r="G25">
            <v>1070</v>
          </cell>
          <cell r="H25">
            <v>3196</v>
          </cell>
          <cell r="I25">
            <v>6402</v>
          </cell>
          <cell r="J25">
            <v>761</v>
          </cell>
          <cell r="K25">
            <v>2888</v>
          </cell>
          <cell r="L25">
            <v>6093</v>
          </cell>
        </row>
        <row r="26">
          <cell r="A26">
            <v>21</v>
          </cell>
          <cell r="D26">
            <v>950</v>
          </cell>
          <cell r="E26">
            <v>3068</v>
          </cell>
          <cell r="F26">
            <v>6261</v>
          </cell>
          <cell r="G26">
            <v>1065</v>
          </cell>
          <cell r="H26">
            <v>3183</v>
          </cell>
          <cell r="I26">
            <v>6376</v>
          </cell>
          <cell r="J26">
            <v>758</v>
          </cell>
          <cell r="K26">
            <v>2876</v>
          </cell>
          <cell r="L26">
            <v>6069</v>
          </cell>
        </row>
        <row r="27">
          <cell r="A27">
            <v>22</v>
          </cell>
          <cell r="D27">
            <v>975</v>
          </cell>
          <cell r="E27">
            <v>3149</v>
          </cell>
          <cell r="F27">
            <v>6426</v>
          </cell>
          <cell r="G27">
            <v>1094</v>
          </cell>
          <cell r="H27">
            <v>3267</v>
          </cell>
          <cell r="I27">
            <v>6545</v>
          </cell>
          <cell r="J27">
            <v>778</v>
          </cell>
          <cell r="K27">
            <v>2952</v>
          </cell>
          <cell r="L27">
            <v>6229</v>
          </cell>
        </row>
        <row r="28">
          <cell r="A28">
            <v>23</v>
          </cell>
          <cell r="D28">
            <v>952</v>
          </cell>
          <cell r="E28">
            <v>3075</v>
          </cell>
          <cell r="F28">
            <v>6275</v>
          </cell>
          <cell r="G28">
            <v>1068</v>
          </cell>
          <cell r="H28">
            <v>3190</v>
          </cell>
          <cell r="I28">
            <v>6390</v>
          </cell>
          <cell r="J28">
            <v>760</v>
          </cell>
          <cell r="K28">
            <v>2882</v>
          </cell>
          <cell r="L28">
            <v>6082</v>
          </cell>
        </row>
        <row r="29">
          <cell r="A29">
            <v>24</v>
          </cell>
          <cell r="D29">
            <v>947</v>
          </cell>
          <cell r="E29">
            <v>3059</v>
          </cell>
          <cell r="F29">
            <v>6243</v>
          </cell>
          <cell r="G29">
            <v>1062</v>
          </cell>
          <cell r="H29">
            <v>3174</v>
          </cell>
          <cell r="I29">
            <v>6357</v>
          </cell>
          <cell r="J29">
            <v>756</v>
          </cell>
          <cell r="K29">
            <v>2868</v>
          </cell>
          <cell r="L29">
            <v>6051</v>
          </cell>
        </row>
        <row r="30">
          <cell r="A30">
            <v>25</v>
          </cell>
          <cell r="D30">
            <v>946</v>
          </cell>
          <cell r="E30">
            <v>3054</v>
          </cell>
          <cell r="F30">
            <v>6233</v>
          </cell>
          <cell r="G30">
            <v>1061</v>
          </cell>
          <cell r="H30">
            <v>3169</v>
          </cell>
          <cell r="I30">
            <v>6348</v>
          </cell>
          <cell r="J30">
            <v>755</v>
          </cell>
          <cell r="K30">
            <v>2863</v>
          </cell>
          <cell r="L30">
            <v>6042</v>
          </cell>
        </row>
        <row r="31">
          <cell r="A31">
            <v>26</v>
          </cell>
          <cell r="D31">
            <v>968</v>
          </cell>
          <cell r="E31">
            <v>3125</v>
          </cell>
          <cell r="F31">
            <v>6376</v>
          </cell>
          <cell r="G31">
            <v>1085</v>
          </cell>
          <cell r="H31">
            <v>3242</v>
          </cell>
          <cell r="I31">
            <v>6494</v>
          </cell>
          <cell r="J31">
            <v>772</v>
          </cell>
          <cell r="K31">
            <v>2929</v>
          </cell>
          <cell r="L31">
            <v>6181</v>
          </cell>
        </row>
        <row r="32">
          <cell r="A32">
            <v>27</v>
          </cell>
          <cell r="D32">
            <v>961</v>
          </cell>
          <cell r="E32">
            <v>3102</v>
          </cell>
          <cell r="F32">
            <v>6330</v>
          </cell>
          <cell r="G32">
            <v>1077</v>
          </cell>
          <cell r="H32">
            <v>3218</v>
          </cell>
          <cell r="I32">
            <v>6447</v>
          </cell>
          <cell r="J32">
            <v>767</v>
          </cell>
          <cell r="K32">
            <v>2908</v>
          </cell>
          <cell r="L32">
            <v>6136</v>
          </cell>
        </row>
        <row r="33">
          <cell r="A33">
            <v>28</v>
          </cell>
          <cell r="D33">
            <v>964</v>
          </cell>
          <cell r="E33">
            <v>3114</v>
          </cell>
          <cell r="F33">
            <v>6355</v>
          </cell>
          <cell r="G33">
            <v>1081</v>
          </cell>
          <cell r="H33">
            <v>3231</v>
          </cell>
          <cell r="I33">
            <v>6472</v>
          </cell>
          <cell r="J33">
            <v>770</v>
          </cell>
          <cell r="K33">
            <v>2919</v>
          </cell>
          <cell r="L33">
            <v>6160</v>
          </cell>
        </row>
        <row r="34">
          <cell r="A34">
            <v>29</v>
          </cell>
          <cell r="D34">
            <v>1016</v>
          </cell>
          <cell r="E34">
            <v>3282</v>
          </cell>
          <cell r="F34">
            <v>6697</v>
          </cell>
          <cell r="G34">
            <v>1139</v>
          </cell>
          <cell r="H34">
            <v>3405</v>
          </cell>
          <cell r="I34">
            <v>6820</v>
          </cell>
          <cell r="J34">
            <v>811</v>
          </cell>
          <cell r="K34">
            <v>3076</v>
          </cell>
          <cell r="L34">
            <v>6491</v>
          </cell>
        </row>
        <row r="35">
          <cell r="A35">
            <v>30</v>
          </cell>
          <cell r="D35">
            <v>946</v>
          </cell>
          <cell r="E35">
            <v>3056</v>
          </cell>
          <cell r="F35">
            <v>6237</v>
          </cell>
          <cell r="G35">
            <v>1061</v>
          </cell>
          <cell r="H35">
            <v>3171</v>
          </cell>
          <cell r="I35">
            <v>6351</v>
          </cell>
          <cell r="J35">
            <v>755</v>
          </cell>
          <cell r="K35">
            <v>2865</v>
          </cell>
          <cell r="L35">
            <v>6045</v>
          </cell>
        </row>
        <row r="36">
          <cell r="A36">
            <v>31</v>
          </cell>
          <cell r="D36">
            <v>999</v>
          </cell>
          <cell r="E36">
            <v>3227</v>
          </cell>
          <cell r="F36">
            <v>6586</v>
          </cell>
          <cell r="G36">
            <v>1121</v>
          </cell>
          <cell r="H36">
            <v>3348</v>
          </cell>
          <cell r="I36">
            <v>6707</v>
          </cell>
          <cell r="J36">
            <v>798</v>
          </cell>
          <cell r="K36">
            <v>3025</v>
          </cell>
          <cell r="L36">
            <v>6384</v>
          </cell>
        </row>
        <row r="37">
          <cell r="A37">
            <v>32</v>
          </cell>
          <cell r="D37">
            <v>934</v>
          </cell>
          <cell r="E37">
            <v>3015</v>
          </cell>
          <cell r="F37">
            <v>6154</v>
          </cell>
          <cell r="G37">
            <v>1047</v>
          </cell>
          <cell r="H37">
            <v>3129</v>
          </cell>
          <cell r="I37">
            <v>6267</v>
          </cell>
          <cell r="J37">
            <v>745</v>
          </cell>
          <cell r="K37">
            <v>2827</v>
          </cell>
          <cell r="L37">
            <v>5965</v>
          </cell>
        </row>
        <row r="38">
          <cell r="A38">
            <v>33</v>
          </cell>
          <cell r="D38">
            <v>969</v>
          </cell>
          <cell r="E38">
            <v>3129</v>
          </cell>
          <cell r="F38">
            <v>6385</v>
          </cell>
          <cell r="G38">
            <v>1086</v>
          </cell>
          <cell r="H38">
            <v>3246</v>
          </cell>
          <cell r="I38">
            <v>6502</v>
          </cell>
          <cell r="J38">
            <v>773</v>
          </cell>
          <cell r="K38">
            <v>2933</v>
          </cell>
          <cell r="L38">
            <v>6189</v>
          </cell>
        </row>
        <row r="39">
          <cell r="A39">
            <v>34</v>
          </cell>
          <cell r="D39">
            <v>952</v>
          </cell>
          <cell r="E39">
            <v>3074</v>
          </cell>
          <cell r="F39">
            <v>6273</v>
          </cell>
          <cell r="G39">
            <v>1067</v>
          </cell>
          <cell r="H39">
            <v>3190</v>
          </cell>
          <cell r="I39">
            <v>6389</v>
          </cell>
          <cell r="J39">
            <v>760</v>
          </cell>
          <cell r="K39">
            <v>2882</v>
          </cell>
          <cell r="L39">
            <v>6081</v>
          </cell>
        </row>
        <row r="40">
          <cell r="A40">
            <v>35</v>
          </cell>
          <cell r="D40">
            <v>974</v>
          </cell>
          <cell r="E40">
            <v>3144</v>
          </cell>
          <cell r="F40">
            <v>6416</v>
          </cell>
          <cell r="G40">
            <v>1092</v>
          </cell>
          <cell r="H40">
            <v>3262</v>
          </cell>
          <cell r="I40">
            <v>6534</v>
          </cell>
          <cell r="J40">
            <v>777</v>
          </cell>
          <cell r="K40">
            <v>2947</v>
          </cell>
          <cell r="L40">
            <v>6219</v>
          </cell>
        </row>
        <row r="41">
          <cell r="A41">
            <v>36</v>
          </cell>
          <cell r="D41">
            <v>992</v>
          </cell>
          <cell r="E41">
            <v>3203</v>
          </cell>
          <cell r="F41">
            <v>6535</v>
          </cell>
          <cell r="G41">
            <v>1112</v>
          </cell>
          <cell r="H41">
            <v>3323</v>
          </cell>
          <cell r="I41">
            <v>6656</v>
          </cell>
          <cell r="J41">
            <v>791</v>
          </cell>
          <cell r="K41">
            <v>3002</v>
          </cell>
          <cell r="L41">
            <v>6335</v>
          </cell>
        </row>
        <row r="42">
          <cell r="A42">
            <v>37</v>
          </cell>
          <cell r="D42">
            <v>986</v>
          </cell>
          <cell r="E42">
            <v>3184</v>
          </cell>
          <cell r="F42">
            <v>6498</v>
          </cell>
          <cell r="G42">
            <v>1106</v>
          </cell>
          <cell r="H42">
            <v>3304</v>
          </cell>
          <cell r="I42">
            <v>6618</v>
          </cell>
          <cell r="J42">
            <v>787</v>
          </cell>
          <cell r="K42">
            <v>2985</v>
          </cell>
          <cell r="L42">
            <v>6299</v>
          </cell>
        </row>
        <row r="43">
          <cell r="A43">
            <v>38</v>
          </cell>
          <cell r="D43">
            <v>946</v>
          </cell>
          <cell r="E43">
            <v>3054</v>
          </cell>
          <cell r="F43">
            <v>6231</v>
          </cell>
          <cell r="G43">
            <v>1060</v>
          </cell>
          <cell r="H43">
            <v>3168</v>
          </cell>
          <cell r="I43">
            <v>6346</v>
          </cell>
          <cell r="J43">
            <v>755</v>
          </cell>
          <cell r="K43">
            <v>2862</v>
          </cell>
          <cell r="L43">
            <v>6040</v>
          </cell>
        </row>
        <row r="44">
          <cell r="A44">
            <v>39</v>
          </cell>
          <cell r="D44">
            <v>942</v>
          </cell>
          <cell r="E44">
            <v>3042</v>
          </cell>
          <cell r="F44">
            <v>6208</v>
          </cell>
          <cell r="G44">
            <v>1056</v>
          </cell>
          <cell r="H44">
            <v>3156</v>
          </cell>
          <cell r="I44">
            <v>6322</v>
          </cell>
          <cell r="J44">
            <v>752</v>
          </cell>
          <cell r="K44">
            <v>2852</v>
          </cell>
          <cell r="L44">
            <v>6017</v>
          </cell>
        </row>
        <row r="45">
          <cell r="A45">
            <v>40</v>
          </cell>
          <cell r="D45">
            <v>950</v>
          </cell>
          <cell r="E45">
            <v>3068</v>
          </cell>
          <cell r="F45">
            <v>6261</v>
          </cell>
          <cell r="G45">
            <v>1065</v>
          </cell>
          <cell r="H45">
            <v>3183</v>
          </cell>
          <cell r="I45">
            <v>6376</v>
          </cell>
          <cell r="J45">
            <v>758</v>
          </cell>
          <cell r="K45">
            <v>2876</v>
          </cell>
          <cell r="L45">
            <v>6069</v>
          </cell>
        </row>
        <row r="46">
          <cell r="A46">
            <v>41</v>
          </cell>
          <cell r="D46">
            <v>1011</v>
          </cell>
          <cell r="E46">
            <v>3266</v>
          </cell>
          <cell r="F46">
            <v>6664</v>
          </cell>
          <cell r="G46">
            <v>1134</v>
          </cell>
          <cell r="H46">
            <v>3388</v>
          </cell>
          <cell r="I46">
            <v>6787</v>
          </cell>
          <cell r="J46">
            <v>807</v>
          </cell>
          <cell r="K46">
            <v>3062</v>
          </cell>
          <cell r="L46">
            <v>6460</v>
          </cell>
        </row>
        <row r="47">
          <cell r="A47">
            <v>42</v>
          </cell>
          <cell r="D47">
            <v>962</v>
          </cell>
          <cell r="E47">
            <v>3107</v>
          </cell>
          <cell r="F47">
            <v>6341</v>
          </cell>
          <cell r="G47">
            <v>1079</v>
          </cell>
          <cell r="H47">
            <v>3224</v>
          </cell>
          <cell r="I47">
            <v>6457</v>
          </cell>
          <cell r="J47">
            <v>768</v>
          </cell>
          <cell r="K47">
            <v>2913</v>
          </cell>
          <cell r="L47">
            <v>6146</v>
          </cell>
        </row>
        <row r="48">
          <cell r="A48">
            <v>43</v>
          </cell>
          <cell r="D48">
            <v>1008</v>
          </cell>
          <cell r="E48">
            <v>3255</v>
          </cell>
          <cell r="F48">
            <v>6643</v>
          </cell>
          <cell r="G48">
            <v>1130</v>
          </cell>
          <cell r="H48">
            <v>3378</v>
          </cell>
          <cell r="I48">
            <v>6765</v>
          </cell>
          <cell r="J48">
            <v>805</v>
          </cell>
          <cell r="K48">
            <v>3052</v>
          </cell>
          <cell r="L48">
            <v>6439</v>
          </cell>
        </row>
        <row r="49">
          <cell r="A49">
            <v>44</v>
          </cell>
          <cell r="D49">
            <v>1098</v>
          </cell>
          <cell r="E49">
            <v>3545</v>
          </cell>
          <cell r="F49">
            <v>7233</v>
          </cell>
          <cell r="G49">
            <v>1231</v>
          </cell>
          <cell r="H49">
            <v>3678</v>
          </cell>
          <cell r="I49">
            <v>7367</v>
          </cell>
          <cell r="J49">
            <v>876</v>
          </cell>
          <cell r="K49">
            <v>3323</v>
          </cell>
          <cell r="L49">
            <v>7012</v>
          </cell>
        </row>
        <row r="50">
          <cell r="A50">
            <v>45</v>
          </cell>
          <cell r="D50">
            <v>964</v>
          </cell>
          <cell r="E50">
            <v>3112</v>
          </cell>
          <cell r="F50">
            <v>6351</v>
          </cell>
          <cell r="G50">
            <v>1081</v>
          </cell>
          <cell r="H50">
            <v>3229</v>
          </cell>
          <cell r="I50">
            <v>6468</v>
          </cell>
          <cell r="J50">
            <v>769</v>
          </cell>
          <cell r="K50">
            <v>2917</v>
          </cell>
          <cell r="L50">
            <v>6156</v>
          </cell>
        </row>
        <row r="51">
          <cell r="A51">
            <v>46</v>
          </cell>
          <cell r="D51">
            <v>977</v>
          </cell>
          <cell r="E51">
            <v>3154</v>
          </cell>
          <cell r="F51">
            <v>6437</v>
          </cell>
          <cell r="G51">
            <v>1095</v>
          </cell>
          <cell r="H51">
            <v>3273</v>
          </cell>
          <cell r="I51">
            <v>6556</v>
          </cell>
          <cell r="J51">
            <v>780</v>
          </cell>
          <cell r="K51">
            <v>2957</v>
          </cell>
          <cell r="L51">
            <v>6240</v>
          </cell>
        </row>
        <row r="52">
          <cell r="A52">
            <v>47</v>
          </cell>
          <cell r="D52">
            <v>973</v>
          </cell>
          <cell r="E52">
            <v>3142</v>
          </cell>
          <cell r="F52">
            <v>6412</v>
          </cell>
          <cell r="G52">
            <v>1091</v>
          </cell>
          <cell r="H52">
            <v>3260</v>
          </cell>
          <cell r="I52">
            <v>6530</v>
          </cell>
          <cell r="J52">
            <v>777</v>
          </cell>
          <cell r="K52">
            <v>2946</v>
          </cell>
          <cell r="L52">
            <v>6216</v>
          </cell>
        </row>
        <row r="53">
          <cell r="A53">
            <v>48</v>
          </cell>
          <cell r="D53">
            <v>1015</v>
          </cell>
          <cell r="E53">
            <v>3278</v>
          </cell>
          <cell r="F53">
            <v>6689</v>
          </cell>
          <cell r="G53">
            <v>1138</v>
          </cell>
          <cell r="H53">
            <v>3401</v>
          </cell>
          <cell r="I53">
            <v>6812</v>
          </cell>
          <cell r="J53">
            <v>810</v>
          </cell>
          <cell r="K53">
            <v>3073</v>
          </cell>
          <cell r="L53">
            <v>6483</v>
          </cell>
        </row>
        <row r="54">
          <cell r="A54">
            <v>49</v>
          </cell>
          <cell r="D54">
            <v>982</v>
          </cell>
          <cell r="E54">
            <v>3170</v>
          </cell>
          <cell r="F54">
            <v>6470</v>
          </cell>
          <cell r="G54">
            <v>1101</v>
          </cell>
          <cell r="H54">
            <v>3290</v>
          </cell>
          <cell r="I54">
            <v>6589</v>
          </cell>
          <cell r="J54">
            <v>784</v>
          </cell>
          <cell r="K54">
            <v>2972</v>
          </cell>
          <cell r="L54">
            <v>6272</v>
          </cell>
        </row>
        <row r="55">
          <cell r="A55">
            <v>50</v>
          </cell>
          <cell r="D55">
            <v>1047</v>
          </cell>
          <cell r="E55">
            <v>3380</v>
          </cell>
          <cell r="F55">
            <v>6896</v>
          </cell>
          <cell r="G55">
            <v>1173</v>
          </cell>
          <cell r="H55">
            <v>3506</v>
          </cell>
          <cell r="I55">
            <v>7023</v>
          </cell>
          <cell r="J55">
            <v>835</v>
          </cell>
          <cell r="K55">
            <v>3168</v>
          </cell>
          <cell r="L55">
            <v>6685</v>
          </cell>
        </row>
        <row r="56">
          <cell r="A56">
            <v>51</v>
          </cell>
          <cell r="D56">
            <v>974</v>
          </cell>
          <cell r="E56">
            <v>3145</v>
          </cell>
          <cell r="F56">
            <v>6418</v>
          </cell>
          <cell r="G56">
            <v>1092</v>
          </cell>
          <cell r="H56">
            <v>3263</v>
          </cell>
          <cell r="I56">
            <v>6536</v>
          </cell>
          <cell r="J56">
            <v>777</v>
          </cell>
          <cell r="K56">
            <v>2948</v>
          </cell>
          <cell r="L56">
            <v>6221</v>
          </cell>
        </row>
        <row r="57">
          <cell r="A57">
            <v>52</v>
          </cell>
          <cell r="D57">
            <v>1039</v>
          </cell>
          <cell r="E57">
            <v>3355</v>
          </cell>
          <cell r="F57">
            <v>6847</v>
          </cell>
          <cell r="G57">
            <v>1165</v>
          </cell>
          <cell r="H57">
            <v>3481</v>
          </cell>
          <cell r="I57">
            <v>6973</v>
          </cell>
          <cell r="J57">
            <v>829</v>
          </cell>
          <cell r="K57">
            <v>3145</v>
          </cell>
          <cell r="L57">
            <v>6637</v>
          </cell>
        </row>
        <row r="58">
          <cell r="A58">
            <v>53</v>
          </cell>
          <cell r="D58">
            <v>978</v>
          </cell>
          <cell r="E58">
            <v>3159</v>
          </cell>
          <cell r="F58">
            <v>6446</v>
          </cell>
          <cell r="G58">
            <v>1097</v>
          </cell>
          <cell r="H58">
            <v>3278</v>
          </cell>
          <cell r="I58">
            <v>6565</v>
          </cell>
          <cell r="J58">
            <v>781</v>
          </cell>
          <cell r="K58">
            <v>2961</v>
          </cell>
          <cell r="L58">
            <v>6249</v>
          </cell>
        </row>
        <row r="59">
          <cell r="A59">
            <v>54</v>
          </cell>
          <cell r="D59">
            <v>954</v>
          </cell>
          <cell r="E59">
            <v>3079</v>
          </cell>
          <cell r="F59">
            <v>6283</v>
          </cell>
          <cell r="G59">
            <v>1069</v>
          </cell>
          <cell r="H59">
            <v>3195</v>
          </cell>
          <cell r="I59">
            <v>6399</v>
          </cell>
          <cell r="J59">
            <v>761</v>
          </cell>
          <cell r="K59">
            <v>2886</v>
          </cell>
          <cell r="L59">
            <v>6091</v>
          </cell>
        </row>
        <row r="60">
          <cell r="A60">
            <v>55</v>
          </cell>
          <cell r="D60">
            <v>994</v>
          </cell>
          <cell r="E60">
            <v>3208</v>
          </cell>
          <cell r="F60">
            <v>6547</v>
          </cell>
          <cell r="G60">
            <v>1114</v>
          </cell>
          <cell r="H60">
            <v>3329</v>
          </cell>
          <cell r="I60">
            <v>6668</v>
          </cell>
          <cell r="J60">
            <v>793</v>
          </cell>
          <cell r="K60">
            <v>3008</v>
          </cell>
          <cell r="L60">
            <v>6347</v>
          </cell>
        </row>
        <row r="61">
          <cell r="A61">
            <v>56</v>
          </cell>
          <cell r="D61">
            <v>978</v>
          </cell>
          <cell r="E61">
            <v>3158</v>
          </cell>
          <cell r="F61">
            <v>6444</v>
          </cell>
          <cell r="G61">
            <v>1097</v>
          </cell>
          <cell r="H61">
            <v>3277</v>
          </cell>
          <cell r="I61">
            <v>6563</v>
          </cell>
          <cell r="J61">
            <v>780</v>
          </cell>
          <cell r="K61">
            <v>2960</v>
          </cell>
          <cell r="L61">
            <v>6247</v>
          </cell>
        </row>
        <row r="62">
          <cell r="A62">
            <v>57</v>
          </cell>
          <cell r="D62">
            <v>952</v>
          </cell>
          <cell r="E62">
            <v>3074</v>
          </cell>
          <cell r="F62">
            <v>6273</v>
          </cell>
          <cell r="G62">
            <v>1067</v>
          </cell>
          <cell r="H62">
            <v>3190</v>
          </cell>
          <cell r="I62">
            <v>6389</v>
          </cell>
          <cell r="J62">
            <v>760</v>
          </cell>
          <cell r="K62">
            <v>2882</v>
          </cell>
          <cell r="L62">
            <v>6081</v>
          </cell>
        </row>
        <row r="63">
          <cell r="A63">
            <v>58</v>
          </cell>
          <cell r="D63">
            <v>1028</v>
          </cell>
          <cell r="E63">
            <v>3318</v>
          </cell>
          <cell r="F63">
            <v>6771</v>
          </cell>
          <cell r="G63">
            <v>1152</v>
          </cell>
          <cell r="H63">
            <v>3442</v>
          </cell>
          <cell r="I63">
            <v>6895</v>
          </cell>
          <cell r="J63">
            <v>820</v>
          </cell>
          <cell r="K63">
            <v>3110</v>
          </cell>
          <cell r="L63">
            <v>6563</v>
          </cell>
        </row>
        <row r="64">
          <cell r="A64">
            <v>59</v>
          </cell>
          <cell r="D64">
            <v>1009</v>
          </cell>
          <cell r="E64">
            <v>3258</v>
          </cell>
          <cell r="F64">
            <v>6648</v>
          </cell>
          <cell r="G64">
            <v>1131</v>
          </cell>
          <cell r="H64">
            <v>3380</v>
          </cell>
          <cell r="I64">
            <v>6771</v>
          </cell>
          <cell r="J64">
            <v>805</v>
          </cell>
          <cell r="K64">
            <v>3054</v>
          </cell>
          <cell r="L64">
            <v>6445</v>
          </cell>
        </row>
        <row r="65">
          <cell r="A65">
            <v>60</v>
          </cell>
          <cell r="D65">
            <v>936</v>
          </cell>
          <cell r="E65">
            <v>3021</v>
          </cell>
          <cell r="F65">
            <v>6164</v>
          </cell>
          <cell r="G65">
            <v>1049</v>
          </cell>
          <cell r="H65">
            <v>3134</v>
          </cell>
          <cell r="I65">
            <v>6278</v>
          </cell>
          <cell r="J65">
            <v>747</v>
          </cell>
          <cell r="K65">
            <v>2832</v>
          </cell>
          <cell r="L65">
            <v>5975</v>
          </cell>
        </row>
        <row r="66">
          <cell r="A66">
            <v>61</v>
          </cell>
          <cell r="D66">
            <v>943</v>
          </cell>
          <cell r="E66">
            <v>3045</v>
          </cell>
          <cell r="F66">
            <v>6214</v>
          </cell>
          <cell r="G66">
            <v>1057</v>
          </cell>
          <cell r="H66">
            <v>3159</v>
          </cell>
          <cell r="I66">
            <v>6328</v>
          </cell>
          <cell r="J66">
            <v>753</v>
          </cell>
          <cell r="K66">
            <v>2854</v>
          </cell>
          <cell r="L66">
            <v>6023</v>
          </cell>
        </row>
        <row r="67">
          <cell r="A67">
            <v>62</v>
          </cell>
          <cell r="D67">
            <v>964</v>
          </cell>
          <cell r="E67">
            <v>3112</v>
          </cell>
          <cell r="F67">
            <v>6352</v>
          </cell>
          <cell r="G67">
            <v>1081</v>
          </cell>
          <cell r="H67">
            <v>3229</v>
          </cell>
          <cell r="I67">
            <v>6468</v>
          </cell>
          <cell r="J67">
            <v>769</v>
          </cell>
          <cell r="K67">
            <v>2918</v>
          </cell>
          <cell r="L67">
            <v>6157</v>
          </cell>
        </row>
        <row r="68">
          <cell r="A68">
            <v>63</v>
          </cell>
          <cell r="D68">
            <v>945</v>
          </cell>
          <cell r="E68">
            <v>3052</v>
          </cell>
          <cell r="F68">
            <v>6228</v>
          </cell>
          <cell r="G68">
            <v>1060</v>
          </cell>
          <cell r="H68">
            <v>3166</v>
          </cell>
          <cell r="I68">
            <v>6342</v>
          </cell>
          <cell r="J68">
            <v>754</v>
          </cell>
          <cell r="K68">
            <v>2861</v>
          </cell>
          <cell r="L68">
            <v>6037</v>
          </cell>
        </row>
        <row r="69">
          <cell r="A69">
            <v>64</v>
          </cell>
          <cell r="D69">
            <v>979</v>
          </cell>
          <cell r="E69">
            <v>3161</v>
          </cell>
          <cell r="F69">
            <v>6451</v>
          </cell>
          <cell r="G69">
            <v>1098</v>
          </cell>
          <cell r="H69">
            <v>3280</v>
          </cell>
          <cell r="I69">
            <v>6569</v>
          </cell>
          <cell r="J69">
            <v>781</v>
          </cell>
          <cell r="K69">
            <v>2963</v>
          </cell>
          <cell r="L69">
            <v>6253</v>
          </cell>
        </row>
        <row r="70">
          <cell r="A70">
            <v>65</v>
          </cell>
          <cell r="D70">
            <v>957</v>
          </cell>
          <cell r="E70">
            <v>3090</v>
          </cell>
          <cell r="F70">
            <v>6305</v>
          </cell>
          <cell r="G70">
            <v>1073</v>
          </cell>
          <cell r="H70">
            <v>3206</v>
          </cell>
          <cell r="I70">
            <v>6421</v>
          </cell>
          <cell r="J70">
            <v>764</v>
          </cell>
          <cell r="K70">
            <v>2897</v>
          </cell>
          <cell r="L70">
            <v>6112</v>
          </cell>
        </row>
        <row r="71">
          <cell r="A71">
            <v>66</v>
          </cell>
          <cell r="D71">
            <v>951</v>
          </cell>
          <cell r="E71">
            <v>3071</v>
          </cell>
          <cell r="F71">
            <v>6267</v>
          </cell>
          <cell r="G71">
            <v>1066</v>
          </cell>
          <cell r="H71">
            <v>3186</v>
          </cell>
          <cell r="I71">
            <v>6382</v>
          </cell>
          <cell r="J71">
            <v>759</v>
          </cell>
          <cell r="K71">
            <v>2879</v>
          </cell>
          <cell r="L71">
            <v>6074</v>
          </cell>
        </row>
        <row r="72">
          <cell r="A72">
            <v>67</v>
          </cell>
          <cell r="D72">
            <v>923</v>
          </cell>
          <cell r="E72">
            <v>2981</v>
          </cell>
          <cell r="F72">
            <v>6083</v>
          </cell>
          <cell r="G72">
            <v>1035</v>
          </cell>
          <cell r="H72">
            <v>3093</v>
          </cell>
          <cell r="I72">
            <v>6195</v>
          </cell>
          <cell r="J72">
            <v>737</v>
          </cell>
          <cell r="K72">
            <v>2794</v>
          </cell>
          <cell r="L72">
            <v>5896</v>
          </cell>
        </row>
        <row r="73">
          <cell r="A73">
            <v>68</v>
          </cell>
          <cell r="D73">
            <v>923</v>
          </cell>
          <cell r="E73">
            <v>2981</v>
          </cell>
          <cell r="F73">
            <v>6083</v>
          </cell>
          <cell r="G73">
            <v>1035</v>
          </cell>
          <cell r="H73">
            <v>3093</v>
          </cell>
          <cell r="I73">
            <v>6195</v>
          </cell>
          <cell r="J73">
            <v>737</v>
          </cell>
          <cell r="K73">
            <v>2794</v>
          </cell>
          <cell r="L73">
            <v>5896</v>
          </cell>
        </row>
        <row r="74">
          <cell r="A74">
            <v>69</v>
          </cell>
          <cell r="D74">
            <v>986</v>
          </cell>
          <cell r="E74">
            <v>3184</v>
          </cell>
          <cell r="F74">
            <v>6498</v>
          </cell>
          <cell r="G74">
            <v>1106</v>
          </cell>
          <cell r="H74">
            <v>3304</v>
          </cell>
          <cell r="I74">
            <v>6618</v>
          </cell>
          <cell r="J74">
            <v>787</v>
          </cell>
          <cell r="K74">
            <v>2985</v>
          </cell>
          <cell r="L74">
            <v>6299</v>
          </cell>
        </row>
        <row r="75">
          <cell r="A75">
            <v>70</v>
          </cell>
          <cell r="D75">
            <v>1047</v>
          </cell>
          <cell r="E75">
            <v>3380</v>
          </cell>
          <cell r="F75">
            <v>6896</v>
          </cell>
          <cell r="G75">
            <v>1173</v>
          </cell>
          <cell r="H75">
            <v>3506</v>
          </cell>
          <cell r="I75">
            <v>7023</v>
          </cell>
          <cell r="J75">
            <v>835</v>
          </cell>
          <cell r="K75">
            <v>3168</v>
          </cell>
          <cell r="L75">
            <v>6685</v>
          </cell>
        </row>
        <row r="76">
          <cell r="A76">
            <v>71</v>
          </cell>
          <cell r="D76">
            <v>978</v>
          </cell>
          <cell r="E76">
            <v>3158</v>
          </cell>
          <cell r="F76">
            <v>6444</v>
          </cell>
          <cell r="G76">
            <v>1097</v>
          </cell>
          <cell r="H76">
            <v>3277</v>
          </cell>
          <cell r="I76">
            <v>6563</v>
          </cell>
          <cell r="J76">
            <v>780</v>
          </cell>
          <cell r="K76">
            <v>2960</v>
          </cell>
          <cell r="L76">
            <v>6247</v>
          </cell>
        </row>
        <row r="77">
          <cell r="A77">
            <v>72</v>
          </cell>
          <cell r="D77">
            <v>1058</v>
          </cell>
          <cell r="E77">
            <v>3418</v>
          </cell>
          <cell r="F77">
            <v>6974</v>
          </cell>
          <cell r="G77">
            <v>1187</v>
          </cell>
          <cell r="H77">
            <v>3546</v>
          </cell>
          <cell r="I77">
            <v>7102</v>
          </cell>
          <cell r="J77">
            <v>845</v>
          </cell>
          <cell r="K77">
            <v>3204</v>
          </cell>
          <cell r="L77">
            <v>6760</v>
          </cell>
        </row>
        <row r="78">
          <cell r="A78">
            <v>73</v>
          </cell>
          <cell r="D78">
            <v>986</v>
          </cell>
          <cell r="E78">
            <v>3184</v>
          </cell>
          <cell r="F78">
            <v>6498</v>
          </cell>
          <cell r="G78">
            <v>1106</v>
          </cell>
          <cell r="H78">
            <v>3304</v>
          </cell>
          <cell r="I78">
            <v>6618</v>
          </cell>
          <cell r="J78">
            <v>787</v>
          </cell>
          <cell r="K78">
            <v>2985</v>
          </cell>
          <cell r="L78">
            <v>6299</v>
          </cell>
        </row>
        <row r="79">
          <cell r="A79">
            <v>74</v>
          </cell>
          <cell r="D79">
            <v>975</v>
          </cell>
          <cell r="E79">
            <v>3147</v>
          </cell>
          <cell r="F79">
            <v>6422</v>
          </cell>
          <cell r="G79">
            <v>1093</v>
          </cell>
          <cell r="H79">
            <v>3265</v>
          </cell>
          <cell r="I79">
            <v>6540</v>
          </cell>
          <cell r="J79">
            <v>778</v>
          </cell>
          <cell r="K79">
            <v>2950</v>
          </cell>
          <cell r="L79">
            <v>6225</v>
          </cell>
        </row>
        <row r="80">
          <cell r="A80">
            <v>75</v>
          </cell>
          <cell r="D80">
            <v>1015</v>
          </cell>
          <cell r="E80">
            <v>3277</v>
          </cell>
          <cell r="F80">
            <v>6687</v>
          </cell>
          <cell r="G80">
            <v>1138</v>
          </cell>
          <cell r="H80">
            <v>3400</v>
          </cell>
          <cell r="I80">
            <v>6810</v>
          </cell>
          <cell r="J80">
            <v>810</v>
          </cell>
          <cell r="K80">
            <v>3072</v>
          </cell>
          <cell r="L80">
            <v>6482</v>
          </cell>
        </row>
      </sheetData>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veys"/>
      <sheetName val="Net Payment"/>
      <sheetName val="Annual Rev &amp; Fees"/>
      <sheetName val="Charter Schools"/>
      <sheetName val="Consolidated"/>
      <sheetName val="Cumulative Payments"/>
      <sheetName val="0040"/>
      <sheetName val="0100"/>
      <sheetName val="1461"/>
      <sheetName val="1571"/>
      <sheetName val="2521"/>
      <sheetName val="2531"/>
      <sheetName val="2791"/>
      <sheetName val="2801"/>
      <sheetName val="2911"/>
      <sheetName val="2941"/>
      <sheetName val="3083"/>
      <sheetName val="3345"/>
      <sheetName val="3362"/>
      <sheetName val="3381"/>
      <sheetName val="3382"/>
      <sheetName val="3391"/>
      <sheetName val="3394"/>
      <sheetName val="3395"/>
      <sheetName val="3396"/>
      <sheetName val="3398"/>
      <sheetName val="3400"/>
      <sheetName val="3401"/>
      <sheetName val="3413"/>
      <sheetName val="3421"/>
      <sheetName val="3431"/>
      <sheetName val="3441"/>
      <sheetName val="3924"/>
      <sheetName val="3941"/>
      <sheetName val="3961"/>
      <sheetName val="3971"/>
      <sheetName val="4001"/>
      <sheetName val="4002"/>
      <sheetName val="4012"/>
      <sheetName val="4013"/>
      <sheetName val="4020"/>
      <sheetName val="4030"/>
      <sheetName val="4031"/>
      <sheetName val="4041"/>
      <sheetName val="4050"/>
      <sheetName val="4051"/>
      <sheetName val="4061"/>
      <sheetName val="4080"/>
      <sheetName val="4081"/>
      <sheetName val="4090"/>
      <sheetName val="4091"/>
      <sheetName val="4100"/>
      <sheetName val="4102"/>
      <sheetName val="4103"/>
      <sheetName val="4111"/>
      <sheetName val="4131"/>
      <sheetName val="Virtual"/>
    </sheetNames>
    <sheetDataSet>
      <sheetData sheetId="0" refreshError="1"/>
      <sheetData sheetId="1" refreshError="1"/>
      <sheetData sheetId="2" refreshError="1"/>
      <sheetData sheetId="3" refreshError="1"/>
      <sheetData sheetId="4" refreshError="1">
        <row r="32">
          <cell r="E32">
            <v>21402.560000000001</v>
          </cell>
        </row>
        <row r="105">
          <cell r="E105">
            <v>1.0355000000000001</v>
          </cell>
        </row>
        <row r="106">
          <cell r="E106">
            <v>1.0355000000000001</v>
          </cell>
        </row>
        <row r="107">
          <cell r="E107">
            <v>1.0355000000000001</v>
          </cell>
        </row>
      </sheetData>
      <sheetData sheetId="5" refreshError="1"/>
      <sheetData sheetId="6" refreshError="1">
        <row r="88">
          <cell r="I88">
            <v>0</v>
          </cell>
        </row>
        <row r="96">
          <cell r="I96">
            <v>0</v>
          </cell>
        </row>
        <row r="98">
          <cell r="I98">
            <v>0</v>
          </cell>
        </row>
      </sheetData>
      <sheetData sheetId="7" refreshError="1">
        <row r="88">
          <cell r="I88">
            <v>0</v>
          </cell>
        </row>
        <row r="96">
          <cell r="I96">
            <v>0</v>
          </cell>
        </row>
        <row r="98">
          <cell r="I98">
            <v>0</v>
          </cell>
        </row>
      </sheetData>
      <sheetData sheetId="8" refreshError="1">
        <row r="3">
          <cell r="A3" t="str">
            <v>Based on the FLDOE 2025-26 FEFP Calculation</v>
          </cell>
        </row>
        <row r="8">
          <cell r="C8">
            <v>5372.6</v>
          </cell>
          <cell r="H8">
            <v>1.0355000000000001</v>
          </cell>
        </row>
        <row r="9">
          <cell r="H9">
            <v>1</v>
          </cell>
        </row>
        <row r="10">
          <cell r="I10" t="str">
            <v>2025-26</v>
          </cell>
        </row>
        <row r="12">
          <cell r="C12" t="str">
            <v>FTE</v>
          </cell>
          <cell r="D12" t="str">
            <v>FTE</v>
          </cell>
        </row>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F96">
            <v>0</v>
          </cell>
          <cell r="I96">
            <v>0</v>
          </cell>
        </row>
        <row r="98">
          <cell r="F98">
            <v>0</v>
          </cell>
          <cell r="I98">
            <v>0</v>
          </cell>
        </row>
        <row r="126">
          <cell r="I126">
            <v>0</v>
          </cell>
        </row>
      </sheetData>
      <sheetData sheetId="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5" refreshError="1">
        <row r="88">
          <cell r="I88">
            <v>0</v>
          </cell>
        </row>
        <row r="96">
          <cell r="I96">
            <v>0</v>
          </cell>
        </row>
        <row r="98">
          <cell r="I98">
            <v>0</v>
          </cell>
        </row>
        <row r="126">
          <cell r="I126">
            <v>0</v>
          </cell>
        </row>
      </sheetData>
      <sheetData sheetId="56" refreshError="1">
        <row r="28">
          <cell r="E28">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053C-4D73-4891-A977-B0EA2A4A890D}">
  <sheetPr>
    <pageSetUpPr fitToPage="1"/>
  </sheetPr>
  <dimension ref="A1:P553"/>
  <sheetViews>
    <sheetView tabSelected="1" workbookViewId="0">
      <selection activeCell="I526" sqref="I526"/>
    </sheetView>
  </sheetViews>
  <sheetFormatPr defaultColWidth="9.140625" defaultRowHeight="12.75" customHeight="1" x14ac:dyDescent="0.2"/>
  <cols>
    <col min="1" max="1" width="3" style="309" bestFit="1" customWidth="1"/>
    <col min="2" max="2" width="7.28515625" style="309" customWidth="1"/>
    <col min="3" max="3" width="41" style="309" customWidth="1"/>
    <col min="4" max="4" width="21.85546875" style="309" customWidth="1"/>
    <col min="5" max="5" width="14.42578125" style="309" customWidth="1"/>
    <col min="6" max="6" width="12.140625" style="606" bestFit="1" customWidth="1"/>
    <col min="7" max="7" width="21.42578125" style="309" customWidth="1"/>
    <col min="8" max="8" width="4.28515625" style="606" customWidth="1"/>
    <col min="9" max="9" width="75.7109375" style="309" bestFit="1" customWidth="1"/>
    <col min="10" max="10" width="9.5703125" style="309" bestFit="1" customWidth="1"/>
    <col min="11" max="16384" width="9.140625" style="309"/>
  </cols>
  <sheetData>
    <row r="1" spans="1:9" ht="12.75" customHeight="1" x14ac:dyDescent="0.2">
      <c r="A1" s="603"/>
      <c r="B1" s="604" t="s">
        <v>583</v>
      </c>
      <c r="C1" s="605"/>
      <c r="I1" s="607"/>
    </row>
    <row r="2" spans="1:9" ht="12.75" customHeight="1" x14ac:dyDescent="0.2">
      <c r="B2" s="608" t="str">
        <f>Based_on_the_Second_Calculation_of_the_FEFP_2010_11</f>
        <v>Based on the 2025-26 Third Calculation Worksheet</v>
      </c>
      <c r="C2" s="609"/>
      <c r="E2" s="610"/>
      <c r="F2" s="611"/>
      <c r="G2" s="610"/>
      <c r="I2" s="612"/>
    </row>
    <row r="3" spans="1:9" ht="12.75" customHeight="1" thickBot="1" x14ac:dyDescent="0.25">
      <c r="B3" s="613"/>
      <c r="C3" s="609"/>
      <c r="E3" s="610"/>
      <c r="F3" s="799"/>
      <c r="G3" s="799"/>
      <c r="I3" s="612"/>
    </row>
    <row r="4" spans="1:9" ht="12.75" customHeight="1" thickBot="1" x14ac:dyDescent="0.25">
      <c r="A4" s="310"/>
      <c r="B4" s="614" t="s">
        <v>483</v>
      </c>
      <c r="C4" s="615" t="s">
        <v>484</v>
      </c>
      <c r="D4" s="600" t="s">
        <v>485</v>
      </c>
      <c r="E4" s="601" t="s">
        <v>54</v>
      </c>
      <c r="F4" s="616" t="s">
        <v>486</v>
      </c>
      <c r="G4" s="601" t="s">
        <v>487</v>
      </c>
      <c r="I4" s="617" t="s">
        <v>488</v>
      </c>
    </row>
    <row r="5" spans="1:9" ht="12.75" customHeight="1" x14ac:dyDescent="0.2">
      <c r="A5" s="618">
        <v>1</v>
      </c>
      <c r="B5" s="619" t="s">
        <v>208</v>
      </c>
      <c r="C5" s="620" t="s">
        <v>209</v>
      </c>
      <c r="D5" s="621" t="s">
        <v>574</v>
      </c>
      <c r="E5" s="622">
        <f>'0040'!$J$124</f>
        <v>4207.2299999999996</v>
      </c>
      <c r="F5" s="623"/>
      <c r="G5" s="622">
        <f>SUBTOTAL(109,E5:F7)</f>
        <v>4207.2299999999996</v>
      </c>
      <c r="I5" s="624"/>
    </row>
    <row r="6" spans="1:9" ht="12.75" hidden="1" customHeight="1" x14ac:dyDescent="0.2">
      <c r="A6" s="318"/>
      <c r="B6" s="613"/>
      <c r="C6" s="625"/>
      <c r="D6" s="603" t="s">
        <v>490</v>
      </c>
      <c r="E6" s="318"/>
      <c r="F6" s="796"/>
      <c r="G6" s="318"/>
      <c r="I6" s="626"/>
    </row>
    <row r="7" spans="1:9" ht="12.75" hidden="1" customHeight="1" x14ac:dyDescent="0.2">
      <c r="A7" s="318"/>
      <c r="B7" s="613"/>
      <c r="C7" s="625"/>
      <c r="D7" s="310"/>
      <c r="E7" s="318"/>
      <c r="F7" s="611"/>
      <c r="G7" s="318"/>
      <c r="I7" s="627" t="s">
        <v>489</v>
      </c>
    </row>
    <row r="8" spans="1:9" ht="12.75" customHeight="1" x14ac:dyDescent="0.2">
      <c r="A8" s="618">
        <v>2</v>
      </c>
      <c r="B8" s="619" t="s">
        <v>551</v>
      </c>
      <c r="C8" s="620" t="s">
        <v>552</v>
      </c>
      <c r="D8" s="621" t="str">
        <f>D5</f>
        <v>FTE February 026</v>
      </c>
      <c r="E8" s="622">
        <f>'0571'!$J$124</f>
        <v>96450.38</v>
      </c>
      <c r="F8" s="623"/>
      <c r="G8" s="622">
        <f>SUBTOTAL(109,E8:F8)</f>
        <v>96450.38</v>
      </c>
      <c r="I8" s="627"/>
    </row>
    <row r="9" spans="1:9" ht="12.75" hidden="1" customHeight="1" x14ac:dyDescent="0.2">
      <c r="A9" s="318"/>
      <c r="B9" s="312"/>
      <c r="C9" s="628"/>
      <c r="D9" s="603"/>
      <c r="E9" s="778"/>
      <c r="F9" s="611"/>
      <c r="G9" s="778"/>
      <c r="I9" s="627"/>
    </row>
    <row r="10" spans="1:9" ht="12.75" customHeight="1" x14ac:dyDescent="0.2">
      <c r="A10" s="318">
        <v>3</v>
      </c>
      <c r="B10" s="312" t="s">
        <v>210</v>
      </c>
      <c r="C10" s="628" t="s">
        <v>329</v>
      </c>
      <c r="D10" s="603" t="str">
        <f>D5</f>
        <v>FTE February 026</v>
      </c>
      <c r="E10" s="629">
        <f>'0100'!$J$124</f>
        <v>134387.78</v>
      </c>
      <c r="F10" s="611"/>
      <c r="G10" s="629">
        <f>SUBTOTAL(109,E10:F12)</f>
        <v>134387.78</v>
      </c>
      <c r="I10" s="630"/>
    </row>
    <row r="11" spans="1:9" ht="12.75" hidden="1" customHeight="1" x14ac:dyDescent="0.2">
      <c r="A11" s="318"/>
      <c r="B11" s="613"/>
      <c r="C11" s="625"/>
      <c r="D11" s="310" t="s">
        <v>490</v>
      </c>
      <c r="E11" s="318"/>
      <c r="F11" s="796"/>
      <c r="G11" s="318"/>
      <c r="I11" s="630"/>
    </row>
    <row r="12" spans="1:9" ht="12.75" hidden="1" customHeight="1" x14ac:dyDescent="0.2">
      <c r="A12" s="318"/>
      <c r="B12" s="625"/>
      <c r="C12" s="625"/>
      <c r="D12" s="318"/>
      <c r="E12" s="318"/>
      <c r="F12" s="611"/>
      <c r="G12" s="318"/>
      <c r="I12" s="626"/>
    </row>
    <row r="13" spans="1:9" ht="12.75" hidden="1" customHeight="1" x14ac:dyDescent="0.2">
      <c r="A13" s="318"/>
      <c r="B13" s="625"/>
      <c r="C13" s="625"/>
      <c r="D13" s="318"/>
      <c r="E13" s="318"/>
      <c r="F13" s="611"/>
      <c r="G13" s="318"/>
      <c r="I13" s="631"/>
    </row>
    <row r="14" spans="1:9" s="368" customFormat="1" ht="13.5" customHeight="1" x14ac:dyDescent="0.2">
      <c r="A14" s="618">
        <v>4</v>
      </c>
      <c r="B14" s="632" t="s">
        <v>212</v>
      </c>
      <c r="C14" s="633" t="s">
        <v>213</v>
      </c>
      <c r="D14" s="634" t="s">
        <v>575</v>
      </c>
      <c r="E14" s="622">
        <f>'1461'!$J$124</f>
        <v>654512.44999999995</v>
      </c>
      <c r="F14" s="635"/>
      <c r="G14" s="622">
        <f>SUBTOTAL(109,E14:F52)</f>
        <v>536322.44999999995</v>
      </c>
      <c r="H14" s="636"/>
      <c r="I14" s="631"/>
    </row>
    <row r="15" spans="1:9" s="368" customFormat="1" ht="12.75" hidden="1" customHeight="1" x14ac:dyDescent="0.2">
      <c r="A15" s="618"/>
      <c r="B15" s="632"/>
      <c r="C15" s="633"/>
      <c r="D15" s="637" t="s">
        <v>490</v>
      </c>
      <c r="E15" s="622"/>
      <c r="F15" s="635"/>
      <c r="G15" s="622"/>
      <c r="H15" s="636"/>
      <c r="I15" s="627" t="s">
        <v>489</v>
      </c>
    </row>
    <row r="16" spans="1:9" s="368" customFormat="1" ht="12.75" hidden="1" customHeight="1" x14ac:dyDescent="0.2">
      <c r="A16" s="618"/>
      <c r="B16" s="632"/>
      <c r="C16" s="633"/>
      <c r="D16" s="638" t="s">
        <v>491</v>
      </c>
      <c r="E16" s="622"/>
      <c r="F16" s="635"/>
      <c r="G16" s="622"/>
      <c r="H16" s="636"/>
      <c r="I16" s="627"/>
    </row>
    <row r="17" spans="1:9" s="368" customFormat="1" ht="12.75" hidden="1" customHeight="1" x14ac:dyDescent="0.2">
      <c r="A17" s="618"/>
      <c r="B17" s="632"/>
      <c r="C17" s="633"/>
      <c r="D17" s="637" t="s">
        <v>492</v>
      </c>
      <c r="E17" s="622"/>
      <c r="F17" s="635"/>
      <c r="G17" s="622"/>
      <c r="H17" s="636"/>
      <c r="I17" s="627"/>
    </row>
    <row r="18" spans="1:9" s="368" customFormat="1" ht="12.75" hidden="1" customHeight="1" thickBot="1" x14ac:dyDescent="0.25">
      <c r="A18" s="618"/>
      <c r="B18" s="632"/>
      <c r="C18" s="633"/>
      <c r="D18" s="637" t="s">
        <v>493</v>
      </c>
      <c r="E18" s="622"/>
      <c r="F18" s="635"/>
      <c r="G18" s="622"/>
      <c r="H18" s="636"/>
      <c r="I18" s="639"/>
    </row>
    <row r="19" spans="1:9" s="368" customFormat="1" ht="12.75" hidden="1" customHeight="1" x14ac:dyDescent="0.2">
      <c r="A19" s="618"/>
      <c r="B19" s="632"/>
      <c r="C19" s="633"/>
      <c r="D19" s="637" t="s">
        <v>494</v>
      </c>
      <c r="E19" s="622"/>
      <c r="F19" s="635"/>
      <c r="G19" s="622"/>
      <c r="H19" s="636"/>
      <c r="I19" s="626"/>
    </row>
    <row r="20" spans="1:9" s="368" customFormat="1" ht="12.75" hidden="1" customHeight="1" x14ac:dyDescent="0.2">
      <c r="A20" s="618"/>
      <c r="B20" s="632"/>
      <c r="C20" s="633"/>
      <c r="D20" s="637" t="s">
        <v>495</v>
      </c>
      <c r="E20" s="622"/>
      <c r="F20" s="635"/>
      <c r="G20" s="622"/>
      <c r="H20" s="636"/>
      <c r="I20" s="631"/>
    </row>
    <row r="21" spans="1:9" s="368" customFormat="1" ht="12.75" customHeight="1" thickBot="1" x14ac:dyDescent="0.25">
      <c r="A21" s="618"/>
      <c r="B21" s="632"/>
      <c r="C21" s="640"/>
      <c r="D21" s="641" t="s">
        <v>496</v>
      </c>
      <c r="E21" s="622"/>
      <c r="F21" s="635">
        <v>-97617.78</v>
      </c>
      <c r="G21" s="622"/>
      <c r="H21" s="636"/>
      <c r="I21" s="642"/>
    </row>
    <row r="22" spans="1:9" s="368" customFormat="1" ht="12.75" customHeight="1" x14ac:dyDescent="0.2">
      <c r="A22" s="618"/>
      <c r="B22" s="632"/>
      <c r="C22" s="640"/>
      <c r="D22" s="641" t="s">
        <v>497</v>
      </c>
      <c r="E22" s="622"/>
      <c r="F22" s="635">
        <v>-14222.22</v>
      </c>
      <c r="G22" s="622"/>
      <c r="H22" s="636"/>
    </row>
    <row r="23" spans="1:9" s="368" customFormat="1" ht="12.75" customHeight="1" x14ac:dyDescent="0.2">
      <c r="A23" s="618"/>
      <c r="B23" s="632"/>
      <c r="C23" s="640"/>
      <c r="D23" s="641" t="s">
        <v>498</v>
      </c>
      <c r="E23" s="622"/>
      <c r="F23" s="635">
        <v>-264.72000000000003</v>
      </c>
      <c r="G23" s="622"/>
      <c r="H23" s="636"/>
      <c r="I23" s="643"/>
    </row>
    <row r="24" spans="1:9" s="368" customFormat="1" ht="12.75" customHeight="1" x14ac:dyDescent="0.2">
      <c r="A24" s="618"/>
      <c r="B24" s="632"/>
      <c r="C24" s="640"/>
      <c r="D24" s="644" t="s">
        <v>499</v>
      </c>
      <c r="E24" s="622"/>
      <c r="F24" s="635">
        <v>-94.48</v>
      </c>
      <c r="G24" s="622"/>
      <c r="H24" s="636"/>
      <c r="I24" s="643"/>
    </row>
    <row r="25" spans="1:9" s="368" customFormat="1" ht="12.75" customHeight="1" x14ac:dyDescent="0.2">
      <c r="A25" s="618"/>
      <c r="B25" s="632"/>
      <c r="C25" s="640"/>
      <c r="D25" s="641" t="s">
        <v>500</v>
      </c>
      <c r="E25" s="622"/>
      <c r="F25" s="635">
        <v>-90</v>
      </c>
      <c r="G25" s="622"/>
      <c r="H25" s="636"/>
      <c r="I25" s="645"/>
    </row>
    <row r="26" spans="1:9" s="368" customFormat="1" ht="12.75" hidden="1" customHeight="1" x14ac:dyDescent="0.2">
      <c r="A26" s="618"/>
      <c r="B26" s="632"/>
      <c r="C26" s="646" t="s">
        <v>501</v>
      </c>
      <c r="D26" s="644" t="s">
        <v>502</v>
      </c>
      <c r="E26" s="622"/>
      <c r="F26" s="635"/>
      <c r="G26" s="622"/>
      <c r="H26" s="636"/>
      <c r="I26" s="645"/>
    </row>
    <row r="27" spans="1:9" s="368" customFormat="1" ht="12.75" hidden="1" customHeight="1" x14ac:dyDescent="0.2">
      <c r="A27" s="618"/>
      <c r="B27" s="632"/>
      <c r="C27" s="640"/>
      <c r="D27" s="644" t="s">
        <v>503</v>
      </c>
      <c r="E27" s="622"/>
      <c r="F27" s="635"/>
      <c r="G27" s="622"/>
      <c r="H27" s="636"/>
      <c r="I27" s="647"/>
    </row>
    <row r="28" spans="1:9" s="368" customFormat="1" ht="12.75" hidden="1" customHeight="1" x14ac:dyDescent="0.2">
      <c r="A28" s="618"/>
      <c r="B28" s="632"/>
      <c r="C28" s="640"/>
      <c r="D28" s="644"/>
      <c r="E28" s="622"/>
      <c r="F28" s="635"/>
      <c r="G28" s="622"/>
      <c r="H28" s="636"/>
      <c r="I28" s="647"/>
    </row>
    <row r="29" spans="1:9" s="368" customFormat="1" ht="12.75" hidden="1" customHeight="1" x14ac:dyDescent="0.2">
      <c r="A29" s="618"/>
      <c r="B29" s="632"/>
      <c r="C29" s="640"/>
      <c r="D29" s="644"/>
      <c r="E29" s="622"/>
      <c r="F29" s="635"/>
      <c r="G29" s="622"/>
      <c r="H29" s="636"/>
      <c r="I29" s="647"/>
    </row>
    <row r="30" spans="1:9" s="368" customFormat="1" ht="12.75" hidden="1" customHeight="1" x14ac:dyDescent="0.2">
      <c r="A30" s="618"/>
      <c r="B30" s="632"/>
      <c r="C30" s="640"/>
      <c r="D30" s="644" t="s">
        <v>504</v>
      </c>
      <c r="E30" s="622"/>
      <c r="F30" s="635"/>
      <c r="G30" s="622"/>
      <c r="H30" s="636"/>
      <c r="I30" s="648"/>
    </row>
    <row r="31" spans="1:9" s="368" customFormat="1" ht="12.75" hidden="1" customHeight="1" x14ac:dyDescent="0.2">
      <c r="A31" s="618"/>
      <c r="B31" s="632"/>
      <c r="C31" s="640"/>
      <c r="D31" s="644" t="s">
        <v>505</v>
      </c>
      <c r="E31" s="622"/>
      <c r="F31" s="635"/>
      <c r="G31" s="622"/>
      <c r="H31" s="636"/>
      <c r="I31" s="643"/>
    </row>
    <row r="32" spans="1:9" s="368" customFormat="1" ht="12.75" hidden="1" customHeight="1" x14ac:dyDescent="0.2">
      <c r="A32" s="618"/>
      <c r="B32" s="632"/>
      <c r="C32" s="640"/>
      <c r="D32" s="644" t="s">
        <v>506</v>
      </c>
      <c r="E32" s="622"/>
      <c r="F32" s="635"/>
      <c r="G32" s="622"/>
      <c r="H32" s="636"/>
      <c r="I32" s="648"/>
    </row>
    <row r="33" spans="1:9" s="368" customFormat="1" ht="12.75" hidden="1" customHeight="1" x14ac:dyDescent="0.2">
      <c r="A33" s="618"/>
      <c r="B33" s="632"/>
      <c r="C33" s="640"/>
      <c r="D33" s="644" t="s">
        <v>507</v>
      </c>
      <c r="E33" s="622"/>
      <c r="F33" s="635"/>
      <c r="G33" s="622"/>
      <c r="H33" s="636"/>
      <c r="I33" s="643"/>
    </row>
    <row r="34" spans="1:9" s="368" customFormat="1" ht="12.75" hidden="1" customHeight="1" x14ac:dyDescent="0.2">
      <c r="A34" s="618"/>
      <c r="B34" s="632"/>
      <c r="C34" s="640"/>
      <c r="D34" s="644"/>
      <c r="E34" s="622"/>
      <c r="F34" s="635"/>
      <c r="G34" s="622"/>
      <c r="H34" s="636"/>
    </row>
    <row r="35" spans="1:9" s="368" customFormat="1" ht="12.75" hidden="1" customHeight="1" x14ac:dyDescent="0.2">
      <c r="A35" s="618"/>
      <c r="B35" s="632"/>
      <c r="C35" s="640"/>
      <c r="D35" s="644"/>
      <c r="E35" s="622"/>
      <c r="F35" s="635"/>
      <c r="G35" s="622"/>
      <c r="H35" s="636"/>
      <c r="I35" s="643"/>
    </row>
    <row r="36" spans="1:9" s="368" customFormat="1" ht="12.75" hidden="1" customHeight="1" x14ac:dyDescent="0.2">
      <c r="A36" s="618"/>
      <c r="B36" s="632"/>
      <c r="C36" s="640"/>
      <c r="D36" s="644" t="s">
        <v>508</v>
      </c>
      <c r="E36" s="622"/>
      <c r="F36" s="635"/>
      <c r="G36" s="622"/>
      <c r="H36" s="636"/>
      <c r="I36" s="643"/>
    </row>
    <row r="37" spans="1:9" s="368" customFormat="1" ht="12.75" hidden="1" customHeight="1" x14ac:dyDescent="0.2">
      <c r="A37" s="618"/>
      <c r="B37" s="632"/>
      <c r="C37" s="640"/>
      <c r="D37" s="644" t="s">
        <v>509</v>
      </c>
      <c r="E37" s="622"/>
      <c r="F37" s="635"/>
      <c r="G37" s="622"/>
      <c r="H37" s="636"/>
      <c r="I37" s="643"/>
    </row>
    <row r="38" spans="1:9" s="368" customFormat="1" ht="12.75" hidden="1" customHeight="1" x14ac:dyDescent="0.2">
      <c r="A38" s="618"/>
      <c r="B38" s="632"/>
      <c r="C38" s="640"/>
      <c r="D38" s="644"/>
      <c r="E38" s="622"/>
      <c r="F38" s="635"/>
      <c r="G38" s="622"/>
      <c r="H38" s="636"/>
      <c r="I38" s="649"/>
    </row>
    <row r="39" spans="1:9" s="368" customFormat="1" ht="12.75" hidden="1" customHeight="1" x14ac:dyDescent="0.2">
      <c r="A39" s="618"/>
      <c r="B39" s="632"/>
      <c r="C39" s="640"/>
      <c r="D39" s="644" t="s">
        <v>557</v>
      </c>
      <c r="E39" s="622"/>
      <c r="F39" s="635"/>
      <c r="G39" s="622"/>
      <c r="H39" s="636"/>
      <c r="I39" s="649"/>
    </row>
    <row r="40" spans="1:9" s="368" customFormat="1" ht="12.75" hidden="1" customHeight="1" x14ac:dyDescent="0.2">
      <c r="A40" s="618"/>
      <c r="B40" s="632"/>
      <c r="C40" s="640"/>
      <c r="D40" s="644" t="s">
        <v>558</v>
      </c>
      <c r="E40" s="622"/>
      <c r="F40" s="635"/>
      <c r="G40" s="622"/>
      <c r="H40" s="636"/>
      <c r="I40" s="649"/>
    </row>
    <row r="41" spans="1:9" s="368" customFormat="1" ht="12.75" hidden="1" customHeight="1" x14ac:dyDescent="0.2">
      <c r="A41" s="618"/>
      <c r="B41" s="632"/>
      <c r="C41" s="640"/>
      <c r="D41" s="644" t="s">
        <v>559</v>
      </c>
      <c r="E41" s="622"/>
      <c r="F41" s="635"/>
      <c r="G41" s="622"/>
      <c r="H41" s="636"/>
      <c r="I41" s="649"/>
    </row>
    <row r="42" spans="1:9" s="368" customFormat="1" ht="12.75" hidden="1" customHeight="1" x14ac:dyDescent="0.2">
      <c r="A42" s="618"/>
      <c r="B42" s="632"/>
      <c r="C42" s="640"/>
      <c r="D42" s="644" t="s">
        <v>560</v>
      </c>
      <c r="E42" s="622"/>
      <c r="F42" s="635"/>
      <c r="G42" s="622"/>
      <c r="H42" s="636"/>
      <c r="I42" s="649"/>
    </row>
    <row r="43" spans="1:9" s="368" customFormat="1" ht="12.75" hidden="1" customHeight="1" x14ac:dyDescent="0.2">
      <c r="A43" s="618"/>
      <c r="B43" s="632"/>
      <c r="C43" s="640"/>
      <c r="D43" s="644" t="s">
        <v>561</v>
      </c>
      <c r="E43" s="622"/>
      <c r="F43" s="635"/>
      <c r="G43" s="622"/>
      <c r="H43" s="636"/>
      <c r="I43" s="649"/>
    </row>
    <row r="44" spans="1:9" s="368" customFormat="1" ht="12.75" hidden="1" customHeight="1" x14ac:dyDescent="0.2">
      <c r="A44" s="618"/>
      <c r="B44" s="632"/>
      <c r="C44" s="640"/>
      <c r="D44" s="644" t="s">
        <v>562</v>
      </c>
      <c r="E44" s="622"/>
      <c r="F44" s="635"/>
      <c r="G44" s="622"/>
      <c r="H44" s="636"/>
      <c r="I44" s="649"/>
    </row>
    <row r="45" spans="1:9" s="368" customFormat="1" ht="12.75" hidden="1" customHeight="1" x14ac:dyDescent="0.2">
      <c r="A45" s="618"/>
      <c r="B45" s="632"/>
      <c r="C45" s="640"/>
      <c r="D45" s="644" t="s">
        <v>563</v>
      </c>
      <c r="E45" s="622"/>
      <c r="F45" s="635"/>
      <c r="G45" s="622"/>
      <c r="H45" s="636"/>
      <c r="I45" s="649"/>
    </row>
    <row r="46" spans="1:9" s="368" customFormat="1" ht="12.75" hidden="1" customHeight="1" x14ac:dyDescent="0.2">
      <c r="A46" s="618"/>
      <c r="B46" s="632"/>
      <c r="C46" s="640"/>
      <c r="D46" s="644" t="s">
        <v>564</v>
      </c>
      <c r="E46" s="622"/>
      <c r="F46" s="635"/>
      <c r="G46" s="622"/>
      <c r="H46" s="636"/>
      <c r="I46" s="649"/>
    </row>
    <row r="47" spans="1:9" s="368" customFormat="1" ht="12.75" hidden="1" customHeight="1" x14ac:dyDescent="0.2">
      <c r="A47" s="618"/>
      <c r="B47" s="632"/>
      <c r="C47" s="640"/>
      <c r="D47" s="644" t="s">
        <v>565</v>
      </c>
      <c r="E47" s="622"/>
      <c r="F47" s="635"/>
      <c r="G47" s="622"/>
      <c r="H47" s="636"/>
      <c r="I47" s="649"/>
    </row>
    <row r="48" spans="1:9" s="368" customFormat="1" ht="12.75" hidden="1" customHeight="1" x14ac:dyDescent="0.2">
      <c r="A48" s="618"/>
      <c r="B48" s="632"/>
      <c r="C48" s="640"/>
      <c r="D48" s="644" t="s">
        <v>566</v>
      </c>
      <c r="E48" s="622"/>
      <c r="F48" s="635"/>
      <c r="G48" s="622"/>
      <c r="H48" s="636"/>
      <c r="I48" s="649"/>
    </row>
    <row r="49" spans="1:12" s="368" customFormat="1" ht="12.75" hidden="1" customHeight="1" x14ac:dyDescent="0.2">
      <c r="A49" s="618"/>
      <c r="B49" s="632"/>
      <c r="C49" s="640"/>
      <c r="D49" s="644" t="s">
        <v>567</v>
      </c>
      <c r="E49" s="622"/>
      <c r="F49" s="635"/>
      <c r="G49" s="622"/>
      <c r="H49" s="636"/>
      <c r="I49" s="649"/>
    </row>
    <row r="50" spans="1:12" s="368" customFormat="1" ht="12.75" hidden="1" customHeight="1" x14ac:dyDescent="0.2">
      <c r="A50" s="618"/>
      <c r="B50" s="632"/>
      <c r="C50" s="640"/>
      <c r="D50" s="644" t="s">
        <v>568</v>
      </c>
      <c r="E50" s="622"/>
      <c r="F50" s="635"/>
      <c r="G50" s="622"/>
      <c r="H50" s="636"/>
      <c r="I50" s="649"/>
    </row>
    <row r="51" spans="1:12" s="368" customFormat="1" x14ac:dyDescent="0.2">
      <c r="A51" s="618"/>
      <c r="B51" s="632"/>
      <c r="C51" s="640"/>
      <c r="D51" s="644" t="s">
        <v>581</v>
      </c>
      <c r="E51" s="622"/>
      <c r="F51" s="635">
        <v>-5600.8</v>
      </c>
      <c r="G51" s="622"/>
      <c r="H51" s="636"/>
      <c r="I51" s="649"/>
    </row>
    <row r="52" spans="1:12" s="368" customFormat="1" x14ac:dyDescent="0.2">
      <c r="A52" s="618"/>
      <c r="B52" s="632"/>
      <c r="C52" s="640"/>
      <c r="D52" s="644" t="s">
        <v>582</v>
      </c>
      <c r="E52" s="622"/>
      <c r="F52" s="635">
        <v>-300</v>
      </c>
      <c r="G52" s="622"/>
      <c r="H52" s="636"/>
      <c r="I52" s="649"/>
    </row>
    <row r="53" spans="1:12" s="368" customFormat="1" ht="12.75" customHeight="1" x14ac:dyDescent="0.2">
      <c r="A53" s="318">
        <f>1+A14</f>
        <v>5</v>
      </c>
      <c r="B53" s="650" t="s">
        <v>214</v>
      </c>
      <c r="C53" s="651" t="s">
        <v>215</v>
      </c>
      <c r="D53" s="652" t="str">
        <f>$D$14</f>
        <v>FTE February 2026</v>
      </c>
      <c r="E53" s="629">
        <f>'1571'!$J$124</f>
        <v>896456.63</v>
      </c>
      <c r="F53" s="653"/>
      <c r="G53" s="629">
        <f>SUBTOTAL(109,E53:F68)</f>
        <v>881224.10000000009</v>
      </c>
      <c r="H53" s="636"/>
      <c r="I53" s="645"/>
    </row>
    <row r="54" spans="1:12" s="368" customFormat="1" ht="12.75" hidden="1" customHeight="1" x14ac:dyDescent="0.2">
      <c r="A54" s="318"/>
      <c r="B54" s="650"/>
      <c r="C54" s="654"/>
      <c r="D54" s="311" t="s">
        <v>490</v>
      </c>
      <c r="E54" s="629"/>
      <c r="F54" s="653"/>
      <c r="G54" s="629"/>
      <c r="H54" s="636"/>
      <c r="I54" s="645"/>
    </row>
    <row r="55" spans="1:12" s="368" customFormat="1" ht="12.75" hidden="1" customHeight="1" x14ac:dyDescent="0.2">
      <c r="A55" s="318"/>
      <c r="B55" s="650"/>
      <c r="C55" s="651"/>
      <c r="D55" s="655" t="s">
        <v>491</v>
      </c>
      <c r="E55" s="629"/>
      <c r="F55" s="653"/>
      <c r="G55" s="629"/>
      <c r="H55" s="636"/>
      <c r="I55" s="645"/>
    </row>
    <row r="56" spans="1:12" s="368" customFormat="1" ht="12.75" hidden="1" customHeight="1" x14ac:dyDescent="0.2">
      <c r="A56" s="318"/>
      <c r="B56" s="650"/>
      <c r="C56" s="656"/>
      <c r="D56" s="655" t="s">
        <v>510</v>
      </c>
      <c r="E56" s="629"/>
      <c r="F56" s="653"/>
      <c r="G56" s="629"/>
      <c r="H56" s="636"/>
      <c r="I56" s="645"/>
    </row>
    <row r="57" spans="1:12" s="368" customFormat="1" ht="12.75" hidden="1" customHeight="1" x14ac:dyDescent="0.2">
      <c r="A57" s="318"/>
      <c r="B57" s="650"/>
      <c r="C57" s="651"/>
      <c r="D57" s="311" t="s">
        <v>492</v>
      </c>
      <c r="E57" s="629"/>
      <c r="F57" s="653"/>
      <c r="G57" s="629"/>
      <c r="H57" s="636"/>
      <c r="I57" s="645"/>
      <c r="L57" s="657">
        <v>44630</v>
      </c>
    </row>
    <row r="58" spans="1:12" s="368" customFormat="1" ht="12.75" hidden="1" customHeight="1" x14ac:dyDescent="0.2">
      <c r="A58" s="318"/>
      <c r="B58" s="650"/>
      <c r="C58" s="651"/>
      <c r="D58" s="311" t="s">
        <v>493</v>
      </c>
      <c r="E58" s="629"/>
      <c r="F58" s="653"/>
      <c r="G58" s="629"/>
      <c r="H58" s="636"/>
      <c r="I58" s="645"/>
      <c r="L58" s="657">
        <f>L57-60</f>
        <v>44570</v>
      </c>
    </row>
    <row r="59" spans="1:12" s="368" customFormat="1" ht="12.75" hidden="1" customHeight="1" x14ac:dyDescent="0.2">
      <c r="A59" s="318"/>
      <c r="B59" s="650"/>
      <c r="C59" s="651"/>
      <c r="D59" s="311" t="s">
        <v>494</v>
      </c>
      <c r="E59" s="629"/>
      <c r="F59" s="653"/>
      <c r="G59" s="629"/>
      <c r="H59" s="636"/>
      <c r="I59" s="645"/>
    </row>
    <row r="60" spans="1:12" s="368" customFormat="1" ht="12.75" hidden="1" customHeight="1" x14ac:dyDescent="0.2">
      <c r="A60" s="318"/>
      <c r="B60" s="650"/>
      <c r="C60" s="651"/>
      <c r="D60" s="311" t="s">
        <v>495</v>
      </c>
      <c r="E60" s="629"/>
      <c r="F60" s="653"/>
      <c r="G60" s="629"/>
      <c r="H60" s="636"/>
      <c r="I60" s="645"/>
    </row>
    <row r="61" spans="1:12" s="368" customFormat="1" ht="12.75" customHeight="1" x14ac:dyDescent="0.2">
      <c r="A61" s="318"/>
      <c r="B61" s="650"/>
      <c r="C61" s="658"/>
      <c r="D61" s="659" t="s">
        <v>497</v>
      </c>
      <c r="E61" s="629"/>
      <c r="F61" s="653">
        <v>-14222.22</v>
      </c>
      <c r="G61" s="629"/>
      <c r="H61" s="636"/>
      <c r="I61" s="645"/>
    </row>
    <row r="62" spans="1:12" s="368" customFormat="1" ht="12.75" customHeight="1" x14ac:dyDescent="0.2">
      <c r="A62" s="318"/>
      <c r="B62" s="650"/>
      <c r="C62" s="658"/>
      <c r="D62" s="659" t="s">
        <v>498</v>
      </c>
      <c r="E62" s="629"/>
      <c r="F62" s="653">
        <v>-282.08</v>
      </c>
      <c r="G62" s="629"/>
      <c r="H62" s="636"/>
      <c r="I62" s="643"/>
    </row>
    <row r="63" spans="1:12" s="368" customFormat="1" ht="12.75" customHeight="1" x14ac:dyDescent="0.2">
      <c r="A63" s="318"/>
      <c r="B63" s="650"/>
      <c r="C63" s="658"/>
      <c r="D63" s="659" t="s">
        <v>499</v>
      </c>
      <c r="E63" s="629"/>
      <c r="F63" s="653">
        <v>-94.48</v>
      </c>
      <c r="G63" s="629"/>
      <c r="H63" s="636"/>
      <c r="I63" s="643"/>
    </row>
    <row r="64" spans="1:12" s="368" customFormat="1" ht="12.75" customHeight="1" x14ac:dyDescent="0.2">
      <c r="A64" s="318"/>
      <c r="B64" s="650"/>
      <c r="C64" s="658"/>
      <c r="D64" s="659" t="s">
        <v>500</v>
      </c>
      <c r="E64" s="629"/>
      <c r="F64" s="653">
        <v>-90</v>
      </c>
      <c r="G64" s="629"/>
      <c r="H64" s="636"/>
      <c r="I64" s="643"/>
    </row>
    <row r="65" spans="1:13" s="368" customFormat="1" ht="12.75" hidden="1" customHeight="1" x14ac:dyDescent="0.2">
      <c r="A65" s="318"/>
      <c r="B65" s="650"/>
      <c r="C65" s="660"/>
      <c r="D65" s="661" t="s">
        <v>511</v>
      </c>
      <c r="E65" s="629"/>
      <c r="F65" s="653"/>
      <c r="G65" s="629"/>
      <c r="H65" s="662"/>
      <c r="I65" s="643"/>
    </row>
    <row r="66" spans="1:13" s="368" customFormat="1" ht="12.75" customHeight="1" x14ac:dyDescent="0.2">
      <c r="A66" s="318"/>
      <c r="B66" s="650"/>
      <c r="C66" s="658"/>
      <c r="D66" s="661" t="s">
        <v>587</v>
      </c>
      <c r="E66" s="629"/>
      <c r="F66" s="653">
        <v>-225</v>
      </c>
      <c r="G66" s="629"/>
      <c r="H66" s="636"/>
      <c r="I66" s="643"/>
    </row>
    <row r="67" spans="1:13" s="368" customFormat="1" ht="12.75" customHeight="1" x14ac:dyDescent="0.2">
      <c r="A67" s="318"/>
      <c r="B67" s="650"/>
      <c r="C67" s="658"/>
      <c r="D67" s="659" t="s">
        <v>588</v>
      </c>
      <c r="E67" s="629"/>
      <c r="F67" s="653">
        <v>-318.75</v>
      </c>
      <c r="G67" s="629"/>
      <c r="H67" s="636"/>
      <c r="I67" s="643"/>
    </row>
    <row r="68" spans="1:13" s="368" customFormat="1" ht="12.75" hidden="1" customHeight="1" x14ac:dyDescent="0.2">
      <c r="A68" s="318"/>
      <c r="B68" s="650"/>
      <c r="C68" s="658"/>
      <c r="D68" s="659" t="s">
        <v>513</v>
      </c>
      <c r="E68" s="629"/>
      <c r="F68" s="653"/>
      <c r="G68" s="629"/>
      <c r="H68" s="636"/>
      <c r="I68" s="643"/>
    </row>
    <row r="69" spans="1:13" s="368" customFormat="1" ht="12.75" customHeight="1" x14ac:dyDescent="0.2">
      <c r="A69" s="618">
        <f>1+A53</f>
        <v>6</v>
      </c>
      <c r="B69" s="632" t="s">
        <v>216</v>
      </c>
      <c r="C69" s="633" t="s">
        <v>217</v>
      </c>
      <c r="D69" s="663" t="str">
        <f>$D$14</f>
        <v>FTE February 2026</v>
      </c>
      <c r="E69" s="622">
        <f>'2521'!$J$124</f>
        <v>112560.37</v>
      </c>
      <c r="F69" s="635"/>
      <c r="G69" s="622">
        <f>SUBTOTAL(109,E69:F75)</f>
        <v>112560.37</v>
      </c>
      <c r="H69" s="636"/>
      <c r="I69" s="643"/>
    </row>
    <row r="70" spans="1:13" s="368" customFormat="1" ht="12.75" hidden="1" customHeight="1" x14ac:dyDescent="0.2">
      <c r="A70" s="618"/>
      <c r="B70" s="632"/>
      <c r="C70" s="633"/>
      <c r="D70" s="637" t="s">
        <v>490</v>
      </c>
      <c r="E70" s="622"/>
      <c r="F70" s="635"/>
      <c r="G70" s="622"/>
      <c r="H70" s="636"/>
      <c r="I70" s="643"/>
    </row>
    <row r="71" spans="1:13" s="368" customFormat="1" ht="12.75" hidden="1" customHeight="1" x14ac:dyDescent="0.2">
      <c r="A71" s="618"/>
      <c r="B71" s="632"/>
      <c r="C71" s="633"/>
      <c r="D71" s="637" t="s">
        <v>492</v>
      </c>
      <c r="E71" s="622"/>
      <c r="F71" s="635"/>
      <c r="G71" s="622"/>
      <c r="H71" s="636"/>
      <c r="I71" s="643"/>
    </row>
    <row r="72" spans="1:13" s="368" customFormat="1" ht="12.75" hidden="1" customHeight="1" x14ac:dyDescent="0.2">
      <c r="A72" s="618"/>
      <c r="B72" s="632"/>
      <c r="C72" s="633"/>
      <c r="D72" s="637" t="s">
        <v>493</v>
      </c>
      <c r="E72" s="622"/>
      <c r="F72" s="635"/>
      <c r="G72" s="622"/>
      <c r="H72" s="636"/>
      <c r="I72" s="643"/>
    </row>
    <row r="73" spans="1:13" s="368" customFormat="1" ht="12.75" hidden="1" customHeight="1" x14ac:dyDescent="0.2">
      <c r="A73" s="618"/>
      <c r="B73" s="632"/>
      <c r="C73" s="633"/>
      <c r="D73" s="637" t="s">
        <v>494</v>
      </c>
      <c r="E73" s="622"/>
      <c r="F73" s="635"/>
      <c r="G73" s="622"/>
      <c r="H73" s="636"/>
      <c r="I73" s="643"/>
      <c r="M73" s="657"/>
    </row>
    <row r="74" spans="1:13" ht="12.75" hidden="1" customHeight="1" x14ac:dyDescent="0.2">
      <c r="A74" s="618"/>
      <c r="B74" s="632"/>
      <c r="C74" s="633"/>
      <c r="D74" s="637" t="s">
        <v>495</v>
      </c>
      <c r="E74" s="622"/>
      <c r="F74" s="635"/>
      <c r="G74" s="622"/>
      <c r="I74" s="643"/>
      <c r="M74" s="314"/>
    </row>
    <row r="75" spans="1:13" ht="12.75" hidden="1" customHeight="1" x14ac:dyDescent="0.2">
      <c r="A75" s="618"/>
      <c r="B75" s="632"/>
      <c r="C75" s="633"/>
      <c r="D75" s="644" t="s">
        <v>512</v>
      </c>
      <c r="E75" s="622"/>
      <c r="F75" s="635"/>
      <c r="G75" s="622"/>
      <c r="I75" s="643"/>
      <c r="L75" s="314"/>
    </row>
    <row r="76" spans="1:13" s="368" customFormat="1" ht="12.75" customHeight="1" x14ac:dyDescent="0.2">
      <c r="A76" s="318">
        <f>1+A69</f>
        <v>7</v>
      </c>
      <c r="B76" s="650">
        <v>2531</v>
      </c>
      <c r="C76" s="651" t="s">
        <v>219</v>
      </c>
      <c r="D76" s="652" t="str">
        <f>$D$14</f>
        <v>FTE February 2026</v>
      </c>
      <c r="E76" s="629">
        <f>'2531'!$J$124</f>
        <v>99580.83</v>
      </c>
      <c r="F76" s="653"/>
      <c r="G76" s="629">
        <f>SUBTOTAL(109,E76:F87)</f>
        <v>99580.83</v>
      </c>
      <c r="H76" s="662"/>
      <c r="I76" s="643"/>
    </row>
    <row r="77" spans="1:13" ht="12.75" hidden="1" customHeight="1" x14ac:dyDescent="0.2">
      <c r="A77" s="318"/>
      <c r="B77" s="650"/>
      <c r="C77" s="651"/>
      <c r="D77" s="311" t="s">
        <v>514</v>
      </c>
      <c r="E77" s="629"/>
      <c r="F77" s="653"/>
      <c r="G77" s="629"/>
      <c r="I77" s="643"/>
    </row>
    <row r="78" spans="1:13" ht="12.75" hidden="1" customHeight="1" x14ac:dyDescent="0.2">
      <c r="A78" s="318"/>
      <c r="B78" s="650"/>
      <c r="C78" s="651"/>
      <c r="D78" s="311" t="s">
        <v>490</v>
      </c>
      <c r="E78" s="629"/>
      <c r="F78" s="653"/>
      <c r="G78" s="629"/>
      <c r="I78" s="643"/>
    </row>
    <row r="79" spans="1:13" s="368" customFormat="1" ht="12.75" hidden="1" customHeight="1" x14ac:dyDescent="0.2">
      <c r="A79" s="318"/>
      <c r="B79" s="650"/>
      <c r="C79" s="651"/>
      <c r="D79" s="311" t="s">
        <v>515</v>
      </c>
      <c r="E79" s="629"/>
      <c r="F79" s="653"/>
      <c r="G79" s="629"/>
      <c r="H79" s="636"/>
      <c r="I79" s="648"/>
    </row>
    <row r="80" spans="1:13" s="368" customFormat="1" ht="12.75" hidden="1" customHeight="1" x14ac:dyDescent="0.2">
      <c r="A80" s="318"/>
      <c r="B80" s="650"/>
      <c r="C80" s="651"/>
      <c r="D80" s="655" t="s">
        <v>510</v>
      </c>
      <c r="E80" s="629"/>
      <c r="F80" s="653"/>
      <c r="G80" s="629"/>
      <c r="H80" s="636"/>
      <c r="I80" s="650"/>
    </row>
    <row r="81" spans="1:9" s="368" customFormat="1" ht="12.75" hidden="1" customHeight="1" x14ac:dyDescent="0.2">
      <c r="A81" s="318"/>
      <c r="B81" s="650"/>
      <c r="C81" s="651"/>
      <c r="D81" s="311" t="s">
        <v>492</v>
      </c>
      <c r="E81" s="629"/>
      <c r="F81" s="653"/>
      <c r="G81" s="629"/>
      <c r="H81" s="636"/>
      <c r="I81" s="650"/>
    </row>
    <row r="82" spans="1:9" s="368" customFormat="1" ht="12.75" hidden="1" customHeight="1" x14ac:dyDescent="0.2">
      <c r="A82" s="318"/>
      <c r="B82" s="650"/>
      <c r="C82" s="651"/>
      <c r="D82" s="311" t="s">
        <v>493</v>
      </c>
      <c r="E82" s="629"/>
      <c r="F82" s="653"/>
      <c r="G82" s="629"/>
      <c r="H82" s="636"/>
      <c r="I82" s="650"/>
    </row>
    <row r="83" spans="1:9" s="368" customFormat="1" ht="12.75" hidden="1" customHeight="1" x14ac:dyDescent="0.2">
      <c r="A83" s="318"/>
      <c r="B83" s="650"/>
      <c r="C83" s="651"/>
      <c r="D83" s="311" t="s">
        <v>494</v>
      </c>
      <c r="E83" s="629"/>
      <c r="F83" s="653"/>
      <c r="G83" s="629"/>
      <c r="H83" s="662"/>
      <c r="I83" s="648"/>
    </row>
    <row r="84" spans="1:9" s="368" customFormat="1" ht="12.75" hidden="1" customHeight="1" x14ac:dyDescent="0.2">
      <c r="A84" s="318"/>
      <c r="B84" s="650"/>
      <c r="C84" s="651"/>
      <c r="D84" s="311" t="s">
        <v>495</v>
      </c>
      <c r="E84" s="629"/>
      <c r="F84" s="653"/>
      <c r="G84" s="629"/>
      <c r="H84" s="636"/>
      <c r="I84" s="648"/>
    </row>
    <row r="85" spans="1:9" s="368" customFormat="1" ht="12.75" hidden="1" customHeight="1" x14ac:dyDescent="0.2">
      <c r="A85" s="318"/>
      <c r="B85" s="650"/>
      <c r="C85" s="651"/>
      <c r="D85" s="311" t="s">
        <v>516</v>
      </c>
      <c r="E85" s="629"/>
      <c r="F85" s="653"/>
      <c r="G85" s="629"/>
      <c r="H85" s="636"/>
      <c r="I85" s="648"/>
    </row>
    <row r="86" spans="1:9" s="368" customFormat="1" ht="12.75" hidden="1" customHeight="1" x14ac:dyDescent="0.2">
      <c r="A86" s="318"/>
      <c r="B86" s="650"/>
      <c r="C86" s="658"/>
      <c r="D86" s="661" t="s">
        <v>503</v>
      </c>
      <c r="E86" s="629"/>
      <c r="F86" s="653"/>
      <c r="G86" s="629"/>
      <c r="H86" s="636"/>
      <c r="I86" s="643"/>
    </row>
    <row r="87" spans="1:9" s="368" customFormat="1" ht="12.75" hidden="1" customHeight="1" x14ac:dyDescent="0.2">
      <c r="A87" s="318"/>
      <c r="B87" s="650"/>
      <c r="C87" s="651"/>
      <c r="D87" s="659" t="s">
        <v>512</v>
      </c>
      <c r="E87" s="629"/>
      <c r="F87" s="653"/>
      <c r="G87" s="629"/>
      <c r="H87" s="636"/>
      <c r="I87" s="658"/>
    </row>
    <row r="88" spans="1:9" s="368" customFormat="1" ht="12.75" customHeight="1" x14ac:dyDescent="0.2">
      <c r="A88" s="618">
        <f>1+A76</f>
        <v>8</v>
      </c>
      <c r="B88" s="632" t="s">
        <v>220</v>
      </c>
      <c r="C88" s="664" t="s">
        <v>302</v>
      </c>
      <c r="D88" s="663" t="str">
        <f>$D$14</f>
        <v>FTE February 2026</v>
      </c>
      <c r="E88" s="622">
        <f>'2791'!$J$124</f>
        <v>477676.86</v>
      </c>
      <c r="F88" s="635"/>
      <c r="G88" s="622">
        <f>SUBTOTAL(109,E88:F95)</f>
        <v>477676.86</v>
      </c>
      <c r="H88" s="662"/>
      <c r="I88" s="645"/>
    </row>
    <row r="89" spans="1:9" s="368" customFormat="1" ht="12.75" hidden="1" customHeight="1" x14ac:dyDescent="0.2">
      <c r="A89" s="618"/>
      <c r="B89" s="632"/>
      <c r="C89" s="633"/>
      <c r="D89" s="637" t="s">
        <v>490</v>
      </c>
      <c r="E89" s="622"/>
      <c r="F89" s="635"/>
      <c r="G89" s="622"/>
      <c r="H89" s="636"/>
      <c r="I89" s="658"/>
    </row>
    <row r="90" spans="1:9" s="368" customFormat="1" ht="12.75" hidden="1" customHeight="1" x14ac:dyDescent="0.2">
      <c r="A90" s="618"/>
      <c r="B90" s="632"/>
      <c r="C90" s="633"/>
      <c r="D90" s="638" t="s">
        <v>491</v>
      </c>
      <c r="E90" s="622"/>
      <c r="F90" s="635"/>
      <c r="G90" s="622"/>
      <c r="H90" s="636"/>
      <c r="I90" s="658"/>
    </row>
    <row r="91" spans="1:9" s="368" customFormat="1" ht="12.75" hidden="1" customHeight="1" x14ac:dyDescent="0.2">
      <c r="A91" s="618"/>
      <c r="B91" s="632"/>
      <c r="C91" s="633"/>
      <c r="D91" s="637" t="s">
        <v>492</v>
      </c>
      <c r="E91" s="622"/>
      <c r="F91" s="635"/>
      <c r="G91" s="622"/>
      <c r="H91" s="636"/>
      <c r="I91" s="658"/>
    </row>
    <row r="92" spans="1:9" s="368" customFormat="1" ht="12.75" hidden="1" customHeight="1" x14ac:dyDescent="0.2">
      <c r="A92" s="618"/>
      <c r="B92" s="632"/>
      <c r="C92" s="633"/>
      <c r="D92" s="637" t="s">
        <v>493</v>
      </c>
      <c r="E92" s="622"/>
      <c r="F92" s="635"/>
      <c r="G92" s="622"/>
      <c r="H92" s="636"/>
      <c r="I92" s="658"/>
    </row>
    <row r="93" spans="1:9" s="368" customFormat="1" ht="12.75" hidden="1" customHeight="1" x14ac:dyDescent="0.2">
      <c r="A93" s="618"/>
      <c r="B93" s="632"/>
      <c r="C93" s="633"/>
      <c r="D93" s="637"/>
      <c r="E93" s="622"/>
      <c r="F93" s="635"/>
      <c r="G93" s="622"/>
      <c r="H93" s="636"/>
      <c r="I93" s="643"/>
    </row>
    <row r="94" spans="1:9" s="368" customFormat="1" ht="12.75" hidden="1" customHeight="1" x14ac:dyDescent="0.2">
      <c r="A94" s="618"/>
      <c r="B94" s="632"/>
      <c r="C94" s="633"/>
      <c r="D94" s="637" t="s">
        <v>495</v>
      </c>
      <c r="E94" s="622"/>
      <c r="F94" s="635"/>
      <c r="G94" s="622"/>
      <c r="H94" s="636"/>
      <c r="I94" s="643"/>
    </row>
    <row r="95" spans="1:9" s="368" customFormat="1" ht="12.75" hidden="1" customHeight="1" x14ac:dyDescent="0.2">
      <c r="A95" s="618"/>
      <c r="B95" s="632"/>
      <c r="C95" s="633"/>
      <c r="D95" s="644" t="s">
        <v>512</v>
      </c>
      <c r="E95" s="622"/>
      <c r="F95" s="635"/>
      <c r="G95" s="622"/>
      <c r="H95" s="636"/>
      <c r="I95" s="643"/>
    </row>
    <row r="96" spans="1:9" s="368" customFormat="1" ht="12.75" customHeight="1" x14ac:dyDescent="0.2">
      <c r="A96" s="318">
        <f>A88+1</f>
        <v>9</v>
      </c>
      <c r="B96" s="650" t="s">
        <v>222</v>
      </c>
      <c r="C96" s="665" t="s">
        <v>223</v>
      </c>
      <c r="D96" s="652" t="str">
        <f>$D$14</f>
        <v>FTE February 2026</v>
      </c>
      <c r="E96" s="629">
        <f>'2801'!$J$124</f>
        <v>401410.35</v>
      </c>
      <c r="F96" s="653"/>
      <c r="G96" s="629">
        <f>SUBTOTAL(109,E96:F105)</f>
        <v>401410.35</v>
      </c>
      <c r="H96" s="662"/>
      <c r="I96" s="645"/>
    </row>
    <row r="97" spans="1:9" s="368" customFormat="1" ht="12.75" hidden="1" customHeight="1" x14ac:dyDescent="0.2">
      <c r="A97" s="318"/>
      <c r="B97" s="650"/>
      <c r="C97" s="651"/>
      <c r="D97" s="311" t="s">
        <v>514</v>
      </c>
      <c r="E97" s="629"/>
      <c r="F97" s="653"/>
      <c r="G97" s="629"/>
      <c r="H97" s="636"/>
      <c r="I97" s="643"/>
    </row>
    <row r="98" spans="1:9" s="368" customFormat="1" ht="12.75" hidden="1" customHeight="1" x14ac:dyDescent="0.2">
      <c r="A98" s="318"/>
      <c r="B98" s="650"/>
      <c r="C98" s="651"/>
      <c r="D98" s="655" t="s">
        <v>491</v>
      </c>
      <c r="E98" s="629"/>
      <c r="F98" s="653"/>
      <c r="G98" s="629"/>
      <c r="H98" s="662"/>
      <c r="I98" s="648"/>
    </row>
    <row r="99" spans="1:9" s="368" customFormat="1" ht="12.75" hidden="1" customHeight="1" x14ac:dyDescent="0.2">
      <c r="A99" s="318"/>
      <c r="B99" s="650"/>
      <c r="C99" s="651"/>
      <c r="D99" s="311" t="s">
        <v>492</v>
      </c>
      <c r="E99" s="629"/>
      <c r="F99" s="653"/>
      <c r="G99" s="629"/>
      <c r="H99" s="662"/>
      <c r="I99" s="650"/>
    </row>
    <row r="100" spans="1:9" s="368" customFormat="1" ht="12.75" hidden="1" customHeight="1" x14ac:dyDescent="0.2">
      <c r="A100" s="318"/>
      <c r="B100" s="650"/>
      <c r="C100" s="651"/>
      <c r="D100" s="311" t="s">
        <v>517</v>
      </c>
      <c r="E100" s="629"/>
      <c r="F100" s="653"/>
      <c r="G100" s="629"/>
      <c r="H100" s="636"/>
      <c r="I100" s="658"/>
    </row>
    <row r="101" spans="1:9" s="368" customFormat="1" ht="12.75" hidden="1" customHeight="1" x14ac:dyDescent="0.2">
      <c r="A101" s="318"/>
      <c r="B101" s="650"/>
      <c r="C101" s="651"/>
      <c r="D101" s="311" t="s">
        <v>494</v>
      </c>
      <c r="E101" s="629"/>
      <c r="F101" s="653"/>
      <c r="G101" s="629"/>
      <c r="H101" s="662"/>
      <c r="I101" s="650"/>
    </row>
    <row r="102" spans="1:9" s="368" customFormat="1" ht="12.75" hidden="1" customHeight="1" x14ac:dyDescent="0.2">
      <c r="A102" s="318"/>
      <c r="B102" s="650"/>
      <c r="C102" s="651"/>
      <c r="D102" s="311" t="s">
        <v>495</v>
      </c>
      <c r="E102" s="629"/>
      <c r="F102" s="653"/>
      <c r="G102" s="629"/>
      <c r="H102" s="662"/>
      <c r="I102" s="650"/>
    </row>
    <row r="103" spans="1:9" s="368" customFormat="1" ht="12.75" hidden="1" customHeight="1" x14ac:dyDescent="0.2">
      <c r="A103" s="318"/>
      <c r="B103" s="650"/>
      <c r="C103" s="651"/>
      <c r="D103" s="311" t="s">
        <v>518</v>
      </c>
      <c r="E103" s="629"/>
      <c r="F103" s="653"/>
      <c r="G103" s="629"/>
      <c r="H103" s="662"/>
      <c r="I103" s="648"/>
    </row>
    <row r="104" spans="1:9" s="368" customFormat="1" ht="12.75" hidden="1" customHeight="1" x14ac:dyDescent="0.2">
      <c r="A104" s="318"/>
      <c r="B104" s="650"/>
      <c r="C104" s="651"/>
      <c r="D104" s="311" t="s">
        <v>516</v>
      </c>
      <c r="E104" s="629"/>
      <c r="F104" s="653"/>
      <c r="G104" s="629"/>
      <c r="H104" s="636"/>
      <c r="I104" s="648"/>
    </row>
    <row r="105" spans="1:9" s="368" customFormat="1" ht="12.75" hidden="1" customHeight="1" x14ac:dyDescent="0.2">
      <c r="A105" s="318"/>
      <c r="B105" s="650"/>
      <c r="C105" s="651"/>
      <c r="D105" s="659" t="s">
        <v>519</v>
      </c>
      <c r="E105" s="629"/>
      <c r="F105" s="653"/>
      <c r="G105" s="629"/>
      <c r="H105" s="636"/>
      <c r="I105" s="648"/>
    </row>
    <row r="106" spans="1:9" s="368" customFormat="1" ht="12.75" customHeight="1" x14ac:dyDescent="0.2">
      <c r="A106" s="618">
        <f>A96+1</f>
        <v>10</v>
      </c>
      <c r="B106" s="632" t="s">
        <v>224</v>
      </c>
      <c r="C106" s="633" t="s">
        <v>225</v>
      </c>
      <c r="D106" s="663" t="str">
        <f>$D$14</f>
        <v>FTE February 2026</v>
      </c>
      <c r="E106" s="622">
        <f>'2911'!$J$124</f>
        <v>655584.5</v>
      </c>
      <c r="F106" s="635"/>
      <c r="G106" s="622">
        <f>SUBTOTAL(109,E106:F116)</f>
        <v>655584.5</v>
      </c>
      <c r="H106" s="662"/>
      <c r="I106" s="650"/>
    </row>
    <row r="107" spans="1:9" s="368" customFormat="1" ht="12.75" hidden="1" customHeight="1" x14ac:dyDescent="0.2">
      <c r="A107" s="618"/>
      <c r="B107" s="632"/>
      <c r="C107" s="633"/>
      <c r="D107" s="637" t="s">
        <v>490</v>
      </c>
      <c r="E107" s="622"/>
      <c r="F107" s="635"/>
      <c r="G107" s="622"/>
      <c r="H107" s="662"/>
      <c r="I107" s="650"/>
    </row>
    <row r="108" spans="1:9" s="368" customFormat="1" ht="12.75" hidden="1" customHeight="1" x14ac:dyDescent="0.2">
      <c r="A108" s="618"/>
      <c r="B108" s="632"/>
      <c r="C108" s="633"/>
      <c r="D108" s="638" t="s">
        <v>510</v>
      </c>
      <c r="E108" s="622"/>
      <c r="F108" s="635"/>
      <c r="G108" s="622"/>
      <c r="H108" s="636"/>
      <c r="I108" s="658"/>
    </row>
    <row r="109" spans="1:9" s="368" customFormat="1" ht="12.75" hidden="1" customHeight="1" x14ac:dyDescent="0.2">
      <c r="A109" s="618"/>
      <c r="B109" s="632"/>
      <c r="C109" s="633"/>
      <c r="D109" s="637" t="s">
        <v>492</v>
      </c>
      <c r="E109" s="622"/>
      <c r="F109" s="635"/>
      <c r="G109" s="622"/>
      <c r="H109" s="662"/>
      <c r="I109" s="650"/>
    </row>
    <row r="110" spans="1:9" s="368" customFormat="1" ht="12.75" hidden="1" customHeight="1" x14ac:dyDescent="0.2">
      <c r="A110" s="618"/>
      <c r="B110" s="632"/>
      <c r="C110" s="633"/>
      <c r="D110" s="637" t="s">
        <v>493</v>
      </c>
      <c r="E110" s="622"/>
      <c r="F110" s="635"/>
      <c r="G110" s="622"/>
      <c r="H110" s="662"/>
      <c r="I110" s="650"/>
    </row>
    <row r="111" spans="1:9" s="368" customFormat="1" ht="12.75" hidden="1" customHeight="1" x14ac:dyDescent="0.2">
      <c r="A111" s="618"/>
      <c r="B111" s="632"/>
      <c r="C111" s="633"/>
      <c r="D111" s="637" t="s">
        <v>494</v>
      </c>
      <c r="E111" s="622"/>
      <c r="F111" s="635"/>
      <c r="G111" s="622"/>
      <c r="H111" s="662"/>
      <c r="I111" s="650"/>
    </row>
    <row r="112" spans="1:9" s="368" customFormat="1" ht="12.75" hidden="1" customHeight="1" x14ac:dyDescent="0.2">
      <c r="A112" s="618"/>
      <c r="B112" s="632"/>
      <c r="C112" s="633"/>
      <c r="D112" s="637" t="s">
        <v>495</v>
      </c>
      <c r="E112" s="622"/>
      <c r="F112" s="635"/>
      <c r="G112" s="622"/>
      <c r="H112" s="636"/>
      <c r="I112" s="647"/>
    </row>
    <row r="113" spans="1:12" s="368" customFormat="1" ht="12.75" hidden="1" customHeight="1" x14ac:dyDescent="0.2">
      <c r="A113" s="618"/>
      <c r="B113" s="632"/>
      <c r="C113" s="633"/>
      <c r="D113" s="637" t="s">
        <v>518</v>
      </c>
      <c r="E113" s="622"/>
      <c r="F113" s="635"/>
      <c r="G113" s="622"/>
      <c r="H113" s="662"/>
    </row>
    <row r="114" spans="1:12" s="368" customFormat="1" ht="12.75" hidden="1" customHeight="1" x14ac:dyDescent="0.2">
      <c r="A114" s="618"/>
      <c r="B114" s="632"/>
      <c r="C114" s="640"/>
      <c r="D114" s="644" t="s">
        <v>520</v>
      </c>
      <c r="E114" s="622"/>
      <c r="F114" s="635"/>
      <c r="G114" s="622"/>
      <c r="H114" s="662"/>
      <c r="I114" s="650"/>
    </row>
    <row r="115" spans="1:12" s="368" customFormat="1" ht="12.75" hidden="1" customHeight="1" x14ac:dyDescent="0.2">
      <c r="A115" s="618"/>
      <c r="B115" s="632"/>
      <c r="C115" s="640"/>
      <c r="D115" s="644" t="s">
        <v>512</v>
      </c>
      <c r="E115" s="622"/>
      <c r="F115" s="635"/>
      <c r="G115" s="622"/>
      <c r="H115" s="662"/>
      <c r="I115" s="648"/>
    </row>
    <row r="116" spans="1:12" s="368" customFormat="1" ht="12.75" hidden="1" customHeight="1" x14ac:dyDescent="0.2">
      <c r="A116" s="618"/>
      <c r="B116" s="632"/>
      <c r="C116" s="640"/>
      <c r="D116" s="666"/>
      <c r="E116" s="622"/>
      <c r="F116" s="635"/>
      <c r="G116" s="622"/>
      <c r="H116" s="662"/>
      <c r="I116" s="648"/>
    </row>
    <row r="117" spans="1:12" s="368" customFormat="1" ht="12.75" customHeight="1" x14ac:dyDescent="0.2">
      <c r="A117" s="318">
        <f>A106+1</f>
        <v>11</v>
      </c>
      <c r="B117" s="650" t="s">
        <v>226</v>
      </c>
      <c r="C117" s="651" t="s">
        <v>227</v>
      </c>
      <c r="D117" s="652" t="str">
        <f>$D$14</f>
        <v>FTE February 2026</v>
      </c>
      <c r="E117" s="629">
        <f>'2941'!$J$124</f>
        <v>1008874.41</v>
      </c>
      <c r="F117" s="653"/>
      <c r="G117" s="629">
        <f>SUBTOTAL(109,E117:F125)</f>
        <v>1008874.41</v>
      </c>
      <c r="H117" s="662"/>
      <c r="I117" s="650"/>
    </row>
    <row r="118" spans="1:12" s="368" customFormat="1" ht="12.75" hidden="1" customHeight="1" x14ac:dyDescent="0.2">
      <c r="A118" s="318"/>
      <c r="B118" s="650"/>
      <c r="C118" s="651"/>
      <c r="D118" s="311" t="s">
        <v>514</v>
      </c>
      <c r="E118" s="629"/>
      <c r="F118" s="653"/>
      <c r="G118" s="629"/>
      <c r="H118" s="662"/>
      <c r="I118" s="650"/>
    </row>
    <row r="119" spans="1:12" s="368" customFormat="1" ht="12.75" hidden="1" customHeight="1" x14ac:dyDescent="0.2">
      <c r="A119" s="318"/>
      <c r="B119" s="650"/>
      <c r="C119" s="651"/>
      <c r="D119" s="655" t="s">
        <v>491</v>
      </c>
      <c r="E119" s="629"/>
      <c r="F119" s="653"/>
      <c r="G119" s="629"/>
      <c r="H119" s="636"/>
      <c r="I119" s="658"/>
    </row>
    <row r="120" spans="1:12" s="368" customFormat="1" ht="12.75" hidden="1" customHeight="1" x14ac:dyDescent="0.2">
      <c r="A120" s="318"/>
      <c r="B120" s="650"/>
      <c r="C120" s="651"/>
      <c r="D120" s="311" t="s">
        <v>492</v>
      </c>
      <c r="E120" s="629"/>
      <c r="F120" s="653"/>
      <c r="G120" s="629"/>
      <c r="H120" s="662"/>
      <c r="I120" s="650"/>
    </row>
    <row r="121" spans="1:12" s="368" customFormat="1" ht="12.75" hidden="1" customHeight="1" x14ac:dyDescent="0.2">
      <c r="A121" s="318"/>
      <c r="B121" s="650"/>
      <c r="C121" s="651"/>
      <c r="D121" s="311" t="s">
        <v>493</v>
      </c>
      <c r="E121" s="629"/>
      <c r="F121" s="653"/>
      <c r="G121" s="629"/>
      <c r="H121" s="662"/>
      <c r="I121" s="650"/>
    </row>
    <row r="122" spans="1:12" s="368" customFormat="1" ht="12.75" hidden="1" customHeight="1" x14ac:dyDescent="0.2">
      <c r="A122" s="318"/>
      <c r="B122" s="650"/>
      <c r="C122" s="651"/>
      <c r="D122" s="311" t="s">
        <v>494</v>
      </c>
      <c r="E122" s="629"/>
      <c r="F122" s="653"/>
      <c r="G122" s="629"/>
      <c r="H122" s="662"/>
      <c r="I122" s="650"/>
    </row>
    <row r="123" spans="1:12" s="368" customFormat="1" ht="12.75" hidden="1" customHeight="1" x14ac:dyDescent="0.2">
      <c r="A123" s="318"/>
      <c r="B123" s="650"/>
      <c r="C123" s="651"/>
      <c r="D123" s="655" t="s">
        <v>521</v>
      </c>
      <c r="E123" s="629"/>
      <c r="F123" s="653"/>
      <c r="G123" s="629"/>
      <c r="H123" s="636"/>
      <c r="I123" s="647"/>
    </row>
    <row r="124" spans="1:12" s="368" customFormat="1" ht="12.75" hidden="1" customHeight="1" x14ac:dyDescent="0.2">
      <c r="A124" s="318"/>
      <c r="B124" s="650"/>
      <c r="C124" s="651"/>
      <c r="D124" s="311" t="s">
        <v>516</v>
      </c>
      <c r="E124" s="629"/>
      <c r="F124" s="653"/>
      <c r="G124" s="629"/>
      <c r="H124" s="662"/>
      <c r="I124" s="648"/>
    </row>
    <row r="125" spans="1:12" s="368" customFormat="1" ht="12.75" hidden="1" customHeight="1" x14ac:dyDescent="0.2">
      <c r="A125" s="318"/>
      <c r="B125" s="650"/>
      <c r="C125" s="651"/>
      <c r="D125" s="659"/>
      <c r="E125" s="629"/>
      <c r="F125" s="653"/>
      <c r="G125" s="629"/>
      <c r="H125" s="636"/>
      <c r="I125" s="648"/>
      <c r="J125" s="661"/>
      <c r="K125" s="629"/>
      <c r="L125" s="656"/>
    </row>
    <row r="126" spans="1:12" s="368" customFormat="1" ht="12.75" customHeight="1" x14ac:dyDescent="0.2">
      <c r="A126" s="618">
        <f>A117+1</f>
        <v>12</v>
      </c>
      <c r="B126" s="632" t="s">
        <v>228</v>
      </c>
      <c r="C126" s="664" t="s">
        <v>307</v>
      </c>
      <c r="D126" s="663" t="str">
        <f>$D$14</f>
        <v>FTE February 2026</v>
      </c>
      <c r="E126" s="622">
        <f>'3083'!$J$124</f>
        <v>613167.34</v>
      </c>
      <c r="F126" s="635"/>
      <c r="G126" s="622">
        <f>SUBTOTAL(109,E126:F133)</f>
        <v>613167.34</v>
      </c>
      <c r="H126" s="636"/>
      <c r="I126" s="648"/>
      <c r="J126" s="661"/>
      <c r="K126" s="629"/>
      <c r="L126" s="656"/>
    </row>
    <row r="127" spans="1:12" s="368" customFormat="1" ht="12.75" hidden="1" customHeight="1" x14ac:dyDescent="0.2">
      <c r="A127" s="618"/>
      <c r="B127" s="632"/>
      <c r="C127" s="633"/>
      <c r="D127" s="637" t="s">
        <v>521</v>
      </c>
      <c r="E127" s="622"/>
      <c r="F127" s="635"/>
      <c r="G127" s="622"/>
      <c r="H127" s="662"/>
      <c r="I127" s="650"/>
    </row>
    <row r="128" spans="1:12" s="368" customFormat="1" ht="12.75" hidden="1" customHeight="1" x14ac:dyDescent="0.2">
      <c r="A128" s="618"/>
      <c r="B128" s="632"/>
      <c r="C128" s="633"/>
      <c r="D128" s="638" t="s">
        <v>491</v>
      </c>
      <c r="E128" s="622"/>
      <c r="F128" s="635"/>
      <c r="G128" s="622"/>
      <c r="H128" s="662"/>
      <c r="I128" s="650"/>
    </row>
    <row r="129" spans="1:9" s="368" customFormat="1" ht="12.75" hidden="1" customHeight="1" x14ac:dyDescent="0.2">
      <c r="A129" s="618"/>
      <c r="B129" s="632"/>
      <c r="C129" s="633"/>
      <c r="D129" s="637" t="s">
        <v>492</v>
      </c>
      <c r="E129" s="622"/>
      <c r="F129" s="635"/>
      <c r="G129" s="622"/>
      <c r="H129" s="636"/>
      <c r="I129" s="658"/>
    </row>
    <row r="130" spans="1:9" s="368" customFormat="1" ht="12.75" hidden="1" customHeight="1" x14ac:dyDescent="0.2">
      <c r="A130" s="618"/>
      <c r="B130" s="632"/>
      <c r="C130" s="633"/>
      <c r="D130" s="637" t="s">
        <v>493</v>
      </c>
      <c r="E130" s="622"/>
      <c r="F130" s="635"/>
      <c r="G130" s="622"/>
      <c r="H130" s="662"/>
      <c r="I130" s="650"/>
    </row>
    <row r="131" spans="1:9" s="368" customFormat="1" ht="12.75" hidden="1" customHeight="1" x14ac:dyDescent="0.2">
      <c r="A131" s="618"/>
      <c r="B131" s="632"/>
      <c r="C131" s="633"/>
      <c r="D131" s="666" t="s">
        <v>494</v>
      </c>
      <c r="E131" s="622"/>
      <c r="F131" s="635"/>
      <c r="G131" s="622"/>
      <c r="H131" s="662"/>
      <c r="I131" s="650"/>
    </row>
    <row r="132" spans="1:9" s="368" customFormat="1" ht="12.75" hidden="1" customHeight="1" x14ac:dyDescent="0.2">
      <c r="A132" s="618"/>
      <c r="B132" s="632"/>
      <c r="C132" s="633"/>
      <c r="D132" s="637" t="s">
        <v>495</v>
      </c>
      <c r="E132" s="622"/>
      <c r="F132" s="635"/>
      <c r="G132" s="622"/>
      <c r="H132" s="662"/>
      <c r="I132" s="650"/>
    </row>
    <row r="133" spans="1:9" s="368" customFormat="1" ht="12.75" hidden="1" customHeight="1" x14ac:dyDescent="0.2">
      <c r="A133" s="618"/>
      <c r="B133" s="632"/>
      <c r="C133" s="633"/>
      <c r="D133" s="637" t="s">
        <v>490</v>
      </c>
      <c r="E133" s="622"/>
      <c r="F133" s="635"/>
      <c r="G133" s="622"/>
      <c r="H133" s="636"/>
      <c r="I133" s="647"/>
    </row>
    <row r="134" spans="1:9" s="368" customFormat="1" ht="12.75" customHeight="1" x14ac:dyDescent="0.2">
      <c r="A134" s="318">
        <f>A126+1</f>
        <v>13</v>
      </c>
      <c r="B134" s="650" t="s">
        <v>230</v>
      </c>
      <c r="C134" s="665" t="s">
        <v>231</v>
      </c>
      <c r="D134" s="652" t="str">
        <f>$D$14</f>
        <v>FTE February 2026</v>
      </c>
      <c r="E134" s="629">
        <f>'3345'!$J$124</f>
        <v>91480.28</v>
      </c>
      <c r="F134" s="653"/>
      <c r="G134" s="629">
        <f>SUBTOTAL(109,E134:F140)</f>
        <v>91480.28</v>
      </c>
      <c r="H134" s="636"/>
      <c r="I134" s="647"/>
    </row>
    <row r="135" spans="1:9" s="368" customFormat="1" ht="12.75" hidden="1" customHeight="1" x14ac:dyDescent="0.2">
      <c r="A135" s="318"/>
      <c r="B135" s="650"/>
      <c r="C135" s="665"/>
      <c r="D135" s="311" t="s">
        <v>514</v>
      </c>
      <c r="E135" s="629"/>
      <c r="F135" s="653"/>
      <c r="G135" s="629"/>
      <c r="H135" s="636"/>
      <c r="I135" s="647"/>
    </row>
    <row r="136" spans="1:9" s="368" customFormat="1" ht="12.75" hidden="1" customHeight="1" x14ac:dyDescent="0.2">
      <c r="A136" s="318"/>
      <c r="B136" s="650"/>
      <c r="C136" s="665"/>
      <c r="D136" s="311" t="s">
        <v>491</v>
      </c>
      <c r="E136" s="629"/>
      <c r="F136" s="653"/>
      <c r="G136" s="629"/>
      <c r="H136" s="662"/>
      <c r="I136" s="650"/>
    </row>
    <row r="137" spans="1:9" s="368" customFormat="1" ht="12.75" hidden="1" customHeight="1" x14ac:dyDescent="0.2">
      <c r="A137" s="318"/>
      <c r="B137" s="650"/>
      <c r="C137" s="651"/>
      <c r="D137" s="311" t="s">
        <v>493</v>
      </c>
      <c r="E137" s="629"/>
      <c r="F137" s="653"/>
      <c r="G137" s="629"/>
      <c r="H137" s="662"/>
      <c r="I137" s="650"/>
    </row>
    <row r="138" spans="1:9" s="368" customFormat="1" ht="12.75" hidden="1" customHeight="1" x14ac:dyDescent="0.2">
      <c r="A138" s="318"/>
      <c r="B138" s="650"/>
      <c r="C138" s="651"/>
      <c r="D138" s="311" t="s">
        <v>494</v>
      </c>
      <c r="E138" s="629"/>
      <c r="F138" s="653"/>
      <c r="G138" s="629"/>
      <c r="H138" s="636"/>
      <c r="I138" s="658"/>
    </row>
    <row r="139" spans="1:9" s="368" customFormat="1" ht="12.75" hidden="1" customHeight="1" x14ac:dyDescent="0.2">
      <c r="A139" s="318"/>
      <c r="B139" s="650"/>
      <c r="C139" s="651"/>
      <c r="D139" s="311" t="s">
        <v>495</v>
      </c>
      <c r="E139" s="629"/>
      <c r="F139" s="653"/>
      <c r="G139" s="629"/>
      <c r="H139" s="662"/>
      <c r="I139" s="650"/>
    </row>
    <row r="140" spans="1:9" s="368" customFormat="1" ht="12.75" hidden="1" customHeight="1" x14ac:dyDescent="0.2">
      <c r="A140" s="318"/>
      <c r="B140" s="650"/>
      <c r="C140" s="651"/>
      <c r="D140" s="659" t="s">
        <v>512</v>
      </c>
      <c r="E140" s="629"/>
      <c r="F140" s="653"/>
      <c r="G140" s="629"/>
      <c r="H140" s="662"/>
      <c r="I140" s="650"/>
    </row>
    <row r="141" spans="1:9" s="368" customFormat="1" ht="12.75" customHeight="1" x14ac:dyDescent="0.2">
      <c r="A141" s="618">
        <v>14</v>
      </c>
      <c r="B141" s="632">
        <v>3362</v>
      </c>
      <c r="C141" s="633" t="s">
        <v>310</v>
      </c>
      <c r="D141" s="663" t="str">
        <f>$D$14</f>
        <v>FTE February 2026</v>
      </c>
      <c r="E141" s="622">
        <f>'3362'!$J$124</f>
        <v>154690.62</v>
      </c>
      <c r="F141" s="635"/>
      <c r="G141" s="622">
        <f>SUBTOTAL(109,E141:F141)</f>
        <v>154690.62</v>
      </c>
      <c r="H141" s="636"/>
      <c r="I141" s="647"/>
    </row>
    <row r="142" spans="1:9" s="368" customFormat="1" ht="12.75" customHeight="1" x14ac:dyDescent="0.2">
      <c r="A142" s="618">
        <v>15</v>
      </c>
      <c r="B142" s="632" t="s">
        <v>232</v>
      </c>
      <c r="C142" s="633" t="s">
        <v>233</v>
      </c>
      <c r="D142" s="663" t="str">
        <f>$D$14</f>
        <v>FTE February 2026</v>
      </c>
      <c r="E142" s="622">
        <f>'3381'!$J$124</f>
        <v>771145.22</v>
      </c>
      <c r="F142" s="635"/>
      <c r="G142" s="622">
        <f>SUBTOTAL(109,E142:F150)</f>
        <v>771145.22</v>
      </c>
      <c r="H142" s="662"/>
      <c r="I142" s="650"/>
    </row>
    <row r="143" spans="1:9" s="368" customFormat="1" ht="12.75" hidden="1" customHeight="1" x14ac:dyDescent="0.2">
      <c r="A143" s="618"/>
      <c r="B143" s="632"/>
      <c r="C143" s="633"/>
      <c r="D143" s="637" t="s">
        <v>490</v>
      </c>
      <c r="E143" s="622"/>
      <c r="F143" s="635"/>
      <c r="G143" s="622"/>
      <c r="H143" s="636"/>
      <c r="I143" s="647"/>
    </row>
    <row r="144" spans="1:9" ht="12.75" hidden="1" customHeight="1" x14ac:dyDescent="0.2">
      <c r="A144" s="618"/>
      <c r="B144" s="632"/>
      <c r="C144" s="633"/>
      <c r="D144" s="638" t="s">
        <v>491</v>
      </c>
      <c r="E144" s="622"/>
      <c r="F144" s="635"/>
      <c r="G144" s="622"/>
      <c r="H144" s="667"/>
      <c r="I144" s="650"/>
    </row>
    <row r="145" spans="1:9" s="368" customFormat="1" ht="12.75" hidden="1" customHeight="1" x14ac:dyDescent="0.2">
      <c r="A145" s="618"/>
      <c r="B145" s="632"/>
      <c r="C145" s="633"/>
      <c r="D145" s="637" t="s">
        <v>492</v>
      </c>
      <c r="E145" s="622"/>
      <c r="F145" s="635"/>
      <c r="G145" s="622"/>
      <c r="H145" s="662"/>
      <c r="I145" s="650"/>
    </row>
    <row r="146" spans="1:9" s="368" customFormat="1" ht="12.75" hidden="1" customHeight="1" x14ac:dyDescent="0.2">
      <c r="A146" s="618"/>
      <c r="B146" s="632"/>
      <c r="C146" s="633"/>
      <c r="D146" s="637" t="s">
        <v>493</v>
      </c>
      <c r="E146" s="622"/>
      <c r="F146" s="635"/>
      <c r="G146" s="622"/>
      <c r="H146" s="662"/>
      <c r="I146" s="650"/>
    </row>
    <row r="147" spans="1:9" s="368" customFormat="1" ht="12.75" hidden="1" customHeight="1" x14ac:dyDescent="0.2">
      <c r="A147" s="618"/>
      <c r="B147" s="632"/>
      <c r="C147" s="633"/>
      <c r="D147" s="637" t="s">
        <v>494</v>
      </c>
      <c r="E147" s="622"/>
      <c r="F147" s="635"/>
      <c r="G147" s="622"/>
      <c r="H147" s="662"/>
      <c r="I147" s="650"/>
    </row>
    <row r="148" spans="1:9" s="368" customFormat="1" ht="12.75" hidden="1" customHeight="1" x14ac:dyDescent="0.2">
      <c r="A148" s="618"/>
      <c r="B148" s="632"/>
      <c r="C148" s="633"/>
      <c r="D148" s="637" t="s">
        <v>495</v>
      </c>
      <c r="E148" s="622"/>
      <c r="F148" s="635"/>
      <c r="G148" s="622"/>
      <c r="H148" s="662"/>
      <c r="I148" s="650"/>
    </row>
    <row r="149" spans="1:9" s="368" customFormat="1" ht="12.75" hidden="1" customHeight="1" x14ac:dyDescent="0.2">
      <c r="A149" s="618"/>
      <c r="B149" s="632"/>
      <c r="C149" s="633"/>
      <c r="D149" s="637" t="s">
        <v>522</v>
      </c>
      <c r="E149" s="622"/>
      <c r="F149" s="635"/>
      <c r="G149" s="622"/>
      <c r="H149" s="662"/>
      <c r="I149" s="650"/>
    </row>
    <row r="150" spans="1:9" s="368" customFormat="1" ht="12.75" hidden="1" customHeight="1" x14ac:dyDescent="0.2">
      <c r="A150" s="618"/>
      <c r="B150" s="632"/>
      <c r="C150" s="633"/>
      <c r="D150" s="666" t="s">
        <v>512</v>
      </c>
      <c r="E150" s="622"/>
      <c r="F150" s="635"/>
      <c r="G150" s="622"/>
      <c r="H150" s="636"/>
      <c r="I150" s="647"/>
    </row>
    <row r="151" spans="1:9" s="368" customFormat="1" ht="12.75" customHeight="1" x14ac:dyDescent="0.2">
      <c r="A151" s="318">
        <v>16</v>
      </c>
      <c r="B151" s="650" t="s">
        <v>234</v>
      </c>
      <c r="C151" s="651" t="s">
        <v>235</v>
      </c>
      <c r="D151" s="652" t="str">
        <f>$D$14</f>
        <v>FTE February 2026</v>
      </c>
      <c r="E151" s="629">
        <f>'3382'!$J$124</f>
        <v>200075</v>
      </c>
      <c r="F151" s="653"/>
      <c r="G151" s="629">
        <f>SUBTOTAL(109,E151:F159)</f>
        <v>200075</v>
      </c>
      <c r="H151" s="636"/>
      <c r="I151" s="647"/>
    </row>
    <row r="152" spans="1:9" s="368" customFormat="1" ht="12.75" hidden="1" customHeight="1" x14ac:dyDescent="0.2">
      <c r="A152" s="318"/>
      <c r="B152" s="650"/>
      <c r="C152" s="651"/>
      <c r="D152" s="311" t="s">
        <v>514</v>
      </c>
      <c r="E152" s="629"/>
      <c r="F152" s="653"/>
      <c r="G152" s="629"/>
      <c r="H152" s="662"/>
      <c r="I152" s="650"/>
    </row>
    <row r="153" spans="1:9" s="368" customFormat="1" ht="12.75" hidden="1" customHeight="1" x14ac:dyDescent="0.2">
      <c r="A153" s="318"/>
      <c r="B153" s="650"/>
      <c r="C153" s="651"/>
      <c r="D153" s="655" t="s">
        <v>491</v>
      </c>
      <c r="E153" s="629"/>
      <c r="F153" s="653"/>
      <c r="G153" s="629"/>
      <c r="H153" s="662"/>
      <c r="I153" s="650"/>
    </row>
    <row r="154" spans="1:9" s="368" customFormat="1" ht="12.75" hidden="1" customHeight="1" x14ac:dyDescent="0.2">
      <c r="A154" s="318"/>
      <c r="B154" s="650"/>
      <c r="C154" s="651"/>
      <c r="D154" s="311" t="s">
        <v>492</v>
      </c>
      <c r="E154" s="629"/>
      <c r="F154" s="653"/>
      <c r="G154" s="629"/>
      <c r="H154" s="636"/>
      <c r="I154" s="658"/>
    </row>
    <row r="155" spans="1:9" s="368" customFormat="1" ht="12.75" hidden="1" customHeight="1" x14ac:dyDescent="0.2">
      <c r="A155" s="318"/>
      <c r="B155" s="650"/>
      <c r="C155" s="651"/>
      <c r="D155" s="311" t="s">
        <v>493</v>
      </c>
      <c r="E155" s="629"/>
      <c r="F155" s="653"/>
      <c r="G155" s="629"/>
      <c r="H155" s="662"/>
      <c r="I155" s="650"/>
    </row>
    <row r="156" spans="1:9" s="368" customFormat="1" ht="12.75" hidden="1" customHeight="1" x14ac:dyDescent="0.2">
      <c r="A156" s="318"/>
      <c r="B156" s="650"/>
      <c r="C156" s="651"/>
      <c r="D156" s="311" t="s">
        <v>494</v>
      </c>
      <c r="E156" s="629"/>
      <c r="F156" s="653"/>
      <c r="G156" s="629"/>
      <c r="H156" s="662"/>
      <c r="I156" s="650"/>
    </row>
    <row r="157" spans="1:9" s="368" customFormat="1" ht="12.75" hidden="1" customHeight="1" x14ac:dyDescent="0.2">
      <c r="A157" s="318"/>
      <c r="B157" s="650"/>
      <c r="C157" s="651"/>
      <c r="D157" s="311" t="s">
        <v>495</v>
      </c>
      <c r="E157" s="629"/>
      <c r="F157" s="653"/>
      <c r="G157" s="629"/>
      <c r="H157" s="662"/>
      <c r="I157" s="650"/>
    </row>
    <row r="158" spans="1:9" s="368" customFormat="1" ht="12.75" hidden="1" customHeight="1" x14ac:dyDescent="0.2">
      <c r="A158" s="318"/>
      <c r="B158" s="650"/>
      <c r="C158" s="651"/>
      <c r="D158" s="311" t="s">
        <v>516</v>
      </c>
      <c r="E158" s="629"/>
      <c r="F158" s="653"/>
      <c r="G158" s="629"/>
      <c r="H158" s="636"/>
      <c r="I158" s="647"/>
    </row>
    <row r="159" spans="1:9" s="368" customFormat="1" ht="12.75" hidden="1" customHeight="1" x14ac:dyDescent="0.2">
      <c r="A159" s="318"/>
      <c r="B159" s="650"/>
      <c r="C159" s="658"/>
      <c r="D159" s="659" t="s">
        <v>512</v>
      </c>
      <c r="E159" s="629"/>
      <c r="F159" s="653"/>
      <c r="G159" s="629"/>
      <c r="H159" s="636"/>
      <c r="I159" s="643"/>
    </row>
    <row r="160" spans="1:9" ht="12.75" customHeight="1" x14ac:dyDescent="0.2">
      <c r="A160" s="618">
        <v>17</v>
      </c>
      <c r="B160" s="632" t="s">
        <v>236</v>
      </c>
      <c r="C160" s="633" t="s">
        <v>237</v>
      </c>
      <c r="D160" s="663" t="str">
        <f>$D$14</f>
        <v>FTE February 2026</v>
      </c>
      <c r="E160" s="622">
        <f>'3391'!$J$124</f>
        <v>0</v>
      </c>
      <c r="F160" s="635"/>
      <c r="G160" s="622">
        <f>SUBTOTAL(109,E160:F168)</f>
        <v>0</v>
      </c>
      <c r="H160" s="667"/>
      <c r="I160" s="650"/>
    </row>
    <row r="161" spans="1:16" s="368" customFormat="1" ht="12" hidden="1" customHeight="1" x14ac:dyDescent="0.2">
      <c r="A161" s="618"/>
      <c r="B161" s="632"/>
      <c r="C161" s="633"/>
      <c r="D161" s="637" t="s">
        <v>490</v>
      </c>
      <c r="E161" s="622"/>
      <c r="F161" s="635"/>
      <c r="G161" s="622"/>
      <c r="H161" s="662"/>
      <c r="I161" s="650"/>
      <c r="P161" s="657"/>
    </row>
    <row r="162" spans="1:16" s="368" customFormat="1" ht="12.75" hidden="1" customHeight="1" x14ac:dyDescent="0.2">
      <c r="A162" s="618"/>
      <c r="B162" s="632"/>
      <c r="C162" s="633"/>
      <c r="D162" s="637" t="s">
        <v>491</v>
      </c>
      <c r="E162" s="622"/>
      <c r="F162" s="635"/>
      <c r="G162" s="622"/>
      <c r="H162" s="662"/>
      <c r="I162" s="650"/>
    </row>
    <row r="163" spans="1:16" s="368" customFormat="1" ht="12.75" hidden="1" customHeight="1" x14ac:dyDescent="0.2">
      <c r="A163" s="618"/>
      <c r="B163" s="632"/>
      <c r="C163" s="633"/>
      <c r="D163" s="638" t="s">
        <v>510</v>
      </c>
      <c r="E163" s="622"/>
      <c r="F163" s="635"/>
      <c r="G163" s="622"/>
      <c r="H163" s="636"/>
      <c r="I163" s="658"/>
    </row>
    <row r="164" spans="1:16" s="368" customFormat="1" ht="12.75" hidden="1" customHeight="1" x14ac:dyDescent="0.2">
      <c r="A164" s="618"/>
      <c r="B164" s="632"/>
      <c r="C164" s="633"/>
      <c r="D164" s="637" t="s">
        <v>492</v>
      </c>
      <c r="E164" s="622"/>
      <c r="F164" s="635"/>
      <c r="G164" s="622"/>
      <c r="H164" s="662"/>
      <c r="I164" s="650"/>
    </row>
    <row r="165" spans="1:16" s="368" customFormat="1" ht="12.75" hidden="1" customHeight="1" x14ac:dyDescent="0.2">
      <c r="A165" s="618"/>
      <c r="B165" s="632"/>
      <c r="C165" s="633"/>
      <c r="D165" s="637" t="s">
        <v>493</v>
      </c>
      <c r="E165" s="622"/>
      <c r="F165" s="635"/>
      <c r="G165" s="622"/>
      <c r="H165" s="662"/>
      <c r="I165" s="650"/>
    </row>
    <row r="166" spans="1:16" s="368" customFormat="1" ht="12.75" hidden="1" customHeight="1" x14ac:dyDescent="0.2">
      <c r="A166" s="618"/>
      <c r="B166" s="632"/>
      <c r="C166" s="633"/>
      <c r="D166" s="637" t="s">
        <v>494</v>
      </c>
      <c r="E166" s="622"/>
      <c r="F166" s="635"/>
      <c r="G166" s="622"/>
      <c r="H166" s="662"/>
      <c r="I166" s="650"/>
    </row>
    <row r="167" spans="1:16" s="368" customFormat="1" ht="12.75" hidden="1" customHeight="1" x14ac:dyDescent="0.2">
      <c r="A167" s="618"/>
      <c r="B167" s="632"/>
      <c r="C167" s="633"/>
      <c r="D167" s="637" t="s">
        <v>495</v>
      </c>
      <c r="E167" s="622"/>
      <c r="F167" s="635"/>
      <c r="G167" s="622"/>
      <c r="H167" s="636"/>
      <c r="I167" s="647"/>
    </row>
    <row r="168" spans="1:16" s="368" customFormat="1" ht="12.75" hidden="1" customHeight="1" x14ac:dyDescent="0.2">
      <c r="A168" s="618"/>
      <c r="B168" s="632"/>
      <c r="C168" s="633"/>
      <c r="D168" s="666"/>
      <c r="E168" s="622"/>
      <c r="F168" s="635"/>
      <c r="G168" s="622"/>
      <c r="H168" s="662"/>
      <c r="I168" s="647"/>
    </row>
    <row r="169" spans="1:16" ht="12.75" customHeight="1" x14ac:dyDescent="0.2">
      <c r="A169" s="318">
        <v>18</v>
      </c>
      <c r="B169" s="650" t="s">
        <v>238</v>
      </c>
      <c r="C169" s="651" t="s">
        <v>239</v>
      </c>
      <c r="D169" s="652" t="str">
        <f>$D$14</f>
        <v>FTE February 2026</v>
      </c>
      <c r="E169" s="629">
        <f>'3394'!$J$124</f>
        <v>143972.29</v>
      </c>
      <c r="F169" s="653" t="s">
        <v>52</v>
      </c>
      <c r="G169" s="629">
        <f>SUBTOTAL(109,E169:F178)</f>
        <v>143972.29</v>
      </c>
      <c r="H169" s="667"/>
      <c r="I169" s="650"/>
    </row>
    <row r="170" spans="1:16" s="368" customFormat="1" ht="12.75" hidden="1" customHeight="1" x14ac:dyDescent="0.2">
      <c r="A170" s="318"/>
      <c r="B170" s="650"/>
      <c r="C170" s="651"/>
      <c r="D170" s="311" t="s">
        <v>514</v>
      </c>
      <c r="E170" s="629"/>
      <c r="F170" s="653"/>
      <c r="G170" s="629"/>
      <c r="H170" s="662"/>
      <c r="I170" s="668"/>
    </row>
    <row r="171" spans="1:16" s="368" customFormat="1" ht="12.75" hidden="1" customHeight="1" x14ac:dyDescent="0.2">
      <c r="A171" s="318"/>
      <c r="B171" s="650"/>
      <c r="C171" s="651"/>
      <c r="D171" s="655" t="s">
        <v>491</v>
      </c>
      <c r="E171" s="629"/>
      <c r="F171" s="653"/>
      <c r="G171" s="629"/>
      <c r="H171" s="662"/>
      <c r="I171" s="668"/>
    </row>
    <row r="172" spans="1:16" s="368" customFormat="1" ht="12.75" hidden="1" customHeight="1" x14ac:dyDescent="0.2">
      <c r="A172" s="318"/>
      <c r="B172" s="650"/>
      <c r="C172" s="651"/>
      <c r="D172" s="311" t="s">
        <v>492</v>
      </c>
      <c r="E172" s="629"/>
      <c r="F172" s="653"/>
      <c r="G172" s="629"/>
      <c r="H172" s="636"/>
      <c r="I172" s="658"/>
    </row>
    <row r="173" spans="1:16" s="368" customFormat="1" ht="12.75" hidden="1" customHeight="1" x14ac:dyDescent="0.2">
      <c r="A173" s="318"/>
      <c r="B173" s="650"/>
      <c r="C173" s="651"/>
      <c r="D173" s="311" t="s">
        <v>493</v>
      </c>
      <c r="E173" s="629"/>
      <c r="F173" s="653"/>
      <c r="G173" s="629"/>
      <c r="H173" s="636"/>
      <c r="I173" s="658"/>
    </row>
    <row r="174" spans="1:16" s="368" customFormat="1" ht="12.75" hidden="1" customHeight="1" x14ac:dyDescent="0.2">
      <c r="A174" s="318"/>
      <c r="B174" s="650"/>
      <c r="C174" s="651"/>
      <c r="D174" s="311" t="s">
        <v>494</v>
      </c>
      <c r="E174" s="629"/>
      <c r="F174" s="653"/>
      <c r="G174" s="629"/>
      <c r="H174" s="662"/>
      <c r="I174" s="668"/>
    </row>
    <row r="175" spans="1:16" s="368" customFormat="1" ht="12.75" hidden="1" customHeight="1" x14ac:dyDescent="0.2">
      <c r="A175" s="318"/>
      <c r="B175" s="650"/>
      <c r="C175" s="651"/>
      <c r="D175" s="311" t="s">
        <v>495</v>
      </c>
      <c r="E175" s="629"/>
      <c r="F175" s="653"/>
      <c r="G175" s="629"/>
      <c r="H175" s="662"/>
      <c r="I175" s="668"/>
    </row>
    <row r="176" spans="1:16" s="368" customFormat="1" ht="12.75" hidden="1" customHeight="1" x14ac:dyDescent="0.2">
      <c r="A176" s="318"/>
      <c r="B176" s="650"/>
      <c r="C176" s="651"/>
      <c r="D176" s="311" t="s">
        <v>522</v>
      </c>
      <c r="E176" s="629"/>
      <c r="F176" s="653"/>
      <c r="G176" s="629"/>
      <c r="H176" s="662"/>
      <c r="I176" s="668"/>
    </row>
    <row r="177" spans="1:9" s="368" customFormat="1" ht="12.75" hidden="1" customHeight="1" x14ac:dyDescent="0.2">
      <c r="A177" s="318"/>
      <c r="B177" s="650"/>
      <c r="C177" s="651"/>
      <c r="D177" s="659" t="s">
        <v>523</v>
      </c>
      <c r="E177" s="629"/>
      <c r="F177" s="653"/>
      <c r="G177" s="629"/>
      <c r="H177" s="636"/>
      <c r="I177" s="647"/>
    </row>
    <row r="178" spans="1:9" s="368" customFormat="1" ht="12.75" hidden="1" customHeight="1" x14ac:dyDescent="0.2">
      <c r="A178" s="318"/>
      <c r="B178" s="650"/>
      <c r="C178" s="651"/>
      <c r="D178" s="659" t="s">
        <v>524</v>
      </c>
      <c r="E178" s="629"/>
      <c r="F178" s="653"/>
      <c r="G178" s="629"/>
      <c r="H178" s="636"/>
      <c r="I178" s="647"/>
    </row>
    <row r="179" spans="1:9" s="368" customFormat="1" ht="12" customHeight="1" x14ac:dyDescent="0.2">
      <c r="A179" s="618">
        <v>19</v>
      </c>
      <c r="B179" s="632" t="s">
        <v>240</v>
      </c>
      <c r="C179" s="664" t="s">
        <v>312</v>
      </c>
      <c r="D179" s="663" t="str">
        <f>$D$14</f>
        <v>FTE February 2026</v>
      </c>
      <c r="E179" s="622">
        <f>'3395'!$J$124</f>
        <v>420003.16</v>
      </c>
      <c r="F179" s="635"/>
      <c r="G179" s="622">
        <f>SUBTOTAL(109,E179:F187)</f>
        <v>420003.16</v>
      </c>
      <c r="H179" s="662"/>
      <c r="I179" s="668"/>
    </row>
    <row r="180" spans="1:9" s="368" customFormat="1" ht="12.75" hidden="1" customHeight="1" x14ac:dyDescent="0.2">
      <c r="A180" s="618"/>
      <c r="B180" s="632"/>
      <c r="C180" s="633"/>
      <c r="D180" s="637" t="s">
        <v>490</v>
      </c>
      <c r="E180" s="622"/>
      <c r="F180" s="635"/>
      <c r="G180" s="622"/>
      <c r="H180" s="662"/>
      <c r="I180" s="668"/>
    </row>
    <row r="181" spans="1:9" s="368" customFormat="1" ht="12.75" hidden="1" customHeight="1" x14ac:dyDescent="0.2">
      <c r="A181" s="618"/>
      <c r="B181" s="632"/>
      <c r="C181" s="633"/>
      <c r="D181" s="638" t="s">
        <v>491</v>
      </c>
      <c r="E181" s="622"/>
      <c r="F181" s="635"/>
      <c r="G181" s="622"/>
      <c r="H181" s="636"/>
      <c r="I181" s="658"/>
    </row>
    <row r="182" spans="1:9" s="368" customFormat="1" ht="12.75" hidden="1" customHeight="1" x14ac:dyDescent="0.2">
      <c r="A182" s="618"/>
      <c r="B182" s="632"/>
      <c r="C182" s="633"/>
      <c r="D182" s="637" t="s">
        <v>492</v>
      </c>
      <c r="E182" s="622"/>
      <c r="F182" s="635"/>
      <c r="G182" s="622"/>
      <c r="H182" s="662"/>
      <c r="I182" s="668"/>
    </row>
    <row r="183" spans="1:9" s="368" customFormat="1" ht="12.75" hidden="1" customHeight="1" x14ac:dyDescent="0.2">
      <c r="A183" s="618"/>
      <c r="B183" s="632"/>
      <c r="C183" s="633"/>
      <c r="D183" s="637" t="s">
        <v>493</v>
      </c>
      <c r="E183" s="622"/>
      <c r="F183" s="635"/>
      <c r="G183" s="622"/>
      <c r="H183" s="662"/>
      <c r="I183" s="668"/>
    </row>
    <row r="184" spans="1:9" s="368" customFormat="1" ht="12.75" hidden="1" customHeight="1" x14ac:dyDescent="0.2">
      <c r="A184" s="618"/>
      <c r="B184" s="632"/>
      <c r="C184" s="633"/>
      <c r="D184" s="637" t="s">
        <v>494</v>
      </c>
      <c r="E184" s="622"/>
      <c r="F184" s="635"/>
      <c r="G184" s="622"/>
      <c r="H184" s="662"/>
      <c r="I184" s="668"/>
    </row>
    <row r="185" spans="1:9" s="368" customFormat="1" ht="12.75" hidden="1" customHeight="1" x14ac:dyDescent="0.2">
      <c r="A185" s="618"/>
      <c r="B185" s="632"/>
      <c r="C185" s="633"/>
      <c r="D185" s="644" t="s">
        <v>512</v>
      </c>
      <c r="E185" s="622"/>
      <c r="F185" s="635"/>
      <c r="G185" s="622"/>
      <c r="H185" s="636"/>
      <c r="I185" s="647"/>
    </row>
    <row r="186" spans="1:9" s="368" customFormat="1" ht="12.75" hidden="1" customHeight="1" x14ac:dyDescent="0.2">
      <c r="A186" s="618"/>
      <c r="B186" s="632"/>
      <c r="C186" s="633"/>
      <c r="D186" s="644"/>
      <c r="E186" s="622"/>
      <c r="F186" s="635"/>
      <c r="G186" s="622"/>
      <c r="H186" s="662"/>
      <c r="I186" s="643"/>
    </row>
    <row r="187" spans="1:9" s="368" customFormat="1" ht="12.75" hidden="1" customHeight="1" x14ac:dyDescent="0.2">
      <c r="A187" s="618"/>
      <c r="B187" s="632"/>
      <c r="C187" s="633"/>
      <c r="D187" s="644"/>
      <c r="E187" s="669"/>
      <c r="F187" s="635"/>
      <c r="G187" s="622"/>
      <c r="H187" s="662"/>
      <c r="I187" s="643"/>
    </row>
    <row r="188" spans="1:9" s="368" customFormat="1" ht="12.75" customHeight="1" x14ac:dyDescent="0.2">
      <c r="A188" s="318">
        <v>20</v>
      </c>
      <c r="B188" s="650" t="s">
        <v>242</v>
      </c>
      <c r="C188" s="665" t="s">
        <v>243</v>
      </c>
      <c r="D188" s="652" t="str">
        <f>$D$14</f>
        <v>FTE February 2026</v>
      </c>
      <c r="E188" s="629">
        <f>'3396'!$J$124</f>
        <v>547659.96</v>
      </c>
      <c r="F188" s="653"/>
      <c r="G188" s="629">
        <f>SUBTOTAL(109,E188:F195)</f>
        <v>547659.96</v>
      </c>
      <c r="H188" s="662"/>
      <c r="I188" s="668"/>
    </row>
    <row r="189" spans="1:9" s="368" customFormat="1" ht="12.75" hidden="1" customHeight="1" x14ac:dyDescent="0.2">
      <c r="A189" s="318"/>
      <c r="B189" s="650"/>
      <c r="C189" s="665"/>
      <c r="D189" s="311" t="s">
        <v>514</v>
      </c>
      <c r="E189" s="629"/>
      <c r="F189" s="653"/>
      <c r="G189" s="629"/>
      <c r="H189" s="662"/>
      <c r="I189" s="668"/>
    </row>
    <row r="190" spans="1:9" s="368" customFormat="1" ht="12.75" hidden="1" customHeight="1" x14ac:dyDescent="0.2">
      <c r="A190" s="318"/>
      <c r="B190" s="650"/>
      <c r="C190" s="665"/>
      <c r="D190" s="311" t="s">
        <v>491</v>
      </c>
      <c r="E190" s="629"/>
      <c r="F190" s="653"/>
      <c r="G190" s="629"/>
      <c r="H190" s="662"/>
      <c r="I190" s="668"/>
    </row>
    <row r="191" spans="1:9" s="368" customFormat="1" ht="12.75" hidden="1" customHeight="1" x14ac:dyDescent="0.2">
      <c r="A191" s="318"/>
      <c r="B191" s="650"/>
      <c r="C191" s="665"/>
      <c r="D191" s="311" t="s">
        <v>493</v>
      </c>
      <c r="E191" s="629"/>
      <c r="F191" s="653"/>
      <c r="G191" s="629"/>
      <c r="H191" s="636"/>
      <c r="I191" s="658"/>
    </row>
    <row r="192" spans="1:9" s="368" customFormat="1" ht="12.75" hidden="1" customHeight="1" x14ac:dyDescent="0.2">
      <c r="A192" s="318"/>
      <c r="B192" s="650"/>
      <c r="C192" s="665"/>
      <c r="D192" s="311" t="s">
        <v>494</v>
      </c>
      <c r="E192" s="629"/>
      <c r="F192" s="653"/>
      <c r="G192" s="629"/>
      <c r="H192" s="662"/>
      <c r="I192" s="668"/>
    </row>
    <row r="193" spans="1:11" s="368" customFormat="1" ht="12.75" hidden="1" customHeight="1" x14ac:dyDescent="0.2">
      <c r="A193" s="318"/>
      <c r="B193" s="650"/>
      <c r="C193" s="651"/>
      <c r="D193" s="311" t="s">
        <v>495</v>
      </c>
      <c r="E193" s="629"/>
      <c r="F193" s="653"/>
      <c r="G193" s="629"/>
      <c r="H193" s="662"/>
      <c r="I193" s="668"/>
    </row>
    <row r="194" spans="1:11" s="368" customFormat="1" ht="12.75" hidden="1" customHeight="1" x14ac:dyDescent="0.2">
      <c r="A194" s="318"/>
      <c r="B194" s="650"/>
      <c r="C194" s="651"/>
      <c r="D194" s="311" t="s">
        <v>522</v>
      </c>
      <c r="E194" s="629"/>
      <c r="F194" s="653"/>
      <c r="G194" s="629"/>
      <c r="H194" s="662"/>
      <c r="I194" s="668"/>
    </row>
    <row r="195" spans="1:11" s="368" customFormat="1" ht="12.75" hidden="1" customHeight="1" x14ac:dyDescent="0.2">
      <c r="A195" s="318"/>
      <c r="B195" s="650"/>
      <c r="C195" s="651"/>
      <c r="D195" s="659" t="s">
        <v>512</v>
      </c>
      <c r="E195" s="629"/>
      <c r="F195" s="653"/>
      <c r="G195" s="629"/>
      <c r="H195" s="636"/>
      <c r="I195" s="647"/>
    </row>
    <row r="196" spans="1:11" s="368" customFormat="1" ht="12.75" customHeight="1" x14ac:dyDescent="0.2">
      <c r="A196" s="618">
        <f>A188+1</f>
        <v>21</v>
      </c>
      <c r="B196" s="632" t="s">
        <v>244</v>
      </c>
      <c r="C196" s="633" t="s">
        <v>245</v>
      </c>
      <c r="D196" s="663" t="str">
        <f>$D$14</f>
        <v>FTE February 2026</v>
      </c>
      <c r="E196" s="622">
        <f>'3398'!$J$124</f>
        <v>61462.22</v>
      </c>
      <c r="F196" s="635"/>
      <c r="G196" s="622">
        <f>SUBTOTAL(109,E196:F202)</f>
        <v>61462.22</v>
      </c>
      <c r="H196" s="662"/>
      <c r="I196" s="643"/>
    </row>
    <row r="197" spans="1:11" ht="12.75" hidden="1" customHeight="1" x14ac:dyDescent="0.2">
      <c r="A197" s="618"/>
      <c r="B197" s="632"/>
      <c r="C197" s="633"/>
      <c r="D197" s="637" t="s">
        <v>490</v>
      </c>
      <c r="E197" s="622"/>
      <c r="F197" s="635"/>
      <c r="G197" s="622"/>
      <c r="H197" s="667"/>
      <c r="I197" s="670"/>
    </row>
    <row r="198" spans="1:11" s="368" customFormat="1" ht="12.75" hidden="1" customHeight="1" x14ac:dyDescent="0.2">
      <c r="A198" s="618"/>
      <c r="B198" s="632"/>
      <c r="C198" s="633"/>
      <c r="D198" s="637" t="s">
        <v>491</v>
      </c>
      <c r="E198" s="622"/>
      <c r="F198" s="635"/>
      <c r="G198" s="622"/>
      <c r="H198" s="662"/>
      <c r="I198" s="668"/>
      <c r="K198" s="657"/>
    </row>
    <row r="199" spans="1:11" s="368" customFormat="1" ht="12.75" hidden="1" customHeight="1" x14ac:dyDescent="0.2">
      <c r="A199" s="618"/>
      <c r="B199" s="632"/>
      <c r="C199" s="633"/>
      <c r="D199" s="637" t="s">
        <v>493</v>
      </c>
      <c r="E199" s="622"/>
      <c r="F199" s="635"/>
      <c r="G199" s="622"/>
      <c r="H199" s="662"/>
      <c r="I199" s="668"/>
    </row>
    <row r="200" spans="1:11" s="368" customFormat="1" ht="12.75" hidden="1" customHeight="1" x14ac:dyDescent="0.2">
      <c r="A200" s="618"/>
      <c r="B200" s="632"/>
      <c r="C200" s="640"/>
      <c r="D200" s="637" t="s">
        <v>494</v>
      </c>
      <c r="E200" s="622"/>
      <c r="F200" s="635"/>
      <c r="G200" s="622"/>
      <c r="H200" s="662"/>
    </row>
    <row r="201" spans="1:11" s="368" customFormat="1" ht="12.75" hidden="1" customHeight="1" x14ac:dyDescent="0.2">
      <c r="A201" s="618"/>
      <c r="B201" s="632"/>
      <c r="C201" s="633"/>
      <c r="D201" s="637" t="s">
        <v>495</v>
      </c>
      <c r="E201" s="622"/>
      <c r="F201" s="635"/>
      <c r="G201" s="622"/>
      <c r="H201" s="662"/>
    </row>
    <row r="202" spans="1:11" s="368" customFormat="1" ht="12.75" hidden="1" customHeight="1" x14ac:dyDescent="0.2">
      <c r="A202" s="618"/>
      <c r="B202" s="632"/>
      <c r="C202" s="640"/>
      <c r="D202" s="666" t="s">
        <v>512</v>
      </c>
      <c r="E202" s="622"/>
      <c r="F202" s="635"/>
      <c r="G202" s="622"/>
      <c r="H202" s="662"/>
    </row>
    <row r="203" spans="1:11" s="368" customFormat="1" ht="12.75" customHeight="1" x14ac:dyDescent="0.2">
      <c r="A203" s="318">
        <f>A196+1</f>
        <v>22</v>
      </c>
      <c r="B203" s="650" t="s">
        <v>246</v>
      </c>
      <c r="C203" s="651" t="s">
        <v>247</v>
      </c>
      <c r="D203" s="652" t="str">
        <f>$D$14</f>
        <v>FTE February 2026</v>
      </c>
      <c r="E203" s="629">
        <f>'3400'!$J$124</f>
        <v>89165.9</v>
      </c>
      <c r="F203" s="653"/>
      <c r="G203" s="629">
        <f>SUBTOTAL(109,E203:F210)</f>
        <v>89165.9</v>
      </c>
      <c r="H203" s="636"/>
      <c r="I203" s="647"/>
    </row>
    <row r="204" spans="1:11" s="368" customFormat="1" ht="12.75" hidden="1" customHeight="1" x14ac:dyDescent="0.2">
      <c r="A204" s="318"/>
      <c r="B204" s="650"/>
      <c r="C204" s="651"/>
      <c r="D204" s="311" t="s">
        <v>514</v>
      </c>
      <c r="E204" s="629"/>
      <c r="F204" s="653"/>
      <c r="G204" s="629"/>
      <c r="H204" s="662"/>
      <c r="I204" s="643"/>
    </row>
    <row r="205" spans="1:11" s="368" customFormat="1" ht="12.75" hidden="1" customHeight="1" x14ac:dyDescent="0.2">
      <c r="A205" s="318"/>
      <c r="B205" s="650"/>
      <c r="C205" s="651"/>
      <c r="D205" s="655" t="s">
        <v>521</v>
      </c>
      <c r="E205" s="629"/>
      <c r="F205" s="653"/>
      <c r="G205" s="629"/>
      <c r="H205" s="662"/>
      <c r="I205" s="668"/>
    </row>
    <row r="206" spans="1:11" s="368" customFormat="1" ht="12.75" hidden="1" customHeight="1" x14ac:dyDescent="0.2">
      <c r="A206" s="318"/>
      <c r="B206" s="650"/>
      <c r="C206" s="651"/>
      <c r="D206" s="311" t="s">
        <v>492</v>
      </c>
      <c r="E206" s="629"/>
      <c r="F206" s="653"/>
      <c r="G206" s="629"/>
      <c r="H206" s="662"/>
      <c r="I206" s="668"/>
    </row>
    <row r="207" spans="1:11" s="368" customFormat="1" ht="12.75" hidden="1" customHeight="1" x14ac:dyDescent="0.2">
      <c r="A207" s="318"/>
      <c r="B207" s="650"/>
      <c r="C207" s="651"/>
      <c r="D207" s="311" t="s">
        <v>493</v>
      </c>
      <c r="E207" s="629"/>
      <c r="F207" s="653"/>
      <c r="G207" s="629"/>
      <c r="H207" s="662"/>
      <c r="I207" s="668"/>
    </row>
    <row r="208" spans="1:11" s="368" customFormat="1" ht="12.75" hidden="1" customHeight="1" x14ac:dyDescent="0.2">
      <c r="A208" s="318"/>
      <c r="B208" s="650"/>
      <c r="C208" s="651"/>
      <c r="D208" s="311" t="s">
        <v>494</v>
      </c>
      <c r="E208" s="629"/>
      <c r="F208" s="653"/>
      <c r="G208" s="629"/>
      <c r="H208" s="662"/>
    </row>
    <row r="209" spans="1:9" s="368" customFormat="1" ht="12.75" hidden="1" customHeight="1" x14ac:dyDescent="0.2">
      <c r="A209" s="318"/>
      <c r="B209" s="650"/>
      <c r="C209" s="651"/>
      <c r="D209" s="311" t="s">
        <v>495</v>
      </c>
      <c r="E209" s="629"/>
      <c r="F209" s="653"/>
      <c r="G209" s="629"/>
      <c r="H209" s="662"/>
      <c r="I209" s="309"/>
    </row>
    <row r="210" spans="1:9" ht="12.75" hidden="1" customHeight="1" x14ac:dyDescent="0.2">
      <c r="A210" s="318"/>
      <c r="B210" s="650"/>
      <c r="C210" s="651"/>
      <c r="D210" s="659" t="s">
        <v>512</v>
      </c>
      <c r="E210" s="629"/>
      <c r="F210" s="653"/>
      <c r="G210" s="629"/>
      <c r="H210" s="667"/>
    </row>
    <row r="211" spans="1:9" s="368" customFormat="1" ht="12.75" customHeight="1" x14ac:dyDescent="0.2">
      <c r="A211" s="618">
        <f>A203+1</f>
        <v>23</v>
      </c>
      <c r="B211" s="632" t="s">
        <v>248</v>
      </c>
      <c r="C211" s="633" t="s">
        <v>249</v>
      </c>
      <c r="D211" s="663" t="str">
        <f>$D$14</f>
        <v>FTE February 2026</v>
      </c>
      <c r="E211" s="622">
        <f>'3401'!$J$124</f>
        <v>225219.95</v>
      </c>
      <c r="F211" s="635"/>
      <c r="G211" s="622">
        <f>SUBTOTAL(109,E211:F221)</f>
        <v>225219.95</v>
      </c>
      <c r="H211" s="636"/>
      <c r="I211" s="647"/>
    </row>
    <row r="212" spans="1:9" ht="12.75" hidden="1" customHeight="1" x14ac:dyDescent="0.2">
      <c r="A212" s="618"/>
      <c r="B212" s="632"/>
      <c r="C212" s="633"/>
      <c r="D212" s="637" t="s">
        <v>490</v>
      </c>
      <c r="E212" s="622"/>
      <c r="F212" s="635"/>
      <c r="G212" s="622"/>
      <c r="H212" s="667"/>
      <c r="I212" s="668"/>
    </row>
    <row r="213" spans="1:9" s="368" customFormat="1" ht="12.75" hidden="1" customHeight="1" x14ac:dyDescent="0.2">
      <c r="A213" s="618"/>
      <c r="B213" s="632"/>
      <c r="C213" s="633"/>
      <c r="D213" s="638" t="s">
        <v>491</v>
      </c>
      <c r="E213" s="622"/>
      <c r="F213" s="635"/>
      <c r="G213" s="622"/>
      <c r="H213" s="662"/>
      <c r="I213" s="668"/>
    </row>
    <row r="214" spans="1:9" s="368" customFormat="1" ht="12.75" hidden="1" customHeight="1" x14ac:dyDescent="0.2">
      <c r="A214" s="618"/>
      <c r="B214" s="632"/>
      <c r="C214" s="633"/>
      <c r="D214" s="637" t="s">
        <v>515</v>
      </c>
      <c r="E214" s="622"/>
      <c r="F214" s="635"/>
      <c r="G214" s="622"/>
      <c r="H214" s="662"/>
      <c r="I214" s="668"/>
    </row>
    <row r="215" spans="1:9" s="368" customFormat="1" ht="12.75" hidden="1" customHeight="1" x14ac:dyDescent="0.2">
      <c r="A215" s="618"/>
      <c r="B215" s="632"/>
      <c r="C215" s="633"/>
      <c r="D215" s="637" t="s">
        <v>525</v>
      </c>
      <c r="E215" s="622"/>
      <c r="F215" s="635"/>
      <c r="G215" s="622"/>
      <c r="H215" s="636"/>
      <c r="I215" s="658"/>
    </row>
    <row r="216" spans="1:9" s="368" customFormat="1" ht="12.75" hidden="1" customHeight="1" x14ac:dyDescent="0.2">
      <c r="A216" s="618"/>
      <c r="B216" s="632"/>
      <c r="C216" s="633"/>
      <c r="D216" s="637" t="s">
        <v>492</v>
      </c>
      <c r="E216" s="622"/>
      <c r="F216" s="635"/>
      <c r="G216" s="622"/>
      <c r="H216" s="662"/>
    </row>
    <row r="217" spans="1:9" s="368" customFormat="1" ht="12.75" hidden="1" customHeight="1" x14ac:dyDescent="0.2">
      <c r="A217" s="618"/>
      <c r="B217" s="632"/>
      <c r="C217" s="633"/>
      <c r="D217" s="637" t="s">
        <v>493</v>
      </c>
      <c r="E217" s="622"/>
      <c r="F217" s="635"/>
      <c r="G217" s="622"/>
      <c r="H217" s="662"/>
    </row>
    <row r="218" spans="1:9" s="368" customFormat="1" ht="12.75" hidden="1" customHeight="1" x14ac:dyDescent="0.2">
      <c r="A218" s="618"/>
      <c r="B218" s="632"/>
      <c r="C218" s="633"/>
      <c r="D218" s="637" t="s">
        <v>494</v>
      </c>
      <c r="E218" s="622"/>
      <c r="F218" s="635"/>
      <c r="G218" s="622"/>
      <c r="H218" s="662"/>
      <c r="I218" s="650"/>
    </row>
    <row r="219" spans="1:9" s="368" customFormat="1" ht="12.75" hidden="1" customHeight="1" x14ac:dyDescent="0.2">
      <c r="A219" s="618"/>
      <c r="B219" s="632"/>
      <c r="C219" s="633"/>
      <c r="D219" s="637" t="s">
        <v>495</v>
      </c>
      <c r="E219" s="622"/>
      <c r="F219" s="635"/>
      <c r="G219" s="622"/>
      <c r="H219" s="636"/>
      <c r="I219" s="647"/>
    </row>
    <row r="220" spans="1:9" s="368" customFormat="1" ht="12.75" hidden="1" customHeight="1" x14ac:dyDescent="0.2">
      <c r="A220" s="618"/>
      <c r="B220" s="632"/>
      <c r="C220" s="640"/>
      <c r="D220" s="644" t="s">
        <v>503</v>
      </c>
      <c r="E220" s="622"/>
      <c r="F220" s="635"/>
      <c r="G220" s="622"/>
      <c r="H220" s="636"/>
      <c r="I220" s="647"/>
    </row>
    <row r="221" spans="1:9" s="368" customFormat="1" ht="12.75" hidden="1" customHeight="1" x14ac:dyDescent="0.2">
      <c r="A221" s="618"/>
      <c r="B221" s="632"/>
      <c r="C221" s="633"/>
      <c r="D221" s="666" t="s">
        <v>512</v>
      </c>
      <c r="E221" s="622"/>
      <c r="F221" s="635"/>
      <c r="G221" s="622"/>
      <c r="H221" s="662"/>
      <c r="I221" s="650"/>
    </row>
    <row r="222" spans="1:9" s="368" customFormat="1" ht="12.75" customHeight="1" x14ac:dyDescent="0.2">
      <c r="A222" s="318">
        <f>A211+1</f>
        <v>24</v>
      </c>
      <c r="B222" s="650" t="s">
        <v>250</v>
      </c>
      <c r="C222" s="651" t="s">
        <v>251</v>
      </c>
      <c r="D222" s="652" t="str">
        <f>$D$14</f>
        <v>FTE February 2026</v>
      </c>
      <c r="E222" s="629">
        <f>'3413'!$J$124</f>
        <v>295695.63</v>
      </c>
      <c r="F222" s="653"/>
      <c r="G222" s="629">
        <f>SUBTOTAL(109,E222:F229)</f>
        <v>295695.63</v>
      </c>
      <c r="H222" s="662"/>
      <c r="I222" s="650"/>
    </row>
    <row r="223" spans="1:9" s="368" customFormat="1" ht="12.75" hidden="1" customHeight="1" x14ac:dyDescent="0.2">
      <c r="A223" s="318"/>
      <c r="B223" s="650"/>
      <c r="C223" s="651"/>
      <c r="D223" s="311" t="s">
        <v>514</v>
      </c>
      <c r="E223" s="629"/>
      <c r="F223" s="653"/>
      <c r="G223" s="629"/>
      <c r="H223" s="662"/>
      <c r="I223" s="650"/>
    </row>
    <row r="224" spans="1:9" s="368" customFormat="1" ht="12.75" hidden="1" customHeight="1" x14ac:dyDescent="0.2">
      <c r="A224" s="318"/>
      <c r="B224" s="650"/>
      <c r="C224" s="651"/>
      <c r="D224" s="655" t="s">
        <v>491</v>
      </c>
      <c r="E224" s="629"/>
      <c r="F224" s="653"/>
      <c r="G224" s="629"/>
      <c r="H224" s="662"/>
      <c r="I224" s="650"/>
    </row>
    <row r="225" spans="1:9" s="368" customFormat="1" ht="12.75" hidden="1" customHeight="1" x14ac:dyDescent="0.2">
      <c r="A225" s="318"/>
      <c r="B225" s="650"/>
      <c r="C225" s="651"/>
      <c r="D225" s="311" t="s">
        <v>492</v>
      </c>
      <c r="E225" s="629"/>
      <c r="F225" s="653"/>
      <c r="G225" s="629"/>
      <c r="H225" s="662"/>
      <c r="I225" s="650"/>
    </row>
    <row r="226" spans="1:9" s="368" customFormat="1" ht="12.75" hidden="1" customHeight="1" x14ac:dyDescent="0.2">
      <c r="A226" s="318"/>
      <c r="B226" s="650"/>
      <c r="C226" s="651"/>
      <c r="D226" s="311" t="s">
        <v>493</v>
      </c>
      <c r="E226" s="629"/>
      <c r="F226" s="653"/>
      <c r="G226" s="629"/>
      <c r="H226" s="662"/>
      <c r="I226" s="650"/>
    </row>
    <row r="227" spans="1:9" s="368" customFormat="1" ht="12.75" hidden="1" customHeight="1" x14ac:dyDescent="0.2">
      <c r="A227" s="318"/>
      <c r="B227" s="650"/>
      <c r="C227" s="651"/>
      <c r="D227" s="311" t="s">
        <v>494</v>
      </c>
      <c r="E227" s="629"/>
      <c r="F227" s="653"/>
      <c r="G227" s="629"/>
      <c r="H227" s="662"/>
      <c r="I227" s="650"/>
    </row>
    <row r="228" spans="1:9" s="368" customFormat="1" ht="12.75" hidden="1" customHeight="1" x14ac:dyDescent="0.2">
      <c r="A228" s="318"/>
      <c r="B228" s="650"/>
      <c r="C228" s="651"/>
      <c r="D228" s="311" t="s">
        <v>495</v>
      </c>
      <c r="E228" s="629"/>
      <c r="F228" s="653"/>
      <c r="G228" s="629"/>
      <c r="H228" s="662"/>
      <c r="I228" s="650"/>
    </row>
    <row r="229" spans="1:9" s="368" customFormat="1" ht="12.75" hidden="1" customHeight="1" x14ac:dyDescent="0.2">
      <c r="A229" s="318"/>
      <c r="B229" s="650"/>
      <c r="C229" s="651"/>
      <c r="D229" s="659" t="s">
        <v>512</v>
      </c>
      <c r="E229" s="629"/>
      <c r="F229" s="653"/>
      <c r="G229" s="629"/>
      <c r="H229" s="636"/>
      <c r="I229" s="647"/>
    </row>
    <row r="230" spans="1:9" s="368" customFormat="1" ht="12.75" customHeight="1" x14ac:dyDescent="0.2">
      <c r="A230" s="618">
        <f>A222+1</f>
        <v>25</v>
      </c>
      <c r="B230" s="632" t="s">
        <v>252</v>
      </c>
      <c r="C230" s="633" t="s">
        <v>253</v>
      </c>
      <c r="D230" s="663" t="str">
        <f>$D$14</f>
        <v>FTE February 2026</v>
      </c>
      <c r="E230" s="622">
        <f>'3421'!$J$124</f>
        <v>434928.01</v>
      </c>
      <c r="F230" s="635"/>
      <c r="G230" s="622">
        <f>SUBTOTAL(109,E230:F240)</f>
        <v>434928.01</v>
      </c>
      <c r="H230" s="662"/>
      <c r="I230" s="645"/>
    </row>
    <row r="231" spans="1:9" s="368" customFormat="1" ht="12.75" hidden="1" customHeight="1" x14ac:dyDescent="0.2">
      <c r="A231" s="618"/>
      <c r="B231" s="632"/>
      <c r="C231" s="633"/>
      <c r="D231" s="637" t="s">
        <v>490</v>
      </c>
      <c r="E231" s="622"/>
      <c r="F231" s="635"/>
      <c r="G231" s="622"/>
      <c r="H231" s="636"/>
      <c r="I231" s="647"/>
    </row>
    <row r="232" spans="1:9" s="368" customFormat="1" ht="12.75" hidden="1" customHeight="1" x14ac:dyDescent="0.2">
      <c r="A232" s="618"/>
      <c r="B232" s="632"/>
      <c r="C232" s="633"/>
      <c r="D232" s="638" t="s">
        <v>526</v>
      </c>
      <c r="E232" s="622"/>
      <c r="F232" s="635"/>
      <c r="G232" s="622"/>
      <c r="H232" s="662"/>
      <c r="I232" s="650"/>
    </row>
    <row r="233" spans="1:9" s="368" customFormat="1" ht="12.75" hidden="1" customHeight="1" x14ac:dyDescent="0.2">
      <c r="A233" s="618"/>
      <c r="B233" s="632"/>
      <c r="C233" s="633"/>
      <c r="D233" s="637" t="s">
        <v>515</v>
      </c>
      <c r="E233" s="622"/>
      <c r="F233" s="635"/>
      <c r="G233" s="622"/>
      <c r="H233" s="662"/>
      <c r="I233" s="650"/>
    </row>
    <row r="234" spans="1:9" s="368" customFormat="1" ht="12.75" hidden="1" customHeight="1" x14ac:dyDescent="0.2">
      <c r="A234" s="618"/>
      <c r="B234" s="632"/>
      <c r="C234" s="633"/>
      <c r="D234" s="637" t="s">
        <v>525</v>
      </c>
      <c r="E234" s="622"/>
      <c r="F234" s="635"/>
      <c r="G234" s="622"/>
      <c r="H234" s="636"/>
      <c r="I234" s="658"/>
    </row>
    <row r="235" spans="1:9" s="368" customFormat="1" ht="12.75" hidden="1" customHeight="1" x14ac:dyDescent="0.2">
      <c r="A235" s="618"/>
      <c r="B235" s="632"/>
      <c r="C235" s="633"/>
      <c r="D235" s="637" t="s">
        <v>492</v>
      </c>
      <c r="E235" s="622"/>
      <c r="F235" s="635"/>
      <c r="G235" s="622"/>
      <c r="H235" s="662"/>
    </row>
    <row r="236" spans="1:9" s="368" customFormat="1" ht="12.75" hidden="1" customHeight="1" x14ac:dyDescent="0.2">
      <c r="A236" s="618"/>
      <c r="B236" s="632"/>
      <c r="C236" s="633"/>
      <c r="D236" s="637" t="s">
        <v>493</v>
      </c>
      <c r="E236" s="622"/>
      <c r="F236" s="635"/>
      <c r="G236" s="622"/>
      <c r="H236" s="662"/>
    </row>
    <row r="237" spans="1:9" s="368" customFormat="1" ht="12.75" hidden="1" customHeight="1" x14ac:dyDescent="0.2">
      <c r="A237" s="618"/>
      <c r="B237" s="632"/>
      <c r="C237" s="633"/>
      <c r="D237" s="637" t="s">
        <v>494</v>
      </c>
      <c r="E237" s="622"/>
      <c r="F237" s="635"/>
      <c r="G237" s="622"/>
      <c r="H237" s="662"/>
    </row>
    <row r="238" spans="1:9" s="368" customFormat="1" ht="12.75" hidden="1" customHeight="1" x14ac:dyDescent="0.2">
      <c r="A238" s="618"/>
      <c r="B238" s="632"/>
      <c r="C238" s="633"/>
      <c r="D238" s="637" t="s">
        <v>495</v>
      </c>
      <c r="E238" s="622"/>
      <c r="F238" s="635"/>
      <c r="G238" s="622"/>
      <c r="H238" s="636"/>
      <c r="I238" s="647"/>
    </row>
    <row r="239" spans="1:9" s="368" customFormat="1" ht="12.75" hidden="1" customHeight="1" x14ac:dyDescent="0.2">
      <c r="A239" s="618"/>
      <c r="B239" s="632"/>
      <c r="C239" s="640"/>
      <c r="D239" s="644" t="s">
        <v>503</v>
      </c>
      <c r="E239" s="622"/>
      <c r="F239" s="635"/>
      <c r="G239" s="622"/>
      <c r="H239" s="636"/>
      <c r="I239" s="647"/>
    </row>
    <row r="240" spans="1:9" s="368" customFormat="1" ht="12.75" hidden="1" customHeight="1" x14ac:dyDescent="0.2">
      <c r="A240" s="618"/>
      <c r="B240" s="632"/>
      <c r="C240" s="633"/>
      <c r="D240" s="666" t="s">
        <v>512</v>
      </c>
      <c r="E240" s="622"/>
      <c r="F240" s="635"/>
      <c r="G240" s="622"/>
      <c r="H240" s="662"/>
    </row>
    <row r="241" spans="1:9" s="368" customFormat="1" ht="12.75" customHeight="1" x14ac:dyDescent="0.2">
      <c r="A241" s="318">
        <f>A230+1</f>
        <v>26</v>
      </c>
      <c r="B241" s="650" t="s">
        <v>254</v>
      </c>
      <c r="C241" s="651" t="s">
        <v>255</v>
      </c>
      <c r="D241" s="652" t="str">
        <f>$D$14</f>
        <v>FTE February 2026</v>
      </c>
      <c r="E241" s="629">
        <f>'3431'!$J$124</f>
        <v>739014.58</v>
      </c>
      <c r="F241" s="653"/>
      <c r="G241" s="629">
        <f>SUBTOTAL(109,E241:F250)</f>
        <v>739014.58</v>
      </c>
      <c r="H241" s="662"/>
    </row>
    <row r="242" spans="1:9" s="368" customFormat="1" ht="12.75" hidden="1" customHeight="1" x14ac:dyDescent="0.2">
      <c r="A242" s="318"/>
      <c r="B242" s="650"/>
      <c r="C242" s="651"/>
      <c r="D242" s="311" t="s">
        <v>514</v>
      </c>
      <c r="E242" s="629"/>
      <c r="F242" s="653"/>
      <c r="G242" s="629"/>
      <c r="H242" s="662"/>
      <c r="I242" s="650"/>
    </row>
    <row r="243" spans="1:9" s="368" customFormat="1" ht="12.75" hidden="1" customHeight="1" x14ac:dyDescent="0.2">
      <c r="A243" s="318"/>
      <c r="B243" s="650"/>
      <c r="C243" s="651"/>
      <c r="D243" s="655" t="s">
        <v>491</v>
      </c>
      <c r="E243" s="629"/>
      <c r="F243" s="653"/>
      <c r="G243" s="629"/>
      <c r="H243" s="662"/>
      <c r="I243" s="650"/>
    </row>
    <row r="244" spans="1:9" s="368" customFormat="1" ht="12.75" hidden="1" customHeight="1" x14ac:dyDescent="0.2">
      <c r="A244" s="318"/>
      <c r="B244" s="650"/>
      <c r="C244" s="651"/>
      <c r="D244" s="311" t="s">
        <v>492</v>
      </c>
      <c r="E244" s="629"/>
      <c r="F244" s="653"/>
      <c r="G244" s="629"/>
      <c r="H244" s="662"/>
      <c r="I244" s="650"/>
    </row>
    <row r="245" spans="1:9" s="368" customFormat="1" ht="12.75" hidden="1" customHeight="1" x14ac:dyDescent="0.2">
      <c r="A245" s="318"/>
      <c r="B245" s="650"/>
      <c r="C245" s="651"/>
      <c r="D245" s="311" t="s">
        <v>517</v>
      </c>
      <c r="E245" s="629"/>
      <c r="F245" s="653"/>
      <c r="G245" s="629"/>
      <c r="H245" s="662"/>
    </row>
    <row r="246" spans="1:9" s="368" customFormat="1" ht="12.75" hidden="1" customHeight="1" x14ac:dyDescent="0.2">
      <c r="A246" s="318"/>
      <c r="B246" s="650"/>
      <c r="C246" s="651"/>
      <c r="D246" s="311" t="s">
        <v>494</v>
      </c>
      <c r="E246" s="629"/>
      <c r="F246" s="653"/>
      <c r="G246" s="629"/>
      <c r="H246" s="662"/>
      <c r="I246" s="650"/>
    </row>
    <row r="247" spans="1:9" s="368" customFormat="1" ht="12.75" hidden="1" customHeight="1" x14ac:dyDescent="0.2">
      <c r="A247" s="318"/>
      <c r="B247" s="650"/>
      <c r="C247" s="651"/>
      <c r="D247" s="311" t="s">
        <v>495</v>
      </c>
      <c r="E247" s="629"/>
      <c r="F247" s="653"/>
      <c r="G247" s="629"/>
      <c r="H247" s="662"/>
    </row>
    <row r="248" spans="1:9" s="368" customFormat="1" ht="12.75" hidden="1" customHeight="1" x14ac:dyDescent="0.2">
      <c r="A248" s="318"/>
      <c r="B248" s="650"/>
      <c r="C248" s="651"/>
      <c r="D248" s="311" t="s">
        <v>518</v>
      </c>
      <c r="E248" s="629"/>
      <c r="F248" s="653"/>
      <c r="G248" s="629"/>
      <c r="H248" s="636"/>
      <c r="I248" s="647"/>
    </row>
    <row r="249" spans="1:9" s="368" customFormat="1" ht="12.75" hidden="1" customHeight="1" x14ac:dyDescent="0.2">
      <c r="A249" s="318"/>
      <c r="B249" s="650"/>
      <c r="C249" s="658"/>
      <c r="D249" s="661" t="s">
        <v>503</v>
      </c>
      <c r="E249" s="629"/>
      <c r="F249" s="653"/>
      <c r="G249" s="629"/>
      <c r="H249" s="662"/>
      <c r="I249" s="645"/>
    </row>
    <row r="250" spans="1:9" s="368" customFormat="1" ht="12.75" hidden="1" customHeight="1" x14ac:dyDescent="0.2">
      <c r="A250" s="318"/>
      <c r="B250" s="650"/>
      <c r="C250" s="651"/>
      <c r="D250" s="659" t="s">
        <v>527</v>
      </c>
      <c r="E250" s="629"/>
      <c r="F250" s="653"/>
      <c r="G250" s="629"/>
      <c r="H250" s="636"/>
      <c r="I250" s="647"/>
    </row>
    <row r="251" spans="1:9" s="368" customFormat="1" ht="12.75" customHeight="1" x14ac:dyDescent="0.2">
      <c r="A251" s="618">
        <f>A241+1</f>
        <v>27</v>
      </c>
      <c r="B251" s="632">
        <v>3441</v>
      </c>
      <c r="C251" s="664" t="s">
        <v>256</v>
      </c>
      <c r="D251" s="663" t="str">
        <f>$D$14</f>
        <v>FTE February 2026</v>
      </c>
      <c r="E251" s="622">
        <f>'3441'!$J$124</f>
        <v>386283.79</v>
      </c>
      <c r="F251" s="635"/>
      <c r="G251" s="622">
        <f>SUBTOTAL(109,E251:F259)</f>
        <v>386283.79</v>
      </c>
      <c r="H251" s="662"/>
    </row>
    <row r="252" spans="1:9" s="368" customFormat="1" ht="12.75" hidden="1" customHeight="1" x14ac:dyDescent="0.2">
      <c r="A252" s="618"/>
      <c r="B252" s="632"/>
      <c r="C252" s="664"/>
      <c r="D252" s="637" t="s">
        <v>490</v>
      </c>
      <c r="E252" s="622"/>
      <c r="F252" s="635"/>
      <c r="G252" s="622"/>
      <c r="H252" s="662"/>
    </row>
    <row r="253" spans="1:9" s="368" customFormat="1" ht="12.75" hidden="1" customHeight="1" x14ac:dyDescent="0.2">
      <c r="A253" s="618"/>
      <c r="B253" s="632"/>
      <c r="C253" s="633"/>
      <c r="D253" s="638" t="s">
        <v>491</v>
      </c>
      <c r="E253" s="622"/>
      <c r="F253" s="635"/>
      <c r="G253" s="622"/>
      <c r="H253" s="662"/>
      <c r="I253" s="650"/>
    </row>
    <row r="254" spans="1:9" s="368" customFormat="1" ht="12.75" hidden="1" customHeight="1" x14ac:dyDescent="0.2">
      <c r="A254" s="618"/>
      <c r="B254" s="632"/>
      <c r="C254" s="664"/>
      <c r="D254" s="637" t="s">
        <v>492</v>
      </c>
      <c r="E254" s="622"/>
      <c r="F254" s="635"/>
      <c r="G254" s="622"/>
      <c r="H254" s="662"/>
    </row>
    <row r="255" spans="1:9" s="368" customFormat="1" ht="12.75" hidden="1" customHeight="1" x14ac:dyDescent="0.2">
      <c r="A255" s="618"/>
      <c r="B255" s="632"/>
      <c r="C255" s="633"/>
      <c r="D255" s="637" t="s">
        <v>493</v>
      </c>
      <c r="E255" s="622"/>
      <c r="F255" s="635"/>
      <c r="G255" s="622"/>
      <c r="H255" s="662"/>
      <c r="I255" s="650"/>
    </row>
    <row r="256" spans="1:9" s="368" customFormat="1" ht="12.75" hidden="1" customHeight="1" x14ac:dyDescent="0.2">
      <c r="A256" s="618"/>
      <c r="B256" s="632"/>
      <c r="C256" s="633"/>
      <c r="D256" s="637" t="s">
        <v>494</v>
      </c>
      <c r="E256" s="622"/>
      <c r="F256" s="635"/>
      <c r="G256" s="622"/>
      <c r="H256" s="662"/>
      <c r="I256" s="650"/>
    </row>
    <row r="257" spans="1:9" s="368" customFormat="1" ht="12.75" hidden="1" customHeight="1" x14ac:dyDescent="0.2">
      <c r="A257" s="618"/>
      <c r="B257" s="632"/>
      <c r="C257" s="633"/>
      <c r="D257" s="637" t="s">
        <v>495</v>
      </c>
      <c r="E257" s="622"/>
      <c r="F257" s="635"/>
      <c r="G257" s="622"/>
      <c r="H257" s="662"/>
      <c r="I257" s="647"/>
    </row>
    <row r="258" spans="1:9" s="368" customFormat="1" ht="12.75" hidden="1" customHeight="1" x14ac:dyDescent="0.2">
      <c r="A258" s="618"/>
      <c r="B258" s="632"/>
      <c r="C258" s="633"/>
      <c r="D258" s="637" t="s">
        <v>518</v>
      </c>
      <c r="E258" s="622"/>
      <c r="F258" s="635"/>
      <c r="G258" s="622"/>
      <c r="H258" s="662"/>
      <c r="I258" s="668"/>
    </row>
    <row r="259" spans="1:9" s="368" customFormat="1" ht="12.75" hidden="1" customHeight="1" x14ac:dyDescent="0.2">
      <c r="A259" s="618"/>
      <c r="B259" s="632"/>
      <c r="C259" s="633"/>
      <c r="D259" s="666" t="s">
        <v>512</v>
      </c>
      <c r="E259" s="622"/>
      <c r="F259" s="635"/>
      <c r="G259" s="622"/>
      <c r="H259" s="662"/>
      <c r="I259" s="645"/>
    </row>
    <row r="260" spans="1:9" s="368" customFormat="1" ht="12.75" customHeight="1" x14ac:dyDescent="0.2">
      <c r="A260" s="318">
        <f>A251+1</f>
        <v>28</v>
      </c>
      <c r="B260" s="650">
        <v>3924</v>
      </c>
      <c r="C260" s="665" t="s">
        <v>257</v>
      </c>
      <c r="D260" s="652" t="str">
        <f>$D$14</f>
        <v>FTE February 2026</v>
      </c>
      <c r="E260" s="629">
        <f>'3924'!$J$124</f>
        <v>265079.03999999998</v>
      </c>
      <c r="F260" s="653"/>
      <c r="G260" s="629">
        <f>SUBTOTAL(109,E260:F269)</f>
        <v>265079.03999999998</v>
      </c>
      <c r="H260" s="662"/>
    </row>
    <row r="261" spans="1:9" s="368" customFormat="1" ht="12.75" hidden="1" customHeight="1" x14ac:dyDescent="0.2">
      <c r="A261" s="318"/>
      <c r="B261" s="650"/>
      <c r="C261" s="651"/>
      <c r="D261" s="311" t="s">
        <v>514</v>
      </c>
      <c r="E261" s="629"/>
      <c r="F261" s="653"/>
      <c r="G261" s="629"/>
      <c r="H261" s="662"/>
    </row>
    <row r="262" spans="1:9" s="368" customFormat="1" ht="12.75" hidden="1" customHeight="1" x14ac:dyDescent="0.2">
      <c r="A262" s="318"/>
      <c r="B262" s="650"/>
      <c r="C262" s="651"/>
      <c r="D262" s="655" t="s">
        <v>491</v>
      </c>
      <c r="E262" s="629"/>
      <c r="F262" s="653"/>
      <c r="G262" s="629"/>
      <c r="H262" s="662"/>
    </row>
    <row r="263" spans="1:9" s="368" customFormat="1" ht="12.75" hidden="1" customHeight="1" x14ac:dyDescent="0.2">
      <c r="A263" s="318"/>
      <c r="B263" s="650"/>
      <c r="C263" s="651"/>
      <c r="D263" s="655" t="s">
        <v>510</v>
      </c>
      <c r="E263" s="629"/>
      <c r="F263" s="653"/>
      <c r="G263" s="629"/>
      <c r="H263" s="636"/>
      <c r="I263" s="658"/>
    </row>
    <row r="264" spans="1:9" s="368" customFormat="1" ht="12.75" hidden="1" customHeight="1" x14ac:dyDescent="0.2">
      <c r="A264" s="318"/>
      <c r="B264" s="650"/>
      <c r="C264" s="651"/>
      <c r="D264" s="311" t="s">
        <v>492</v>
      </c>
      <c r="E264" s="629"/>
      <c r="F264" s="653"/>
      <c r="G264" s="629"/>
      <c r="H264" s="662"/>
    </row>
    <row r="265" spans="1:9" s="368" customFormat="1" ht="12.75" hidden="1" customHeight="1" x14ac:dyDescent="0.2">
      <c r="A265" s="318"/>
      <c r="B265" s="650"/>
      <c r="C265" s="651"/>
      <c r="D265" s="311" t="s">
        <v>493</v>
      </c>
      <c r="E265" s="629"/>
      <c r="F265" s="653"/>
      <c r="G265" s="629"/>
      <c r="H265" s="662"/>
    </row>
    <row r="266" spans="1:9" s="368" customFormat="1" ht="12.75" hidden="1" customHeight="1" x14ac:dyDescent="0.2">
      <c r="A266" s="318"/>
      <c r="B266" s="650"/>
      <c r="C266" s="651"/>
      <c r="D266" s="311" t="s">
        <v>494</v>
      </c>
      <c r="E266" s="629"/>
      <c r="F266" s="653"/>
      <c r="G266" s="629"/>
      <c r="H266" s="662"/>
      <c r="I266" s="650"/>
    </row>
    <row r="267" spans="1:9" s="368" customFormat="1" ht="12.75" hidden="1" customHeight="1" x14ac:dyDescent="0.2">
      <c r="A267" s="318"/>
      <c r="B267" s="650"/>
      <c r="C267" s="651"/>
      <c r="D267" s="311" t="s">
        <v>495</v>
      </c>
      <c r="E267" s="629"/>
      <c r="F267" s="653"/>
      <c r="G267" s="629"/>
      <c r="H267" s="636"/>
      <c r="I267" s="647"/>
    </row>
    <row r="268" spans="1:9" s="368" customFormat="1" ht="12.75" hidden="1" customHeight="1" x14ac:dyDescent="0.2">
      <c r="A268" s="318"/>
      <c r="B268" s="650"/>
      <c r="C268" s="658"/>
      <c r="D268" s="661" t="s">
        <v>503</v>
      </c>
      <c r="E268" s="629"/>
      <c r="F268" s="653"/>
      <c r="G268" s="629"/>
      <c r="H268" s="662"/>
    </row>
    <row r="269" spans="1:9" s="368" customFormat="1" ht="12.75" hidden="1" customHeight="1" x14ac:dyDescent="0.2">
      <c r="A269" s="318"/>
      <c r="B269" s="650"/>
      <c r="C269" s="651"/>
      <c r="D269" s="659" t="s">
        <v>528</v>
      </c>
      <c r="E269" s="629"/>
      <c r="F269" s="653"/>
      <c r="G269" s="629"/>
      <c r="H269" s="662"/>
    </row>
    <row r="270" spans="1:9" s="368" customFormat="1" ht="12.75" customHeight="1" x14ac:dyDescent="0.2">
      <c r="A270" s="618">
        <f>A260+1</f>
        <v>29</v>
      </c>
      <c r="B270" s="632" t="s">
        <v>258</v>
      </c>
      <c r="C270" s="633" t="s">
        <v>259</v>
      </c>
      <c r="D270" s="663" t="str">
        <f>$D$14</f>
        <v>FTE February 2026</v>
      </c>
      <c r="E270" s="622">
        <f>'3941'!$J$124</f>
        <v>167307.03</v>
      </c>
      <c r="F270" s="635"/>
      <c r="G270" s="622">
        <f>SUBTOTAL(109,E270:F279)</f>
        <v>167307.03</v>
      </c>
      <c r="H270" s="662"/>
    </row>
    <row r="271" spans="1:9" s="368" customFormat="1" ht="12.75" hidden="1" customHeight="1" x14ac:dyDescent="0.2">
      <c r="A271" s="618"/>
      <c r="B271" s="632"/>
      <c r="C271" s="633"/>
      <c r="D271" s="637" t="s">
        <v>490</v>
      </c>
      <c r="E271" s="622"/>
      <c r="F271" s="635"/>
      <c r="G271" s="622"/>
      <c r="H271" s="662"/>
    </row>
    <row r="272" spans="1:9" s="368" customFormat="1" ht="12.75" hidden="1" customHeight="1" x14ac:dyDescent="0.2">
      <c r="A272" s="618"/>
      <c r="B272" s="632"/>
      <c r="C272" s="633"/>
      <c r="D272" s="638" t="s">
        <v>491</v>
      </c>
      <c r="E272" s="622"/>
      <c r="F272" s="635"/>
      <c r="G272" s="622"/>
      <c r="H272" s="662"/>
      <c r="I272" s="650"/>
    </row>
    <row r="273" spans="1:9" s="368" customFormat="1" ht="12.75" hidden="1" customHeight="1" x14ac:dyDescent="0.2">
      <c r="A273" s="618"/>
      <c r="B273" s="632"/>
      <c r="C273" s="633"/>
      <c r="D273" s="637" t="s">
        <v>492</v>
      </c>
      <c r="E273" s="622"/>
      <c r="F273" s="635"/>
      <c r="G273" s="622"/>
      <c r="H273" s="662"/>
      <c r="I273" s="650"/>
    </row>
    <row r="274" spans="1:9" s="368" customFormat="1" ht="12.75" hidden="1" customHeight="1" x14ac:dyDescent="0.2">
      <c r="A274" s="618"/>
      <c r="B274" s="632"/>
      <c r="C274" s="633"/>
      <c r="D274" s="637" t="s">
        <v>493</v>
      </c>
      <c r="E274" s="622"/>
      <c r="F274" s="635"/>
      <c r="G274" s="622"/>
      <c r="H274" s="662"/>
    </row>
    <row r="275" spans="1:9" s="368" customFormat="1" ht="12.75" hidden="1" customHeight="1" x14ac:dyDescent="0.2">
      <c r="A275" s="618"/>
      <c r="B275" s="632"/>
      <c r="C275" s="633"/>
      <c r="D275" s="637" t="s">
        <v>494</v>
      </c>
      <c r="E275" s="622"/>
      <c r="F275" s="635"/>
      <c r="G275" s="622"/>
      <c r="H275" s="662"/>
    </row>
    <row r="276" spans="1:9" s="368" customFormat="1" ht="12.75" hidden="1" customHeight="1" x14ac:dyDescent="0.2">
      <c r="A276" s="618"/>
      <c r="B276" s="632"/>
      <c r="C276" s="633"/>
      <c r="D276" s="637" t="s">
        <v>495</v>
      </c>
      <c r="E276" s="622"/>
      <c r="F276" s="635"/>
      <c r="G276" s="622"/>
      <c r="H276" s="662"/>
    </row>
    <row r="277" spans="1:9" s="368" customFormat="1" ht="12.75" hidden="1" customHeight="1" x14ac:dyDescent="0.2">
      <c r="A277" s="618"/>
      <c r="B277" s="632"/>
      <c r="C277" s="633"/>
      <c r="D277" s="637" t="s">
        <v>529</v>
      </c>
      <c r="E277" s="622"/>
      <c r="F277" s="635"/>
      <c r="G277" s="622"/>
      <c r="H277" s="662"/>
      <c r="I277" s="647"/>
    </row>
    <row r="278" spans="1:9" s="368" customFormat="1" ht="12.75" hidden="1" customHeight="1" x14ac:dyDescent="0.2">
      <c r="A278" s="618"/>
      <c r="B278" s="632"/>
      <c r="C278" s="633"/>
      <c r="D278" s="637" t="s">
        <v>503</v>
      </c>
      <c r="E278" s="622"/>
      <c r="F278" s="635"/>
      <c r="G278" s="622"/>
      <c r="H278" s="662"/>
      <c r="I278" s="645"/>
    </row>
    <row r="279" spans="1:9" s="368" customFormat="1" ht="12.75" hidden="1" customHeight="1" x14ac:dyDescent="0.2">
      <c r="A279" s="618"/>
      <c r="B279" s="632"/>
      <c r="C279" s="633"/>
      <c r="D279" s="637"/>
      <c r="E279" s="622"/>
      <c r="F279" s="635"/>
      <c r="G279" s="622"/>
      <c r="H279" s="662"/>
      <c r="I279" s="647"/>
    </row>
    <row r="280" spans="1:9" s="368" customFormat="1" ht="12.75" customHeight="1" x14ac:dyDescent="0.2">
      <c r="A280" s="318">
        <f>A270+1</f>
        <v>30</v>
      </c>
      <c r="B280" s="650" t="s">
        <v>260</v>
      </c>
      <c r="C280" s="651" t="s">
        <v>261</v>
      </c>
      <c r="D280" s="652" t="str">
        <f>$D$14</f>
        <v>FTE February 2026</v>
      </c>
      <c r="E280" s="629">
        <f>'3961'!$J$124</f>
        <v>0</v>
      </c>
      <c r="F280" s="653"/>
      <c r="G280" s="629">
        <f>SUBTOTAL(109,E280:F287)</f>
        <v>0</v>
      </c>
      <c r="H280" s="662"/>
    </row>
    <row r="281" spans="1:9" s="368" customFormat="1" ht="12.75" hidden="1" customHeight="1" x14ac:dyDescent="0.2">
      <c r="A281" s="318"/>
      <c r="B281" s="650"/>
      <c r="C281" s="651"/>
      <c r="D281" s="311" t="s">
        <v>514</v>
      </c>
      <c r="E281" s="629"/>
      <c r="F281" s="653"/>
      <c r="G281" s="629"/>
      <c r="H281" s="662"/>
    </row>
    <row r="282" spans="1:9" s="368" customFormat="1" ht="12.75" hidden="1" customHeight="1" x14ac:dyDescent="0.2">
      <c r="A282" s="318"/>
      <c r="B282" s="650"/>
      <c r="C282" s="651"/>
      <c r="D282" s="655" t="s">
        <v>491</v>
      </c>
      <c r="E282" s="629"/>
      <c r="F282" s="653"/>
      <c r="G282" s="629"/>
      <c r="H282" s="662"/>
      <c r="I282" s="650"/>
    </row>
    <row r="283" spans="1:9" s="368" customFormat="1" ht="12.75" hidden="1" customHeight="1" x14ac:dyDescent="0.2">
      <c r="A283" s="318"/>
      <c r="B283" s="650"/>
      <c r="C283" s="651"/>
      <c r="D283" s="311" t="s">
        <v>492</v>
      </c>
      <c r="E283" s="629"/>
      <c r="F283" s="653"/>
      <c r="G283" s="629"/>
      <c r="H283" s="662"/>
    </row>
    <row r="284" spans="1:9" s="368" customFormat="1" ht="12.75" hidden="1" customHeight="1" x14ac:dyDescent="0.2">
      <c r="A284" s="318"/>
      <c r="B284" s="650"/>
      <c r="C284" s="651"/>
      <c r="D284" s="311" t="s">
        <v>493</v>
      </c>
      <c r="E284" s="629"/>
      <c r="F284" s="653"/>
      <c r="G284" s="629"/>
      <c r="H284" s="662"/>
    </row>
    <row r="285" spans="1:9" s="368" customFormat="1" ht="12.75" hidden="1" customHeight="1" x14ac:dyDescent="0.2">
      <c r="A285" s="318"/>
      <c r="B285" s="650"/>
      <c r="C285" s="651"/>
      <c r="D285" s="311" t="s">
        <v>494</v>
      </c>
      <c r="E285" s="629"/>
      <c r="F285" s="653"/>
      <c r="G285" s="629"/>
      <c r="H285" s="662"/>
    </row>
    <row r="286" spans="1:9" s="368" customFormat="1" ht="12.75" hidden="1" customHeight="1" x14ac:dyDescent="0.2">
      <c r="A286" s="318"/>
      <c r="B286" s="650"/>
      <c r="C286" s="651"/>
      <c r="D286" s="311" t="s">
        <v>495</v>
      </c>
      <c r="E286" s="629"/>
      <c r="F286" s="653"/>
      <c r="G286" s="629"/>
      <c r="H286" s="636"/>
      <c r="I286" s="647"/>
    </row>
    <row r="287" spans="1:9" s="368" customFormat="1" ht="12.75" hidden="1" customHeight="1" x14ac:dyDescent="0.2">
      <c r="A287" s="318"/>
      <c r="B287" s="650"/>
      <c r="C287" s="658"/>
      <c r="D287" s="659" t="s">
        <v>530</v>
      </c>
      <c r="E287" s="629"/>
      <c r="F287" s="653"/>
      <c r="G287" s="629"/>
      <c r="H287" s="636"/>
      <c r="I287" s="647"/>
    </row>
    <row r="288" spans="1:9" s="368" customFormat="1" ht="12.75" customHeight="1" x14ac:dyDescent="0.2">
      <c r="A288" s="618">
        <f>A280+1</f>
        <v>31</v>
      </c>
      <c r="B288" s="632" t="s">
        <v>262</v>
      </c>
      <c r="C288" s="633" t="s">
        <v>263</v>
      </c>
      <c r="D288" s="663" t="str">
        <f>$D$14</f>
        <v>FTE February 2026</v>
      </c>
      <c r="E288" s="622">
        <f>'3971'!$J$124</f>
        <v>372294.18</v>
      </c>
      <c r="F288" s="635"/>
      <c r="G288" s="622">
        <f>SUBTOTAL(109,E288:F295)</f>
        <v>372294.18</v>
      </c>
      <c r="H288" s="636"/>
      <c r="I288" s="647"/>
    </row>
    <row r="289" spans="1:9" s="368" customFormat="1" ht="12.75" hidden="1" customHeight="1" x14ac:dyDescent="0.2">
      <c r="A289" s="618"/>
      <c r="B289" s="632"/>
      <c r="C289" s="633"/>
      <c r="D289" s="637" t="s">
        <v>490</v>
      </c>
      <c r="E289" s="622"/>
      <c r="F289" s="635"/>
      <c r="G289" s="622"/>
      <c r="H289" s="662"/>
    </row>
    <row r="290" spans="1:9" s="368" customFormat="1" ht="12.75" hidden="1" customHeight="1" x14ac:dyDescent="0.2">
      <c r="A290" s="618"/>
      <c r="B290" s="632"/>
      <c r="C290" s="633"/>
      <c r="D290" s="638" t="s">
        <v>491</v>
      </c>
      <c r="E290" s="622"/>
      <c r="F290" s="635"/>
      <c r="G290" s="622"/>
      <c r="H290" s="662"/>
    </row>
    <row r="291" spans="1:9" s="368" customFormat="1" ht="12.75" hidden="1" customHeight="1" x14ac:dyDescent="0.2">
      <c r="A291" s="618"/>
      <c r="B291" s="632"/>
      <c r="C291" s="633"/>
      <c r="D291" s="637" t="s">
        <v>492</v>
      </c>
      <c r="E291" s="622"/>
      <c r="F291" s="635"/>
      <c r="G291" s="622"/>
      <c r="H291" s="662"/>
    </row>
    <row r="292" spans="1:9" s="368" customFormat="1" ht="12.75" hidden="1" customHeight="1" x14ac:dyDescent="0.2">
      <c r="A292" s="618"/>
      <c r="B292" s="632"/>
      <c r="C292" s="633"/>
      <c r="D292" s="637" t="s">
        <v>493</v>
      </c>
      <c r="E292" s="622"/>
      <c r="F292" s="635"/>
      <c r="G292" s="622"/>
      <c r="H292" s="662"/>
      <c r="I292" s="650"/>
    </row>
    <row r="293" spans="1:9" s="368" customFormat="1" ht="12.75" hidden="1" customHeight="1" x14ac:dyDescent="0.2">
      <c r="A293" s="618"/>
      <c r="B293" s="632"/>
      <c r="C293" s="633"/>
      <c r="D293" s="637" t="s">
        <v>494</v>
      </c>
      <c r="E293" s="622"/>
      <c r="F293" s="635"/>
      <c r="G293" s="622"/>
      <c r="H293" s="662"/>
    </row>
    <row r="294" spans="1:9" s="368" customFormat="1" ht="12.75" hidden="1" customHeight="1" x14ac:dyDescent="0.2">
      <c r="A294" s="618"/>
      <c r="B294" s="632"/>
      <c r="C294" s="633"/>
      <c r="D294" s="637" t="s">
        <v>495</v>
      </c>
      <c r="E294" s="622"/>
      <c r="F294" s="635"/>
      <c r="G294" s="622"/>
      <c r="H294" s="662"/>
    </row>
    <row r="295" spans="1:9" s="368" customFormat="1" ht="12.75" hidden="1" customHeight="1" x14ac:dyDescent="0.2">
      <c r="A295" s="618"/>
      <c r="B295" s="632"/>
      <c r="C295" s="633"/>
      <c r="D295" s="666" t="s">
        <v>531</v>
      </c>
      <c r="E295" s="622"/>
      <c r="F295" s="635"/>
      <c r="G295" s="622"/>
      <c r="H295" s="662"/>
      <c r="I295" s="309"/>
    </row>
    <row r="296" spans="1:9" s="368" customFormat="1" ht="12.75" customHeight="1" x14ac:dyDescent="0.2">
      <c r="A296" s="318">
        <f>A288+1</f>
        <v>32</v>
      </c>
      <c r="B296" s="650" t="s">
        <v>264</v>
      </c>
      <c r="C296" s="651" t="s">
        <v>265</v>
      </c>
      <c r="D296" s="652" t="str">
        <f>$D$14</f>
        <v>FTE February 2026</v>
      </c>
      <c r="E296" s="671">
        <f>'4001'!$J$124</f>
        <v>427320.19</v>
      </c>
      <c r="F296" s="653"/>
      <c r="G296" s="629">
        <f>SUBTOTAL(109,E296:F304)</f>
        <v>427320.19</v>
      </c>
      <c r="H296" s="662"/>
      <c r="I296" s="647"/>
    </row>
    <row r="297" spans="1:9" ht="12.75" hidden="1" customHeight="1" x14ac:dyDescent="0.2">
      <c r="A297" s="318"/>
      <c r="B297" s="650"/>
      <c r="C297" s="651"/>
      <c r="D297" s="311" t="s">
        <v>514</v>
      </c>
      <c r="E297" s="629"/>
      <c r="F297" s="672"/>
      <c r="G297" s="629"/>
      <c r="H297" s="667"/>
      <c r="I297" s="368"/>
    </row>
    <row r="298" spans="1:9" s="368" customFormat="1" ht="12.75" hidden="1" customHeight="1" x14ac:dyDescent="0.2">
      <c r="A298" s="318"/>
      <c r="B298" s="650"/>
      <c r="C298" s="651"/>
      <c r="D298" s="655" t="s">
        <v>491</v>
      </c>
      <c r="E298" s="629"/>
      <c r="F298" s="653"/>
      <c r="G298" s="629"/>
      <c r="H298" s="662"/>
    </row>
    <row r="299" spans="1:9" s="368" customFormat="1" ht="12.75" hidden="1" customHeight="1" x14ac:dyDescent="0.2">
      <c r="A299" s="318"/>
      <c r="B299" s="650"/>
      <c r="C299" s="651"/>
      <c r="D299" s="311" t="s">
        <v>492</v>
      </c>
      <c r="E299" s="629"/>
      <c r="F299" s="653"/>
      <c r="G299" s="629"/>
      <c r="H299" s="662"/>
    </row>
    <row r="300" spans="1:9" s="368" customFormat="1" ht="12.75" hidden="1" customHeight="1" x14ac:dyDescent="0.2">
      <c r="A300" s="318"/>
      <c r="B300" s="650"/>
      <c r="C300" s="651"/>
      <c r="D300" s="311" t="s">
        <v>493</v>
      </c>
      <c r="E300" s="629"/>
      <c r="F300" s="653"/>
      <c r="G300" s="629"/>
      <c r="H300" s="662"/>
      <c r="I300" s="650"/>
    </row>
    <row r="301" spans="1:9" s="368" customFormat="1" ht="12.75" hidden="1" customHeight="1" x14ac:dyDescent="0.2">
      <c r="A301" s="318"/>
      <c r="B301" s="650"/>
      <c r="C301" s="651"/>
      <c r="D301" s="311" t="s">
        <v>494</v>
      </c>
      <c r="E301" s="629"/>
      <c r="F301" s="653"/>
      <c r="G301" s="629"/>
      <c r="H301" s="662"/>
    </row>
    <row r="302" spans="1:9" s="368" customFormat="1" ht="12.75" hidden="1" customHeight="1" x14ac:dyDescent="0.2">
      <c r="A302" s="318"/>
      <c r="B302" s="650"/>
      <c r="C302" s="651"/>
      <c r="D302" s="311" t="s">
        <v>495</v>
      </c>
      <c r="E302" s="629"/>
      <c r="F302" s="653"/>
      <c r="G302" s="629"/>
      <c r="H302" s="662"/>
    </row>
    <row r="303" spans="1:9" s="368" customFormat="1" ht="12.75" hidden="1" customHeight="1" x14ac:dyDescent="0.2">
      <c r="A303" s="318"/>
      <c r="B303" s="650"/>
      <c r="C303" s="651"/>
      <c r="D303" s="311" t="s">
        <v>503</v>
      </c>
      <c r="E303" s="629"/>
      <c r="F303" s="653"/>
      <c r="G303" s="629"/>
      <c r="H303" s="662"/>
    </row>
    <row r="304" spans="1:9" s="368" customFormat="1" ht="12.75" hidden="1" customHeight="1" x14ac:dyDescent="0.2">
      <c r="A304" s="318"/>
      <c r="B304" s="650"/>
      <c r="C304" s="651"/>
      <c r="D304" s="659" t="s">
        <v>512</v>
      </c>
      <c r="E304" s="629"/>
      <c r="F304" s="653"/>
      <c r="G304" s="629"/>
      <c r="H304" s="636"/>
      <c r="I304" s="647"/>
    </row>
    <row r="305" spans="1:9" s="368" customFormat="1" ht="12.75" customHeight="1" x14ac:dyDescent="0.2">
      <c r="A305" s="618">
        <f>A296+1</f>
        <v>33</v>
      </c>
      <c r="B305" s="632">
        <v>4002</v>
      </c>
      <c r="C305" s="633" t="s">
        <v>266</v>
      </c>
      <c r="D305" s="663" t="str">
        <f>$D$14</f>
        <v>FTE February 2026</v>
      </c>
      <c r="E305" s="622">
        <f>'4002'!$J$124</f>
        <v>565017.44999999995</v>
      </c>
      <c r="F305" s="635"/>
      <c r="G305" s="622">
        <f>SUBTOTAL(109,E305:F314)</f>
        <v>565017.44999999995</v>
      </c>
      <c r="H305" s="662"/>
    </row>
    <row r="306" spans="1:9" s="368" customFormat="1" ht="12.75" hidden="1" customHeight="1" x14ac:dyDescent="0.2">
      <c r="A306" s="618"/>
      <c r="B306" s="632"/>
      <c r="C306" s="633"/>
      <c r="D306" s="637" t="s">
        <v>490</v>
      </c>
      <c r="E306" s="622"/>
      <c r="F306" s="635"/>
      <c r="G306" s="622"/>
      <c r="H306" s="662"/>
    </row>
    <row r="307" spans="1:9" s="368" customFormat="1" ht="12.75" hidden="1" customHeight="1" x14ac:dyDescent="0.2">
      <c r="A307" s="618"/>
      <c r="B307" s="632"/>
      <c r="C307" s="633"/>
      <c r="D307" s="638" t="s">
        <v>491</v>
      </c>
      <c r="E307" s="622"/>
      <c r="F307" s="635"/>
      <c r="G307" s="622"/>
      <c r="H307" s="662"/>
    </row>
    <row r="308" spans="1:9" s="368" customFormat="1" ht="12.75" hidden="1" customHeight="1" x14ac:dyDescent="0.2">
      <c r="A308" s="618"/>
      <c r="B308" s="632"/>
      <c r="C308" s="633"/>
      <c r="D308" s="637" t="s">
        <v>492</v>
      </c>
      <c r="E308" s="622"/>
      <c r="F308" s="635"/>
      <c r="G308" s="622"/>
      <c r="H308" s="662"/>
      <c r="I308" s="650"/>
    </row>
    <row r="309" spans="1:9" s="368" customFormat="1" ht="12.75" hidden="1" customHeight="1" x14ac:dyDescent="0.2">
      <c r="A309" s="618"/>
      <c r="B309" s="632"/>
      <c r="C309" s="633"/>
      <c r="D309" s="637" t="s">
        <v>493</v>
      </c>
      <c r="E309" s="622"/>
      <c r="F309" s="635"/>
      <c r="G309" s="622"/>
      <c r="H309" s="662"/>
    </row>
    <row r="310" spans="1:9" s="368" customFormat="1" ht="12.75" hidden="1" customHeight="1" x14ac:dyDescent="0.2">
      <c r="A310" s="618"/>
      <c r="B310" s="632"/>
      <c r="C310" s="633"/>
      <c r="D310" s="637" t="s">
        <v>494</v>
      </c>
      <c r="E310" s="622"/>
      <c r="F310" s="635"/>
      <c r="G310" s="622"/>
      <c r="H310" s="662"/>
    </row>
    <row r="311" spans="1:9" s="368" customFormat="1" ht="12.75" hidden="1" customHeight="1" x14ac:dyDescent="0.2">
      <c r="A311" s="618"/>
      <c r="B311" s="632"/>
      <c r="C311" s="633"/>
      <c r="D311" s="637" t="s">
        <v>495</v>
      </c>
      <c r="E311" s="622"/>
      <c r="F311" s="635"/>
      <c r="G311" s="622"/>
      <c r="H311" s="662"/>
    </row>
    <row r="312" spans="1:9" s="368" customFormat="1" ht="12.75" hidden="1" customHeight="1" x14ac:dyDescent="0.2">
      <c r="A312" s="618"/>
      <c r="B312" s="632"/>
      <c r="C312" s="633"/>
      <c r="D312" s="637" t="s">
        <v>522</v>
      </c>
      <c r="E312" s="622"/>
      <c r="F312" s="635"/>
      <c r="G312" s="622"/>
      <c r="H312" s="636"/>
      <c r="I312" s="647"/>
    </row>
    <row r="313" spans="1:9" s="368" customFormat="1" ht="12.75" hidden="1" customHeight="1" x14ac:dyDescent="0.2">
      <c r="A313" s="618"/>
      <c r="B313" s="632"/>
      <c r="C313" s="633"/>
      <c r="D313" s="637" t="s">
        <v>503</v>
      </c>
      <c r="E313" s="622"/>
      <c r="F313" s="635"/>
      <c r="G313" s="622"/>
      <c r="H313" s="662"/>
      <c r="I313" s="647"/>
    </row>
    <row r="314" spans="1:9" s="368" customFormat="1" ht="12.75" hidden="1" customHeight="1" x14ac:dyDescent="0.2">
      <c r="A314" s="618"/>
      <c r="B314" s="632"/>
      <c r="C314" s="633"/>
      <c r="D314" s="637" t="s">
        <v>532</v>
      </c>
      <c r="E314" s="622"/>
      <c r="F314" s="635"/>
      <c r="G314" s="622"/>
      <c r="H314" s="662"/>
    </row>
    <row r="315" spans="1:9" s="368" customFormat="1" ht="12.75" customHeight="1" x14ac:dyDescent="0.2">
      <c r="A315" s="318">
        <f>A305+1</f>
        <v>34</v>
      </c>
      <c r="B315" s="650">
        <v>4012</v>
      </c>
      <c r="C315" s="651" t="s">
        <v>267</v>
      </c>
      <c r="D315" s="652" t="str">
        <f>$D$14</f>
        <v>FTE February 2026</v>
      </c>
      <c r="E315" s="629">
        <f>'4012'!$J$124</f>
        <v>330917.68</v>
      </c>
      <c r="F315" s="653"/>
      <c r="G315" s="629">
        <f>SUBTOTAL(109,E315:F322)</f>
        <v>330917.68</v>
      </c>
      <c r="H315" s="662"/>
    </row>
    <row r="316" spans="1:9" s="368" customFormat="1" ht="12.75" hidden="1" customHeight="1" x14ac:dyDescent="0.2">
      <c r="A316" s="318"/>
      <c r="B316" s="650"/>
      <c r="C316" s="651"/>
      <c r="D316" s="311" t="s">
        <v>514</v>
      </c>
      <c r="E316" s="629"/>
      <c r="F316" s="653"/>
      <c r="G316" s="629"/>
      <c r="H316" s="662"/>
    </row>
    <row r="317" spans="1:9" s="368" customFormat="1" ht="12.75" hidden="1" customHeight="1" x14ac:dyDescent="0.2">
      <c r="A317" s="318"/>
      <c r="B317" s="650"/>
      <c r="C317" s="651"/>
      <c r="D317" s="311" t="s">
        <v>491</v>
      </c>
      <c r="E317" s="629"/>
      <c r="F317" s="653"/>
      <c r="G317" s="629"/>
      <c r="H317" s="662"/>
      <c r="I317" s="650"/>
    </row>
    <row r="318" spans="1:9" s="368" customFormat="1" ht="12.75" hidden="1" customHeight="1" x14ac:dyDescent="0.2">
      <c r="A318" s="318"/>
      <c r="B318" s="650"/>
      <c r="C318" s="651"/>
      <c r="D318" s="311" t="s">
        <v>517</v>
      </c>
      <c r="E318" s="629"/>
      <c r="F318" s="653"/>
      <c r="G318" s="629"/>
      <c r="H318" s="662"/>
    </row>
    <row r="319" spans="1:9" s="368" customFormat="1" ht="12.75" hidden="1" customHeight="1" x14ac:dyDescent="0.2">
      <c r="A319" s="318"/>
      <c r="B319" s="650"/>
      <c r="C319" s="651"/>
      <c r="D319" s="311" t="s">
        <v>494</v>
      </c>
      <c r="E319" s="629"/>
      <c r="F319" s="653"/>
      <c r="G319" s="629"/>
      <c r="H319" s="662"/>
    </row>
    <row r="320" spans="1:9" s="368" customFormat="1" ht="12.75" hidden="1" customHeight="1" x14ac:dyDescent="0.2">
      <c r="A320" s="318"/>
      <c r="B320" s="650"/>
      <c r="C320" s="651"/>
      <c r="D320" s="311" t="s">
        <v>495</v>
      </c>
      <c r="E320" s="629"/>
      <c r="F320" s="653"/>
      <c r="G320" s="629"/>
      <c r="H320" s="662"/>
    </row>
    <row r="321" spans="1:9" s="368" customFormat="1" ht="12.75" hidden="1" customHeight="1" x14ac:dyDescent="0.2">
      <c r="A321" s="318"/>
      <c r="B321" s="650"/>
      <c r="C321" s="651"/>
      <c r="D321" s="311" t="s">
        <v>518</v>
      </c>
      <c r="E321" s="629"/>
      <c r="F321" s="653"/>
      <c r="G321" s="629"/>
      <c r="H321" s="662"/>
    </row>
    <row r="322" spans="1:9" s="368" customFormat="1" ht="12.75" hidden="1" customHeight="1" x14ac:dyDescent="0.2">
      <c r="A322" s="318"/>
      <c r="B322" s="650"/>
      <c r="C322" s="651"/>
      <c r="D322" s="659" t="s">
        <v>512</v>
      </c>
      <c r="E322" s="629"/>
      <c r="F322" s="653"/>
      <c r="G322" s="629"/>
      <c r="H322" s="662"/>
      <c r="I322" s="643"/>
    </row>
    <row r="323" spans="1:9" s="368" customFormat="1" ht="12.75" customHeight="1" x14ac:dyDescent="0.2">
      <c r="A323" s="618">
        <f>A315+1</f>
        <v>35</v>
      </c>
      <c r="B323" s="632">
        <v>4013</v>
      </c>
      <c r="C323" s="633" t="s">
        <v>268</v>
      </c>
      <c r="D323" s="663" t="str">
        <f>$D$14</f>
        <v>FTE February 2026</v>
      </c>
      <c r="E323" s="622">
        <f>'4013'!$J$124</f>
        <v>764388.1</v>
      </c>
      <c r="F323" s="635"/>
      <c r="G323" s="622">
        <f>SUBTOTAL(109,E323:F331)</f>
        <v>764388.1</v>
      </c>
      <c r="H323" s="662"/>
      <c r="I323" s="643"/>
    </row>
    <row r="324" spans="1:9" s="368" customFormat="1" ht="12.75" hidden="1" customHeight="1" x14ac:dyDescent="0.2">
      <c r="A324" s="618"/>
      <c r="B324" s="632"/>
      <c r="C324" s="633"/>
      <c r="D324" s="637" t="s">
        <v>490</v>
      </c>
      <c r="E324" s="622"/>
      <c r="F324" s="635"/>
      <c r="G324" s="622"/>
      <c r="H324" s="662"/>
    </row>
    <row r="325" spans="1:9" s="368" customFormat="1" ht="12.75" hidden="1" customHeight="1" x14ac:dyDescent="0.2">
      <c r="A325" s="618"/>
      <c r="B325" s="632"/>
      <c r="C325" s="633"/>
      <c r="D325" s="638" t="s">
        <v>491</v>
      </c>
      <c r="E325" s="622"/>
      <c r="F325" s="635"/>
      <c r="G325" s="622"/>
      <c r="H325" s="662"/>
    </row>
    <row r="326" spans="1:9" s="368" customFormat="1" ht="12.75" hidden="1" customHeight="1" x14ac:dyDescent="0.2">
      <c r="A326" s="618"/>
      <c r="B326" s="632"/>
      <c r="C326" s="633"/>
      <c r="D326" s="637" t="s">
        <v>492</v>
      </c>
      <c r="E326" s="622"/>
      <c r="F326" s="635"/>
      <c r="G326" s="622"/>
      <c r="H326" s="662"/>
    </row>
    <row r="327" spans="1:9" s="368" customFormat="1" ht="12.75" hidden="1" customHeight="1" x14ac:dyDescent="0.2">
      <c r="A327" s="618"/>
      <c r="B327" s="632"/>
      <c r="C327" s="633"/>
      <c r="D327" s="637" t="s">
        <v>517</v>
      </c>
      <c r="E327" s="622"/>
      <c r="F327" s="635"/>
      <c r="G327" s="622"/>
      <c r="H327" s="662"/>
    </row>
    <row r="328" spans="1:9" s="368" customFormat="1" ht="12.75" hidden="1" customHeight="1" x14ac:dyDescent="0.2">
      <c r="A328" s="618"/>
      <c r="B328" s="632"/>
      <c r="C328" s="633"/>
      <c r="D328" s="637" t="s">
        <v>494</v>
      </c>
      <c r="E328" s="622"/>
      <c r="F328" s="635"/>
      <c r="G328" s="622"/>
      <c r="H328" s="662"/>
    </row>
    <row r="329" spans="1:9" s="368" customFormat="1" ht="12.75" hidden="1" customHeight="1" x14ac:dyDescent="0.2">
      <c r="A329" s="618"/>
      <c r="B329" s="632"/>
      <c r="C329" s="633"/>
      <c r="D329" s="637" t="s">
        <v>495</v>
      </c>
      <c r="E329" s="622"/>
      <c r="F329" s="635"/>
      <c r="G329" s="622"/>
      <c r="H329" s="662"/>
    </row>
    <row r="330" spans="1:9" s="368" customFormat="1" ht="12.75" hidden="1" customHeight="1" x14ac:dyDescent="0.2">
      <c r="A330" s="618"/>
      <c r="B330" s="632"/>
      <c r="C330" s="633"/>
      <c r="D330" s="637" t="s">
        <v>503</v>
      </c>
      <c r="E330" s="622"/>
      <c r="F330" s="635"/>
      <c r="G330" s="622"/>
      <c r="H330" s="636"/>
      <c r="I330" s="647"/>
    </row>
    <row r="331" spans="1:9" s="368" customFormat="1" ht="12.75" hidden="1" customHeight="1" x14ac:dyDescent="0.2">
      <c r="A331" s="618"/>
      <c r="B331" s="632"/>
      <c r="C331" s="633"/>
      <c r="D331" s="637" t="s">
        <v>512</v>
      </c>
      <c r="E331" s="622"/>
      <c r="F331" s="635"/>
      <c r="G331" s="622"/>
      <c r="H331" s="662"/>
      <c r="I331" s="648"/>
    </row>
    <row r="332" spans="1:9" s="368" customFormat="1" ht="12.75" customHeight="1" x14ac:dyDescent="0.2">
      <c r="A332" s="318">
        <f>A323+1</f>
        <v>36</v>
      </c>
      <c r="B332" s="650">
        <v>4020</v>
      </c>
      <c r="C332" s="665" t="s">
        <v>269</v>
      </c>
      <c r="D332" s="652" t="str">
        <f>$D$14</f>
        <v>FTE February 2026</v>
      </c>
      <c r="E332" s="629">
        <f>'4020'!$J$124</f>
        <v>920811.93</v>
      </c>
      <c r="F332" s="653"/>
      <c r="G332" s="629">
        <f>SUBTOTAL(109,E332:F340)</f>
        <v>920811.93</v>
      </c>
      <c r="H332" s="662"/>
      <c r="I332" s="648"/>
    </row>
    <row r="333" spans="1:9" s="368" customFormat="1" ht="12.75" hidden="1" customHeight="1" x14ac:dyDescent="0.2">
      <c r="A333" s="318"/>
      <c r="B333" s="650"/>
      <c r="C333" s="651"/>
      <c r="D333" s="311" t="s">
        <v>514</v>
      </c>
      <c r="E333" s="629"/>
      <c r="F333" s="653"/>
      <c r="G333" s="629"/>
      <c r="H333" s="662"/>
    </row>
    <row r="334" spans="1:9" s="368" customFormat="1" ht="12.75" hidden="1" customHeight="1" x14ac:dyDescent="0.2">
      <c r="A334" s="318"/>
      <c r="B334" s="650"/>
      <c r="C334" s="651"/>
      <c r="D334" s="655" t="s">
        <v>491</v>
      </c>
      <c r="E334" s="629"/>
      <c r="F334" s="653"/>
      <c r="G334" s="629"/>
      <c r="H334" s="662"/>
    </row>
    <row r="335" spans="1:9" s="368" customFormat="1" ht="12.75" hidden="1" customHeight="1" x14ac:dyDescent="0.2">
      <c r="A335" s="318"/>
      <c r="B335" s="650"/>
      <c r="C335" s="651"/>
      <c r="D335" s="311" t="s">
        <v>492</v>
      </c>
      <c r="E335" s="629"/>
      <c r="F335" s="653"/>
      <c r="G335" s="629"/>
      <c r="H335" s="662"/>
      <c r="I335" s="650"/>
    </row>
    <row r="336" spans="1:9" s="368" customFormat="1" ht="12.75" hidden="1" customHeight="1" x14ac:dyDescent="0.2">
      <c r="A336" s="318"/>
      <c r="B336" s="650"/>
      <c r="C336" s="651"/>
      <c r="D336" s="311" t="s">
        <v>517</v>
      </c>
      <c r="E336" s="629"/>
      <c r="F336" s="653"/>
      <c r="G336" s="629"/>
      <c r="H336" s="662"/>
    </row>
    <row r="337" spans="1:9" s="368" customFormat="1" ht="12.75" hidden="1" customHeight="1" x14ac:dyDescent="0.2">
      <c r="A337" s="318"/>
      <c r="B337" s="650"/>
      <c r="C337" s="651"/>
      <c r="D337" s="311" t="s">
        <v>494</v>
      </c>
      <c r="E337" s="629"/>
      <c r="F337" s="653"/>
      <c r="G337" s="629"/>
      <c r="H337" s="662"/>
    </row>
    <row r="338" spans="1:9" s="368" customFormat="1" ht="12.75" hidden="1" customHeight="1" x14ac:dyDescent="0.2">
      <c r="A338" s="318"/>
      <c r="B338" s="650"/>
      <c r="C338" s="651"/>
      <c r="D338" s="311" t="s">
        <v>495</v>
      </c>
      <c r="E338" s="629"/>
      <c r="F338" s="653"/>
      <c r="G338" s="629"/>
      <c r="H338" s="662"/>
    </row>
    <row r="339" spans="1:9" s="368" customFormat="1" ht="12.75" hidden="1" customHeight="1" x14ac:dyDescent="0.2">
      <c r="A339" s="318"/>
      <c r="B339" s="650"/>
      <c r="C339" s="651"/>
      <c r="D339" s="311" t="s">
        <v>522</v>
      </c>
      <c r="E339" s="629"/>
      <c r="F339" s="653"/>
      <c r="G339" s="629"/>
      <c r="H339" s="662"/>
    </row>
    <row r="340" spans="1:9" s="368" customFormat="1" ht="12.75" hidden="1" customHeight="1" x14ac:dyDescent="0.2">
      <c r="A340" s="318"/>
      <c r="B340" s="650"/>
      <c r="C340" s="651"/>
      <c r="D340" s="659" t="s">
        <v>512</v>
      </c>
      <c r="E340" s="629"/>
      <c r="F340" s="653"/>
      <c r="G340" s="629"/>
      <c r="H340" s="662"/>
      <c r="I340" s="643"/>
    </row>
    <row r="341" spans="1:9" s="368" customFormat="1" ht="12.75" customHeight="1" x14ac:dyDescent="0.2">
      <c r="A341" s="618">
        <f>A332+1</f>
        <v>37</v>
      </c>
      <c r="B341" s="632">
        <v>4030</v>
      </c>
      <c r="C341" s="633" t="s">
        <v>270</v>
      </c>
      <c r="D341" s="663" t="str">
        <f>$D$14</f>
        <v>FTE February 2026</v>
      </c>
      <c r="E341" s="622">
        <f>'4030'!$J$124</f>
        <v>116754.84</v>
      </c>
      <c r="F341" s="635"/>
      <c r="G341" s="622">
        <f>SUBTOTAL(109,E341:F350)</f>
        <v>116754.84</v>
      </c>
      <c r="H341" s="662"/>
    </row>
    <row r="342" spans="1:9" s="368" customFormat="1" ht="12.75" hidden="1" customHeight="1" x14ac:dyDescent="0.2">
      <c r="A342" s="618"/>
      <c r="B342" s="632"/>
      <c r="C342" s="633"/>
      <c r="D342" s="637" t="s">
        <v>490</v>
      </c>
      <c r="E342" s="622"/>
      <c r="F342" s="635"/>
      <c r="G342" s="622"/>
      <c r="H342" s="662"/>
    </row>
    <row r="343" spans="1:9" s="368" customFormat="1" ht="12.75" hidden="1" customHeight="1" x14ac:dyDescent="0.2">
      <c r="A343" s="618"/>
      <c r="B343" s="632"/>
      <c r="C343" s="633"/>
      <c r="D343" s="638" t="s">
        <v>491</v>
      </c>
      <c r="E343" s="622"/>
      <c r="F343" s="635"/>
      <c r="G343" s="622"/>
      <c r="H343" s="662"/>
    </row>
    <row r="344" spans="1:9" s="368" customFormat="1" ht="12.75" hidden="1" customHeight="1" x14ac:dyDescent="0.2">
      <c r="A344" s="618"/>
      <c r="B344" s="632"/>
      <c r="C344" s="633"/>
      <c r="D344" s="638" t="s">
        <v>510</v>
      </c>
      <c r="E344" s="622"/>
      <c r="F344" s="635"/>
      <c r="G344" s="622"/>
      <c r="H344" s="662"/>
      <c r="I344" s="650"/>
    </row>
    <row r="345" spans="1:9" s="368" customFormat="1" ht="12.75" hidden="1" customHeight="1" x14ac:dyDescent="0.2">
      <c r="A345" s="618"/>
      <c r="B345" s="632"/>
      <c r="C345" s="633"/>
      <c r="D345" s="633" t="s">
        <v>521</v>
      </c>
      <c r="E345" s="622"/>
      <c r="F345" s="635"/>
      <c r="G345" s="622"/>
      <c r="H345" s="662"/>
    </row>
    <row r="346" spans="1:9" s="368" customFormat="1" ht="12.75" hidden="1" customHeight="1" x14ac:dyDescent="0.2">
      <c r="A346" s="618"/>
      <c r="B346" s="632"/>
      <c r="C346" s="633"/>
      <c r="D346" s="637" t="s">
        <v>493</v>
      </c>
      <c r="E346" s="622"/>
      <c r="F346" s="635"/>
      <c r="G346" s="622"/>
      <c r="H346" s="662"/>
    </row>
    <row r="347" spans="1:9" s="368" customFormat="1" ht="12.75" hidden="1" customHeight="1" x14ac:dyDescent="0.2">
      <c r="A347" s="618"/>
      <c r="B347" s="632"/>
      <c r="C347" s="633"/>
      <c r="D347" s="637" t="s">
        <v>494</v>
      </c>
      <c r="E347" s="622"/>
      <c r="F347" s="635"/>
      <c r="G347" s="622"/>
      <c r="H347" s="662"/>
    </row>
    <row r="348" spans="1:9" s="368" customFormat="1" ht="12.75" hidden="1" customHeight="1" x14ac:dyDescent="0.2">
      <c r="A348" s="618"/>
      <c r="B348" s="632"/>
      <c r="C348" s="633"/>
      <c r="D348" s="637" t="s">
        <v>495</v>
      </c>
      <c r="E348" s="622"/>
      <c r="F348" s="635"/>
      <c r="G348" s="622"/>
      <c r="H348" s="636"/>
      <c r="I348" s="647"/>
    </row>
    <row r="349" spans="1:9" s="368" customFormat="1" ht="12.75" hidden="1" customHeight="1" x14ac:dyDescent="0.2">
      <c r="A349" s="618"/>
      <c r="B349" s="632"/>
      <c r="C349" s="633"/>
      <c r="D349" s="637" t="s">
        <v>503</v>
      </c>
      <c r="E349" s="622"/>
      <c r="F349" s="635"/>
      <c r="G349" s="622"/>
      <c r="H349" s="662"/>
      <c r="I349" s="643"/>
    </row>
    <row r="350" spans="1:9" s="368" customFormat="1" ht="12.75" hidden="1" customHeight="1" x14ac:dyDescent="0.2">
      <c r="A350" s="618"/>
      <c r="B350" s="632"/>
      <c r="C350" s="633"/>
      <c r="D350" s="637" t="s">
        <v>512</v>
      </c>
      <c r="E350" s="622"/>
      <c r="F350" s="635"/>
      <c r="G350" s="622"/>
      <c r="H350" s="662"/>
    </row>
    <row r="351" spans="1:9" s="368" customFormat="1" ht="12.75" customHeight="1" x14ac:dyDescent="0.2">
      <c r="A351" s="318">
        <f>A341+1</f>
        <v>38</v>
      </c>
      <c r="B351" s="650">
        <v>4031</v>
      </c>
      <c r="C351" s="665" t="s">
        <v>271</v>
      </c>
      <c r="D351" s="652" t="str">
        <f>$D$14</f>
        <v>FTE February 2026</v>
      </c>
      <c r="E351" s="629">
        <f>'4031'!$J$124</f>
        <v>232569.01</v>
      </c>
      <c r="F351" s="653"/>
      <c r="G351" s="629">
        <f>SUBTOTAL(109,E351:F360)</f>
        <v>232569.01</v>
      </c>
      <c r="H351" s="662"/>
    </row>
    <row r="352" spans="1:9" s="368" customFormat="1" ht="12.75" hidden="1" customHeight="1" x14ac:dyDescent="0.2">
      <c r="A352" s="318"/>
      <c r="B352" s="650"/>
      <c r="C352" s="651"/>
      <c r="D352" s="311" t="s">
        <v>514</v>
      </c>
      <c r="E352" s="629"/>
      <c r="F352" s="653"/>
      <c r="G352" s="629"/>
      <c r="H352" s="662"/>
    </row>
    <row r="353" spans="1:9" s="368" customFormat="1" ht="12.75" hidden="1" customHeight="1" x14ac:dyDescent="0.2">
      <c r="A353" s="318"/>
      <c r="B353" s="650"/>
      <c r="C353" s="651"/>
      <c r="D353" s="655" t="s">
        <v>491</v>
      </c>
      <c r="E353" s="629"/>
      <c r="F353" s="653"/>
      <c r="G353" s="629"/>
      <c r="H353" s="662"/>
      <c r="I353" s="650"/>
    </row>
    <row r="354" spans="1:9" s="368" customFormat="1" ht="12.75" hidden="1" customHeight="1" x14ac:dyDescent="0.2">
      <c r="A354" s="318"/>
      <c r="B354" s="650"/>
      <c r="C354" s="651"/>
      <c r="D354" s="655" t="s">
        <v>510</v>
      </c>
      <c r="E354" s="629"/>
      <c r="F354" s="653"/>
      <c r="G354" s="629"/>
      <c r="H354" s="662"/>
      <c r="I354" s="650"/>
    </row>
    <row r="355" spans="1:9" s="368" customFormat="1" ht="12.75" hidden="1" customHeight="1" x14ac:dyDescent="0.2">
      <c r="A355" s="318"/>
      <c r="B355" s="650"/>
      <c r="C355" s="651"/>
      <c r="D355" s="311" t="s">
        <v>492</v>
      </c>
      <c r="E355" s="629"/>
      <c r="F355" s="653"/>
      <c r="G355" s="629"/>
      <c r="H355" s="662"/>
    </row>
    <row r="356" spans="1:9" s="368" customFormat="1" ht="12.75" hidden="1" customHeight="1" x14ac:dyDescent="0.2">
      <c r="A356" s="318"/>
      <c r="B356" s="650"/>
      <c r="C356" s="651"/>
      <c r="D356" s="311" t="s">
        <v>493</v>
      </c>
      <c r="E356" s="629"/>
      <c r="F356" s="653"/>
      <c r="G356" s="629"/>
      <c r="H356" s="662"/>
    </row>
    <row r="357" spans="1:9" s="368" customFormat="1" ht="12.75" hidden="1" customHeight="1" x14ac:dyDescent="0.2">
      <c r="A357" s="318"/>
      <c r="B357" s="650"/>
      <c r="C357" s="651"/>
      <c r="D357" s="311" t="s">
        <v>494</v>
      </c>
      <c r="E357" s="629"/>
      <c r="F357" s="653"/>
      <c r="G357" s="629"/>
      <c r="H357" s="662"/>
    </row>
    <row r="358" spans="1:9" s="368" customFormat="1" ht="12.75" hidden="1" customHeight="1" x14ac:dyDescent="0.2">
      <c r="A358" s="318"/>
      <c r="B358" s="650"/>
      <c r="C358" s="651"/>
      <c r="D358" s="311" t="s">
        <v>495</v>
      </c>
      <c r="E358" s="629"/>
      <c r="F358" s="653"/>
      <c r="G358" s="629"/>
      <c r="H358" s="662"/>
    </row>
    <row r="359" spans="1:9" s="368" customFormat="1" ht="12.75" hidden="1" customHeight="1" x14ac:dyDescent="0.2">
      <c r="A359" s="318"/>
      <c r="B359" s="650"/>
      <c r="C359" s="651"/>
      <c r="D359" s="311" t="s">
        <v>503</v>
      </c>
      <c r="E359" s="629"/>
      <c r="F359" s="653"/>
      <c r="G359" s="629"/>
      <c r="H359" s="662"/>
      <c r="I359" s="643"/>
    </row>
    <row r="360" spans="1:9" s="368" customFormat="1" ht="12.75" hidden="1" customHeight="1" x14ac:dyDescent="0.2">
      <c r="A360" s="318"/>
      <c r="B360" s="650"/>
      <c r="C360" s="651"/>
      <c r="D360" s="659" t="s">
        <v>512</v>
      </c>
      <c r="E360" s="629"/>
      <c r="F360" s="653"/>
      <c r="G360" s="629"/>
      <c r="H360" s="662"/>
    </row>
    <row r="361" spans="1:9" s="368" customFormat="1" ht="12.75" customHeight="1" x14ac:dyDescent="0.2">
      <c r="A361" s="618">
        <f>A351+1</f>
        <v>39</v>
      </c>
      <c r="B361" s="632">
        <v>4041</v>
      </c>
      <c r="C361" s="633" t="s">
        <v>272</v>
      </c>
      <c r="D361" s="663" t="str">
        <f>$D$14</f>
        <v>FTE February 2026</v>
      </c>
      <c r="E361" s="622">
        <f>'4041'!$J$124</f>
        <v>67347.960000000006</v>
      </c>
      <c r="F361" s="635"/>
      <c r="G361" s="622">
        <f>SUBTOTAL(109,E361:F371)</f>
        <v>67347.960000000006</v>
      </c>
      <c r="H361" s="662"/>
    </row>
    <row r="362" spans="1:9" s="368" customFormat="1" ht="12.75" hidden="1" customHeight="1" x14ac:dyDescent="0.2">
      <c r="A362" s="618"/>
      <c r="B362" s="632"/>
      <c r="C362" s="633"/>
      <c r="D362" s="637" t="s">
        <v>490</v>
      </c>
      <c r="E362" s="622"/>
      <c r="F362" s="635"/>
      <c r="G362" s="622"/>
      <c r="H362" s="662"/>
    </row>
    <row r="363" spans="1:9" s="368" customFormat="1" ht="12.75" hidden="1" customHeight="1" x14ac:dyDescent="0.2">
      <c r="A363" s="618"/>
      <c r="B363" s="632"/>
      <c r="C363" s="633"/>
      <c r="D363" s="638" t="s">
        <v>491</v>
      </c>
      <c r="E363" s="622"/>
      <c r="F363" s="635"/>
      <c r="G363" s="622"/>
      <c r="H363" s="662"/>
      <c r="I363" s="650"/>
    </row>
    <row r="364" spans="1:9" s="368" customFormat="1" ht="12.75" hidden="1" customHeight="1" x14ac:dyDescent="0.2">
      <c r="A364" s="618"/>
      <c r="B364" s="632"/>
      <c r="C364" s="633"/>
      <c r="D364" s="638" t="s">
        <v>510</v>
      </c>
      <c r="E364" s="622"/>
      <c r="F364" s="635"/>
      <c r="G364" s="622"/>
      <c r="H364" s="662"/>
      <c r="I364" s="650"/>
    </row>
    <row r="365" spans="1:9" s="368" customFormat="1" ht="12.75" hidden="1" customHeight="1" x14ac:dyDescent="0.2">
      <c r="A365" s="618"/>
      <c r="B365" s="632"/>
      <c r="C365" s="633"/>
      <c r="D365" s="637" t="s">
        <v>492</v>
      </c>
      <c r="E365" s="622"/>
      <c r="F365" s="635"/>
      <c r="G365" s="622"/>
      <c r="H365" s="662"/>
    </row>
    <row r="366" spans="1:9" s="368" customFormat="1" ht="12.75" hidden="1" customHeight="1" x14ac:dyDescent="0.2">
      <c r="A366" s="618"/>
      <c r="B366" s="632"/>
      <c r="C366" s="633"/>
      <c r="D366" s="637" t="s">
        <v>493</v>
      </c>
      <c r="E366" s="622"/>
      <c r="F366" s="635"/>
      <c r="G366" s="622"/>
      <c r="H366" s="662"/>
    </row>
    <row r="367" spans="1:9" s="368" customFormat="1" ht="12.75" hidden="1" customHeight="1" x14ac:dyDescent="0.2">
      <c r="A367" s="618"/>
      <c r="B367" s="632"/>
      <c r="C367" s="633"/>
      <c r="D367" s="637" t="s">
        <v>494</v>
      </c>
      <c r="E367" s="622"/>
      <c r="F367" s="635"/>
      <c r="G367" s="622"/>
      <c r="H367" s="662"/>
      <c r="I367" s="650"/>
    </row>
    <row r="368" spans="1:9" s="368" customFormat="1" ht="12.75" hidden="1" customHeight="1" x14ac:dyDescent="0.2">
      <c r="A368" s="618"/>
      <c r="B368" s="632"/>
      <c r="C368" s="633"/>
      <c r="D368" s="637" t="s">
        <v>495</v>
      </c>
      <c r="E368" s="622"/>
      <c r="F368" s="635"/>
      <c r="G368" s="622"/>
      <c r="H368" s="662"/>
      <c r="I368" s="647"/>
    </row>
    <row r="369" spans="1:9" s="368" customFormat="1" ht="12.75" hidden="1" customHeight="1" x14ac:dyDescent="0.2">
      <c r="A369" s="618"/>
      <c r="B369" s="632"/>
      <c r="C369" s="633"/>
      <c r="D369" s="637" t="s">
        <v>518</v>
      </c>
      <c r="E369" s="622"/>
      <c r="F369" s="635"/>
      <c r="G369" s="622"/>
      <c r="H369" s="662"/>
      <c r="I369" s="643"/>
    </row>
    <row r="370" spans="1:9" s="368" customFormat="1" ht="12.75" hidden="1" customHeight="1" x14ac:dyDescent="0.2">
      <c r="A370" s="618"/>
      <c r="B370" s="632"/>
      <c r="C370" s="633"/>
      <c r="D370" s="637" t="s">
        <v>503</v>
      </c>
      <c r="E370" s="622"/>
      <c r="F370" s="635"/>
      <c r="G370" s="622"/>
      <c r="H370" s="662"/>
    </row>
    <row r="371" spans="1:9" s="368" customFormat="1" ht="12.75" hidden="1" customHeight="1" x14ac:dyDescent="0.2">
      <c r="A371" s="618"/>
      <c r="B371" s="632"/>
      <c r="C371" s="633"/>
      <c r="D371" s="637" t="s">
        <v>512</v>
      </c>
      <c r="E371" s="622"/>
      <c r="F371" s="635"/>
      <c r="G371" s="622"/>
      <c r="H371" s="662"/>
    </row>
    <row r="372" spans="1:9" s="368" customFormat="1" ht="12.75" customHeight="1" x14ac:dyDescent="0.2">
      <c r="A372" s="318">
        <f>A361+1</f>
        <v>40</v>
      </c>
      <c r="B372" s="342">
        <v>4050</v>
      </c>
      <c r="C372" s="343" t="s">
        <v>273</v>
      </c>
      <c r="D372" s="652" t="str">
        <f>$D$14</f>
        <v>FTE February 2026</v>
      </c>
      <c r="E372" s="629">
        <f>'4050'!$J$124</f>
        <v>380953.57</v>
      </c>
      <c r="F372" s="653"/>
      <c r="G372" s="629">
        <f>SUBTOTAL(109,E372:F378)</f>
        <v>380953.57</v>
      </c>
      <c r="H372" s="662"/>
    </row>
    <row r="373" spans="1:9" s="368" customFormat="1" ht="12.75" hidden="1" customHeight="1" x14ac:dyDescent="0.2">
      <c r="A373" s="318"/>
      <c r="B373" s="342"/>
      <c r="C373" s="343"/>
      <c r="D373" s="311" t="s">
        <v>514</v>
      </c>
      <c r="E373" s="629"/>
      <c r="F373" s="653"/>
      <c r="G373" s="629"/>
      <c r="H373" s="662"/>
      <c r="I373" s="650"/>
    </row>
    <row r="374" spans="1:9" s="368" customFormat="1" ht="12.75" hidden="1" customHeight="1" x14ac:dyDescent="0.2">
      <c r="A374" s="318"/>
      <c r="B374" s="342"/>
      <c r="C374" s="343"/>
      <c r="D374" s="311" t="s">
        <v>491</v>
      </c>
      <c r="E374" s="629"/>
      <c r="F374" s="653"/>
      <c r="G374" s="629"/>
      <c r="H374" s="662"/>
      <c r="I374" s="650"/>
    </row>
    <row r="375" spans="1:9" s="368" customFormat="1" ht="12.75" hidden="1" customHeight="1" x14ac:dyDescent="0.2">
      <c r="A375" s="318"/>
      <c r="B375" s="650"/>
      <c r="C375" s="651"/>
      <c r="D375" s="311" t="s">
        <v>493</v>
      </c>
      <c r="E375" s="629"/>
      <c r="F375" s="653"/>
      <c r="G375" s="629"/>
      <c r="H375" s="662"/>
    </row>
    <row r="376" spans="1:9" s="368" customFormat="1" ht="12.75" hidden="1" customHeight="1" x14ac:dyDescent="0.2">
      <c r="A376" s="318"/>
      <c r="B376" s="650"/>
      <c r="C376" s="651"/>
      <c r="D376" s="311" t="s">
        <v>494</v>
      </c>
      <c r="E376" s="629"/>
      <c r="F376" s="653"/>
      <c r="G376" s="629"/>
      <c r="H376" s="662"/>
    </row>
    <row r="377" spans="1:9" s="368" customFormat="1" ht="12.75" hidden="1" customHeight="1" x14ac:dyDescent="0.2">
      <c r="A377" s="318"/>
      <c r="B377" s="650"/>
      <c r="C377" s="651"/>
      <c r="D377" s="311" t="s">
        <v>495</v>
      </c>
      <c r="E377" s="629"/>
      <c r="F377" s="653"/>
      <c r="G377" s="629"/>
      <c r="H377" s="662"/>
    </row>
    <row r="378" spans="1:9" s="368" customFormat="1" ht="12.75" hidden="1" customHeight="1" x14ac:dyDescent="0.2">
      <c r="A378" s="318"/>
      <c r="B378" s="650"/>
      <c r="C378" s="651"/>
      <c r="D378" s="659" t="s">
        <v>512</v>
      </c>
      <c r="E378" s="629"/>
      <c r="F378" s="653"/>
      <c r="G378" s="629"/>
      <c r="H378" s="662"/>
    </row>
    <row r="379" spans="1:9" s="368" customFormat="1" ht="12.75" customHeight="1" x14ac:dyDescent="0.2">
      <c r="A379" s="618">
        <f>A372+1</f>
        <v>41</v>
      </c>
      <c r="B379" s="632">
        <v>4051</v>
      </c>
      <c r="C379" s="633" t="s">
        <v>274</v>
      </c>
      <c r="D379" s="663" t="str">
        <f>$D$14</f>
        <v>FTE February 2026</v>
      </c>
      <c r="E379" s="622">
        <f>'4051'!$J$124</f>
        <v>334065.61</v>
      </c>
      <c r="F379" s="635"/>
      <c r="G379" s="622">
        <f>SUBTOTAL(109,E379:F387)</f>
        <v>334065.61</v>
      </c>
      <c r="H379" s="662"/>
    </row>
    <row r="380" spans="1:9" s="368" customFormat="1" ht="12.75" hidden="1" customHeight="1" x14ac:dyDescent="0.2">
      <c r="A380" s="618"/>
      <c r="B380" s="632"/>
      <c r="C380" s="633"/>
      <c r="D380" s="637" t="s">
        <v>490</v>
      </c>
      <c r="E380" s="622"/>
      <c r="F380" s="635"/>
      <c r="G380" s="622"/>
      <c r="H380" s="662"/>
      <c r="I380" s="643"/>
    </row>
    <row r="381" spans="1:9" s="368" customFormat="1" ht="12.75" hidden="1" customHeight="1" x14ac:dyDescent="0.2">
      <c r="A381" s="618"/>
      <c r="B381" s="632"/>
      <c r="C381" s="633"/>
      <c r="D381" s="637" t="s">
        <v>491</v>
      </c>
      <c r="E381" s="622"/>
      <c r="F381" s="635"/>
      <c r="G381" s="622"/>
      <c r="H381" s="662"/>
    </row>
    <row r="382" spans="1:9" s="368" customFormat="1" ht="12.75" hidden="1" customHeight="1" x14ac:dyDescent="0.2">
      <c r="A382" s="618"/>
      <c r="B382" s="632"/>
      <c r="C382" s="633"/>
      <c r="D382" s="637" t="s">
        <v>493</v>
      </c>
      <c r="E382" s="622"/>
      <c r="F382" s="635"/>
      <c r="G382" s="622"/>
      <c r="H382" s="662"/>
    </row>
    <row r="383" spans="1:9" s="368" customFormat="1" ht="12.75" hidden="1" customHeight="1" x14ac:dyDescent="0.2">
      <c r="A383" s="618"/>
      <c r="B383" s="632"/>
      <c r="C383" s="633"/>
      <c r="D383" s="637" t="s">
        <v>494</v>
      </c>
      <c r="E383" s="622"/>
      <c r="F383" s="635"/>
      <c r="G383" s="622"/>
      <c r="H383" s="662"/>
    </row>
    <row r="384" spans="1:9" s="368" customFormat="1" ht="12.75" hidden="1" customHeight="1" x14ac:dyDescent="0.2">
      <c r="A384" s="618"/>
      <c r="B384" s="632"/>
      <c r="C384" s="633"/>
      <c r="D384" s="637" t="s">
        <v>495</v>
      </c>
      <c r="E384" s="622"/>
      <c r="F384" s="635"/>
      <c r="G384" s="622"/>
      <c r="H384" s="662"/>
    </row>
    <row r="385" spans="1:9" s="368" customFormat="1" ht="12.75" hidden="1" customHeight="1" x14ac:dyDescent="0.2">
      <c r="A385" s="618"/>
      <c r="B385" s="632"/>
      <c r="C385" s="633"/>
      <c r="D385" s="637" t="s">
        <v>518</v>
      </c>
      <c r="E385" s="622"/>
      <c r="F385" s="635"/>
      <c r="G385" s="622"/>
      <c r="H385" s="662"/>
    </row>
    <row r="386" spans="1:9" s="368" customFormat="1" ht="12.75" hidden="1" customHeight="1" x14ac:dyDescent="0.2">
      <c r="A386" s="618"/>
      <c r="B386" s="632"/>
      <c r="C386" s="633"/>
      <c r="D386" s="637" t="s">
        <v>522</v>
      </c>
      <c r="E386" s="622"/>
      <c r="F386" s="635"/>
      <c r="G386" s="622"/>
      <c r="H386" s="662"/>
    </row>
    <row r="387" spans="1:9" s="368" customFormat="1" ht="12.75" hidden="1" customHeight="1" x14ac:dyDescent="0.2">
      <c r="A387" s="618"/>
      <c r="B387" s="632"/>
      <c r="C387" s="633"/>
      <c r="D387" s="637"/>
      <c r="E387" s="622"/>
      <c r="F387" s="635"/>
      <c r="G387" s="622"/>
      <c r="H387" s="662"/>
      <c r="I387" s="647"/>
    </row>
    <row r="388" spans="1:9" s="368" customFormat="1" ht="12.75" customHeight="1" x14ac:dyDescent="0.2">
      <c r="A388" s="318">
        <f>A379+1</f>
        <v>42</v>
      </c>
      <c r="B388" s="342">
        <v>4061</v>
      </c>
      <c r="C388" s="345" t="s">
        <v>275</v>
      </c>
      <c r="D388" s="652" t="str">
        <f>$D$14</f>
        <v>FTE February 2026</v>
      </c>
      <c r="E388" s="629">
        <f>'4061'!$J$124</f>
        <v>646776.42000000004</v>
      </c>
      <c r="F388" s="653"/>
      <c r="G388" s="629">
        <f>SUBTOTAL(109,E388:F396)</f>
        <v>646776.42000000004</v>
      </c>
      <c r="H388" s="662"/>
    </row>
    <row r="389" spans="1:9" s="368" customFormat="1" ht="12.75" hidden="1" customHeight="1" x14ac:dyDescent="0.2">
      <c r="A389" s="318"/>
      <c r="B389" s="342"/>
      <c r="C389" s="343"/>
      <c r="D389" s="311" t="s">
        <v>514</v>
      </c>
      <c r="E389" s="629"/>
      <c r="F389" s="653"/>
      <c r="G389" s="629"/>
      <c r="H389" s="662"/>
    </row>
    <row r="390" spans="1:9" s="368" customFormat="1" ht="12.75" hidden="1" customHeight="1" x14ac:dyDescent="0.2">
      <c r="A390" s="318"/>
      <c r="B390" s="650"/>
      <c r="C390" s="651"/>
      <c r="D390" s="655" t="s">
        <v>491</v>
      </c>
      <c r="E390" s="629"/>
      <c r="F390" s="653"/>
      <c r="G390" s="629"/>
      <c r="H390" s="662"/>
    </row>
    <row r="391" spans="1:9" s="368" customFormat="1" ht="12.75" hidden="1" customHeight="1" x14ac:dyDescent="0.2">
      <c r="A391" s="318"/>
      <c r="B391" s="342"/>
      <c r="C391" s="343"/>
      <c r="D391" s="311" t="s">
        <v>490</v>
      </c>
      <c r="E391" s="629"/>
      <c r="F391" s="653"/>
      <c r="G391" s="629"/>
      <c r="H391" s="662"/>
    </row>
    <row r="392" spans="1:9" s="368" customFormat="1" ht="12.75" hidden="1" customHeight="1" x14ac:dyDescent="0.2">
      <c r="A392" s="318"/>
      <c r="B392" s="342"/>
      <c r="C392" s="343"/>
      <c r="D392" s="311" t="s">
        <v>492</v>
      </c>
      <c r="E392" s="629"/>
      <c r="F392" s="653"/>
      <c r="G392" s="629"/>
      <c r="H392" s="662"/>
    </row>
    <row r="393" spans="1:9" s="368" customFormat="1" ht="12.75" hidden="1" customHeight="1" x14ac:dyDescent="0.2">
      <c r="A393" s="318"/>
      <c r="B393" s="650"/>
      <c r="C393" s="651"/>
      <c r="D393" s="311" t="s">
        <v>493</v>
      </c>
      <c r="E393" s="629"/>
      <c r="F393" s="653"/>
      <c r="G393" s="629"/>
      <c r="H393" s="662"/>
    </row>
    <row r="394" spans="1:9" s="368" customFormat="1" ht="12.75" hidden="1" customHeight="1" x14ac:dyDescent="0.2">
      <c r="A394" s="318"/>
      <c r="B394" s="650"/>
      <c r="C394" s="651"/>
      <c r="D394" s="311" t="s">
        <v>494</v>
      </c>
      <c r="E394" s="629"/>
      <c r="F394" s="653"/>
      <c r="G394" s="629"/>
      <c r="H394" s="662"/>
    </row>
    <row r="395" spans="1:9" s="368" customFormat="1" ht="12.75" hidden="1" customHeight="1" x14ac:dyDescent="0.2">
      <c r="A395" s="318"/>
      <c r="B395" s="650"/>
      <c r="C395" s="651"/>
      <c r="D395" s="311" t="s">
        <v>495</v>
      </c>
      <c r="E395" s="629"/>
      <c r="F395" s="653"/>
      <c r="G395" s="629"/>
      <c r="H395" s="662"/>
    </row>
    <row r="396" spans="1:9" s="368" customFormat="1" ht="12.75" hidden="1" customHeight="1" x14ac:dyDescent="0.2">
      <c r="A396" s="318"/>
      <c r="B396" s="650"/>
      <c r="C396" s="651"/>
      <c r="D396" s="659" t="s">
        <v>533</v>
      </c>
      <c r="E396" s="672"/>
      <c r="F396" s="653"/>
      <c r="G396" s="629"/>
      <c r="H396" s="662"/>
      <c r="I396" s="643"/>
    </row>
    <row r="397" spans="1:9" s="368" customFormat="1" ht="12.75" customHeight="1" x14ac:dyDescent="0.2">
      <c r="A397" s="618">
        <f>A388+1</f>
        <v>43</v>
      </c>
      <c r="B397" s="632">
        <v>4080</v>
      </c>
      <c r="C397" s="633" t="s">
        <v>276</v>
      </c>
      <c r="D397" s="663" t="str">
        <f>$D$14</f>
        <v>FTE February 2026</v>
      </c>
      <c r="E397" s="622">
        <v>0</v>
      </c>
      <c r="F397" s="635"/>
      <c r="G397" s="622">
        <f>SUBTOTAL(109,E397:F403)</f>
        <v>0</v>
      </c>
      <c r="H397" s="662"/>
      <c r="I397" s="363" t="s">
        <v>569</v>
      </c>
    </row>
    <row r="398" spans="1:9" s="368" customFormat="1" ht="12.75" hidden="1" customHeight="1" x14ac:dyDescent="0.2">
      <c r="A398" s="618"/>
      <c r="B398" s="632"/>
      <c r="C398" s="633"/>
      <c r="D398" s="637" t="s">
        <v>490</v>
      </c>
      <c r="E398" s="622"/>
      <c r="F398" s="635"/>
      <c r="G398" s="622"/>
      <c r="H398" s="662"/>
    </row>
    <row r="399" spans="1:9" s="368" customFormat="1" ht="12.75" hidden="1" customHeight="1" x14ac:dyDescent="0.2">
      <c r="A399" s="618"/>
      <c r="B399" s="632"/>
      <c r="C399" s="633"/>
      <c r="D399" s="637" t="s">
        <v>491</v>
      </c>
      <c r="E399" s="622"/>
      <c r="F399" s="635"/>
      <c r="G399" s="622"/>
      <c r="H399" s="662"/>
    </row>
    <row r="400" spans="1:9" s="368" customFormat="1" ht="12.75" hidden="1" customHeight="1" x14ac:dyDescent="0.2">
      <c r="A400" s="618"/>
      <c r="B400" s="632"/>
      <c r="C400" s="633"/>
      <c r="D400" s="637" t="s">
        <v>493</v>
      </c>
      <c r="E400" s="622"/>
      <c r="F400" s="635"/>
      <c r="G400" s="622"/>
      <c r="H400" s="662"/>
      <c r="I400" s="650"/>
    </row>
    <row r="401" spans="1:12" s="368" customFormat="1" ht="12.75" hidden="1" customHeight="1" x14ac:dyDescent="0.2">
      <c r="A401" s="618"/>
      <c r="B401" s="632"/>
      <c r="C401" s="633"/>
      <c r="D401" s="637" t="s">
        <v>494</v>
      </c>
      <c r="E401" s="622"/>
      <c r="F401" s="635"/>
      <c r="G401" s="622"/>
      <c r="H401" s="662"/>
    </row>
    <row r="402" spans="1:12" s="368" customFormat="1" ht="12.75" hidden="1" customHeight="1" x14ac:dyDescent="0.2">
      <c r="A402" s="618"/>
      <c r="B402" s="632"/>
      <c r="C402" s="633"/>
      <c r="D402" s="637" t="s">
        <v>495</v>
      </c>
      <c r="E402" s="622"/>
      <c r="F402" s="635"/>
      <c r="G402" s="622"/>
      <c r="H402" s="662"/>
    </row>
    <row r="403" spans="1:12" s="368" customFormat="1" ht="12.75" hidden="1" customHeight="1" x14ac:dyDescent="0.2">
      <c r="A403" s="618"/>
      <c r="B403" s="632"/>
      <c r="C403" s="633"/>
      <c r="D403" s="637" t="s">
        <v>512</v>
      </c>
      <c r="E403" s="622"/>
      <c r="F403" s="635"/>
      <c r="G403" s="622"/>
      <c r="H403" s="662"/>
      <c r="I403" s="650"/>
    </row>
    <row r="404" spans="1:12" s="368" customFormat="1" ht="12.75" customHeight="1" x14ac:dyDescent="0.2">
      <c r="A404" s="318">
        <f>1+A397</f>
        <v>44</v>
      </c>
      <c r="B404" s="342">
        <v>4081</v>
      </c>
      <c r="C404" s="345" t="s">
        <v>277</v>
      </c>
      <c r="D404" s="652" t="str">
        <f>$D$14</f>
        <v>FTE February 2026</v>
      </c>
      <c r="E404" s="629">
        <f>'4081'!$J$124</f>
        <v>71664.039999999994</v>
      </c>
      <c r="F404" s="653"/>
      <c r="G404" s="629">
        <f>SUBTOTAL(109,E404:F412)</f>
        <v>71664.039999999994</v>
      </c>
      <c r="H404" s="662"/>
    </row>
    <row r="405" spans="1:12" s="368" customFormat="1" ht="12.75" hidden="1" customHeight="1" x14ac:dyDescent="0.2">
      <c r="A405" s="318"/>
      <c r="B405" s="342"/>
      <c r="C405" s="345"/>
      <c r="D405" s="311" t="s">
        <v>514</v>
      </c>
      <c r="E405" s="629"/>
      <c r="F405" s="653"/>
      <c r="G405" s="629"/>
      <c r="H405" s="662"/>
      <c r="I405" s="647"/>
    </row>
    <row r="406" spans="1:12" s="368" customFormat="1" ht="12.75" hidden="1" customHeight="1" x14ac:dyDescent="0.2">
      <c r="A406" s="318"/>
      <c r="B406" s="650"/>
      <c r="C406" s="651"/>
      <c r="D406" s="655" t="s">
        <v>491</v>
      </c>
      <c r="E406" s="629"/>
      <c r="F406" s="653"/>
      <c r="G406" s="629"/>
      <c r="H406" s="662"/>
      <c r="I406" s="647"/>
    </row>
    <row r="407" spans="1:12" s="368" customFormat="1" ht="12.75" hidden="1" customHeight="1" x14ac:dyDescent="0.2">
      <c r="A407" s="318"/>
      <c r="B407" s="342"/>
      <c r="C407" s="345"/>
      <c r="D407" s="311" t="s">
        <v>492</v>
      </c>
      <c r="E407" s="629"/>
      <c r="F407" s="653"/>
      <c r="G407" s="629"/>
      <c r="H407" s="662"/>
    </row>
    <row r="408" spans="1:12" s="368" customFormat="1" ht="12.75" hidden="1" customHeight="1" x14ac:dyDescent="0.2">
      <c r="A408" s="318"/>
      <c r="B408" s="342"/>
      <c r="C408" s="345"/>
      <c r="D408" s="311" t="s">
        <v>493</v>
      </c>
      <c r="E408" s="629"/>
      <c r="F408" s="653"/>
      <c r="G408" s="629"/>
      <c r="H408" s="662"/>
    </row>
    <row r="409" spans="1:12" s="368" customFormat="1" ht="12.75" hidden="1" customHeight="1" x14ac:dyDescent="0.2">
      <c r="A409" s="318"/>
      <c r="B409" s="342"/>
      <c r="C409" s="345"/>
      <c r="D409" s="311" t="s">
        <v>494</v>
      </c>
      <c r="E409" s="629"/>
      <c r="F409" s="653"/>
      <c r="G409" s="629"/>
      <c r="H409" s="662"/>
    </row>
    <row r="410" spans="1:12" s="368" customFormat="1" ht="12.75" hidden="1" customHeight="1" x14ac:dyDescent="0.2">
      <c r="A410" s="318"/>
      <c r="B410" s="650"/>
      <c r="C410" s="651"/>
      <c r="D410" s="311" t="s">
        <v>495</v>
      </c>
      <c r="E410" s="629"/>
      <c r="F410" s="653"/>
      <c r="G410" s="629"/>
      <c r="H410" s="662"/>
    </row>
    <row r="411" spans="1:12" s="368" customFormat="1" ht="12.75" hidden="1" customHeight="1" x14ac:dyDescent="0.2">
      <c r="A411" s="318"/>
      <c r="B411" s="650"/>
      <c r="C411" s="651"/>
      <c r="D411" s="311" t="s">
        <v>503</v>
      </c>
      <c r="E411" s="629"/>
      <c r="F411" s="653"/>
      <c r="G411" s="629"/>
      <c r="H411" s="662"/>
    </row>
    <row r="412" spans="1:12" s="368" customFormat="1" ht="12.75" hidden="1" customHeight="1" x14ac:dyDescent="0.2">
      <c r="A412" s="318"/>
      <c r="B412" s="650"/>
      <c r="C412" s="651"/>
      <c r="D412" s="659" t="s">
        <v>512</v>
      </c>
      <c r="E412" s="629"/>
      <c r="F412" s="653"/>
      <c r="G412" s="629"/>
      <c r="H412" s="662"/>
    </row>
    <row r="413" spans="1:12" s="368" customFormat="1" x14ac:dyDescent="0.2">
      <c r="A413" s="618">
        <f>1+A404</f>
        <v>45</v>
      </c>
      <c r="B413" s="632">
        <v>4090</v>
      </c>
      <c r="C413" s="633" t="s">
        <v>534</v>
      </c>
      <c r="D413" s="663" t="str">
        <f>$D$14</f>
        <v>FTE February 2026</v>
      </c>
      <c r="E413" s="622">
        <f>'4090'!$J$124</f>
        <v>222677.99</v>
      </c>
      <c r="F413" s="635"/>
      <c r="G413" s="622">
        <f>SUBTOTAL(109,E413:F422)</f>
        <v>222136.81</v>
      </c>
      <c r="H413" s="662"/>
    </row>
    <row r="414" spans="1:12" s="368" customFormat="1" ht="12.75" hidden="1" customHeight="1" x14ac:dyDescent="0.2">
      <c r="A414" s="618"/>
      <c r="B414" s="632"/>
      <c r="C414" s="633"/>
      <c r="D414" s="637" t="s">
        <v>490</v>
      </c>
      <c r="E414" s="622"/>
      <c r="F414" s="635"/>
      <c r="G414" s="622"/>
      <c r="H414" s="662"/>
      <c r="L414" s="657"/>
    </row>
    <row r="415" spans="1:12" s="368" customFormat="1" ht="12.75" hidden="1" customHeight="1" x14ac:dyDescent="0.2">
      <c r="A415" s="618"/>
      <c r="B415" s="632"/>
      <c r="C415" s="633"/>
      <c r="D415" s="638" t="s">
        <v>535</v>
      </c>
      <c r="E415" s="622"/>
      <c r="F415" s="635"/>
      <c r="G415" s="622"/>
      <c r="H415" s="662"/>
    </row>
    <row r="416" spans="1:12" s="368" customFormat="1" ht="12.75" hidden="1" customHeight="1" x14ac:dyDescent="0.2">
      <c r="A416" s="618"/>
      <c r="B416" s="632"/>
      <c r="C416" s="633"/>
      <c r="D416" s="638" t="s">
        <v>510</v>
      </c>
      <c r="E416" s="622"/>
      <c r="F416" s="635"/>
      <c r="G416" s="622"/>
      <c r="H416" s="662"/>
      <c r="I416" s="650"/>
    </row>
    <row r="417" spans="1:12" s="368" customFormat="1" ht="12.75" hidden="1" customHeight="1" x14ac:dyDescent="0.2">
      <c r="A417" s="618"/>
      <c r="B417" s="632"/>
      <c r="C417" s="633"/>
      <c r="D417" s="637" t="s">
        <v>492</v>
      </c>
      <c r="E417" s="622"/>
      <c r="F417" s="635"/>
      <c r="G417" s="622"/>
      <c r="H417" s="662"/>
    </row>
    <row r="418" spans="1:12" s="368" customFormat="1" ht="12.75" hidden="1" customHeight="1" x14ac:dyDescent="0.2">
      <c r="A418" s="618"/>
      <c r="B418" s="632"/>
      <c r="C418" s="633"/>
      <c r="D418" s="637" t="s">
        <v>493</v>
      </c>
      <c r="E418" s="622"/>
      <c r="F418" s="635"/>
      <c r="G418" s="622"/>
      <c r="H418" s="662"/>
    </row>
    <row r="419" spans="1:12" s="368" customFormat="1" ht="12.75" hidden="1" customHeight="1" x14ac:dyDescent="0.2">
      <c r="A419" s="618"/>
      <c r="B419" s="632"/>
      <c r="C419" s="633"/>
      <c r="D419" s="637" t="s">
        <v>494</v>
      </c>
      <c r="E419" s="622"/>
      <c r="F419" s="635"/>
      <c r="G419" s="622"/>
      <c r="H419" s="662"/>
    </row>
    <row r="420" spans="1:12" s="368" customFormat="1" ht="12.75" hidden="1" customHeight="1" x14ac:dyDescent="0.2">
      <c r="A420" s="618"/>
      <c r="B420" s="632"/>
      <c r="C420" s="633"/>
      <c r="D420" s="637" t="s">
        <v>495</v>
      </c>
      <c r="E420" s="622"/>
      <c r="F420" s="635"/>
      <c r="G420" s="622"/>
      <c r="H420" s="662"/>
      <c r="I420" s="647"/>
    </row>
    <row r="421" spans="1:12" s="368" customFormat="1" ht="12.75" customHeight="1" x14ac:dyDescent="0.2">
      <c r="A421" s="618"/>
      <c r="B421" s="632"/>
      <c r="C421" s="633"/>
      <c r="D421" s="637" t="s">
        <v>585</v>
      </c>
      <c r="E421" s="622"/>
      <c r="F421" s="635">
        <v>-323.8</v>
      </c>
      <c r="G421" s="622"/>
      <c r="H421" s="662"/>
      <c r="I421" s="643"/>
    </row>
    <row r="422" spans="1:12" s="368" customFormat="1" ht="12.75" customHeight="1" x14ac:dyDescent="0.2">
      <c r="A422" s="618"/>
      <c r="B422" s="632"/>
      <c r="C422" s="633"/>
      <c r="D422" s="637" t="s">
        <v>586</v>
      </c>
      <c r="E422" s="622"/>
      <c r="F422" s="635">
        <v>-217.38</v>
      </c>
      <c r="G422" s="622"/>
      <c r="H422" s="662"/>
      <c r="I422" s="647"/>
    </row>
    <row r="423" spans="1:12" s="368" customFormat="1" ht="12.75" customHeight="1" x14ac:dyDescent="0.2">
      <c r="A423" s="318">
        <f>1+A413</f>
        <v>46</v>
      </c>
      <c r="B423" s="342">
        <v>4091</v>
      </c>
      <c r="C423" s="345" t="s">
        <v>279</v>
      </c>
      <c r="D423" s="652" t="str">
        <f>$D$14</f>
        <v>FTE February 2026</v>
      </c>
      <c r="E423" s="629">
        <f>'4091'!$J$124</f>
        <v>287966.34999999998</v>
      </c>
      <c r="F423" s="653"/>
      <c r="G423" s="629">
        <f>SUBTOTAL(109,E423:F432)</f>
        <v>287966.34999999998</v>
      </c>
      <c r="H423" s="662"/>
      <c r="L423" s="657"/>
    </row>
    <row r="424" spans="1:12" s="368" customFormat="1" ht="12.75" hidden="1" customHeight="1" x14ac:dyDescent="0.2">
      <c r="A424" s="318"/>
      <c r="B424" s="342"/>
      <c r="C424" s="345"/>
      <c r="D424" s="311" t="s">
        <v>514</v>
      </c>
      <c r="E424" s="629"/>
      <c r="F424" s="653"/>
      <c r="G424" s="629"/>
      <c r="H424" s="662"/>
    </row>
    <row r="425" spans="1:12" s="368" customFormat="1" ht="12.75" hidden="1" customHeight="1" x14ac:dyDescent="0.2">
      <c r="A425" s="318"/>
      <c r="B425" s="650"/>
      <c r="C425" s="651"/>
      <c r="D425" s="655" t="s">
        <v>491</v>
      </c>
      <c r="E425" s="629"/>
      <c r="F425" s="653"/>
      <c r="G425" s="629"/>
      <c r="H425" s="662"/>
      <c r="I425" s="650"/>
    </row>
    <row r="426" spans="1:12" s="368" customFormat="1" ht="12.75" hidden="1" customHeight="1" x14ac:dyDescent="0.2">
      <c r="A426" s="318"/>
      <c r="B426" s="342"/>
      <c r="C426" s="345"/>
      <c r="D426" s="311" t="s">
        <v>492</v>
      </c>
      <c r="E426" s="629"/>
      <c r="F426" s="653"/>
      <c r="G426" s="629"/>
      <c r="H426" s="662"/>
      <c r="I426" s="650"/>
    </row>
    <row r="427" spans="1:12" s="368" customFormat="1" ht="12.75" hidden="1" customHeight="1" x14ac:dyDescent="0.2">
      <c r="A427" s="318"/>
      <c r="B427" s="342"/>
      <c r="C427" s="345"/>
      <c r="D427" s="311" t="s">
        <v>493</v>
      </c>
      <c r="E427" s="629"/>
      <c r="F427" s="653"/>
      <c r="G427" s="629"/>
      <c r="H427" s="662"/>
    </row>
    <row r="428" spans="1:12" s="368" customFormat="1" ht="12.75" hidden="1" customHeight="1" x14ac:dyDescent="0.2">
      <c r="A428" s="318"/>
      <c r="B428" s="342"/>
      <c r="C428" s="345"/>
      <c r="D428" s="311" t="s">
        <v>494</v>
      </c>
      <c r="E428" s="629"/>
      <c r="F428" s="653"/>
      <c r="G428" s="629"/>
      <c r="H428" s="662"/>
    </row>
    <row r="429" spans="1:12" s="368" customFormat="1" ht="12.75" hidden="1" customHeight="1" x14ac:dyDescent="0.2">
      <c r="A429" s="318"/>
      <c r="B429" s="650"/>
      <c r="C429" s="651"/>
      <c r="D429" s="311" t="s">
        <v>495</v>
      </c>
      <c r="E429" s="629"/>
      <c r="F429" s="653"/>
      <c r="G429" s="629"/>
      <c r="H429" s="662"/>
    </row>
    <row r="430" spans="1:12" s="368" customFormat="1" ht="12.75" hidden="1" customHeight="1" x14ac:dyDescent="0.2">
      <c r="A430" s="318"/>
      <c r="B430" s="650"/>
      <c r="C430" s="651"/>
      <c r="D430" s="311" t="s">
        <v>503</v>
      </c>
      <c r="E430" s="629"/>
      <c r="F430" s="653"/>
      <c r="G430" s="629"/>
      <c r="H430" s="662"/>
    </row>
    <row r="431" spans="1:12" s="368" customFormat="1" ht="12.75" hidden="1" customHeight="1" x14ac:dyDescent="0.2">
      <c r="A431" s="318"/>
      <c r="B431" s="650"/>
      <c r="C431" s="651"/>
      <c r="D431" s="659" t="s">
        <v>536</v>
      </c>
      <c r="E431" s="629"/>
      <c r="F431" s="653"/>
      <c r="G431" s="629"/>
      <c r="H431" s="662"/>
    </row>
    <row r="432" spans="1:12" s="368" customFormat="1" ht="12.75" hidden="1" customHeight="1" x14ac:dyDescent="0.2">
      <c r="A432" s="318"/>
      <c r="B432" s="650"/>
      <c r="C432" s="651"/>
      <c r="D432" s="661" t="s">
        <v>537</v>
      </c>
      <c r="E432" s="629"/>
      <c r="F432" s="653"/>
      <c r="G432" s="629"/>
      <c r="H432" s="662"/>
    </row>
    <row r="433" spans="1:13" s="368" customFormat="1" ht="12.75" customHeight="1" x14ac:dyDescent="0.2">
      <c r="A433" s="618">
        <f>1+A423</f>
        <v>47</v>
      </c>
      <c r="B433" s="632">
        <v>4100</v>
      </c>
      <c r="C433" s="633" t="s">
        <v>298</v>
      </c>
      <c r="D433" s="663" t="str">
        <f>$D$14</f>
        <v>FTE February 2026</v>
      </c>
      <c r="E433" s="622">
        <f>'4100'!$J$124</f>
        <v>325673.27</v>
      </c>
      <c r="F433" s="635"/>
      <c r="G433" s="622">
        <f>SUBTOTAL(109,E433:F441)</f>
        <v>325673.27</v>
      </c>
      <c r="H433" s="662"/>
      <c r="M433" s="657"/>
    </row>
    <row r="434" spans="1:13" s="368" customFormat="1" ht="12.75" hidden="1" customHeight="1" x14ac:dyDescent="0.2">
      <c r="A434" s="618"/>
      <c r="B434" s="632"/>
      <c r="C434" s="633"/>
      <c r="D434" s="637" t="s">
        <v>490</v>
      </c>
      <c r="E434" s="622"/>
      <c r="F434" s="635"/>
      <c r="G434" s="622"/>
      <c r="H434" s="662"/>
    </row>
    <row r="435" spans="1:13" s="368" customFormat="1" ht="12.75" hidden="1" customHeight="1" x14ac:dyDescent="0.2">
      <c r="A435" s="618"/>
      <c r="B435" s="632"/>
      <c r="C435" s="633"/>
      <c r="D435" s="638" t="s">
        <v>491</v>
      </c>
      <c r="E435" s="622"/>
      <c r="F435" s="635"/>
      <c r="G435" s="622"/>
      <c r="H435" s="662"/>
      <c r="I435" s="650"/>
    </row>
    <row r="436" spans="1:13" s="368" customFormat="1" ht="12.75" hidden="1" customHeight="1" x14ac:dyDescent="0.2">
      <c r="A436" s="618"/>
      <c r="B436" s="632"/>
      <c r="C436" s="633"/>
      <c r="D436" s="637" t="s">
        <v>492</v>
      </c>
      <c r="E436" s="622"/>
      <c r="F436" s="635"/>
      <c r="G436" s="622"/>
      <c r="H436" s="662"/>
    </row>
    <row r="437" spans="1:13" s="368" customFormat="1" ht="12.75" hidden="1" customHeight="1" x14ac:dyDescent="0.2">
      <c r="A437" s="618"/>
      <c r="B437" s="632"/>
      <c r="C437" s="633"/>
      <c r="D437" s="637" t="s">
        <v>493</v>
      </c>
      <c r="E437" s="622"/>
      <c r="F437" s="635"/>
      <c r="G437" s="622"/>
      <c r="H437" s="662"/>
    </row>
    <row r="438" spans="1:13" s="368" customFormat="1" ht="12.75" hidden="1" customHeight="1" x14ac:dyDescent="0.2">
      <c r="A438" s="618"/>
      <c r="B438" s="632"/>
      <c r="C438" s="633"/>
      <c r="D438" s="637" t="s">
        <v>494</v>
      </c>
      <c r="E438" s="622"/>
      <c r="F438" s="635"/>
      <c r="G438" s="622"/>
      <c r="H438" s="662"/>
    </row>
    <row r="439" spans="1:13" s="368" customFormat="1" ht="12.75" hidden="1" customHeight="1" x14ac:dyDescent="0.2">
      <c r="A439" s="618"/>
      <c r="B439" s="632"/>
      <c r="C439" s="633"/>
      <c r="D439" s="637" t="s">
        <v>495</v>
      </c>
      <c r="E439" s="622"/>
      <c r="F439" s="635"/>
      <c r="G439" s="622"/>
      <c r="H439" s="662"/>
      <c r="I439" s="647"/>
    </row>
    <row r="440" spans="1:13" s="368" customFormat="1" ht="12.75" hidden="1" customHeight="1" x14ac:dyDescent="0.2">
      <c r="A440" s="618"/>
      <c r="B440" s="632"/>
      <c r="C440" s="633"/>
      <c r="D440" s="637" t="s">
        <v>503</v>
      </c>
      <c r="E440" s="622"/>
      <c r="F440" s="635"/>
      <c r="G440" s="622"/>
      <c r="H440" s="662"/>
      <c r="I440" s="643"/>
    </row>
    <row r="441" spans="1:13" s="368" customFormat="1" ht="12.75" hidden="1" customHeight="1" x14ac:dyDescent="0.2">
      <c r="A441" s="618"/>
      <c r="B441" s="632"/>
      <c r="C441" s="633"/>
      <c r="D441" s="637" t="s">
        <v>512</v>
      </c>
      <c r="E441" s="622"/>
      <c r="F441" s="635"/>
      <c r="G441" s="622"/>
      <c r="H441" s="662"/>
    </row>
    <row r="442" spans="1:13" s="368" customFormat="1" ht="12.75" customHeight="1" x14ac:dyDescent="0.2">
      <c r="A442" s="318">
        <f>1+A433</f>
        <v>48</v>
      </c>
      <c r="B442" s="342">
        <v>4102</v>
      </c>
      <c r="C442" s="345" t="s">
        <v>296</v>
      </c>
      <c r="D442" s="652" t="str">
        <f>$D$14</f>
        <v>FTE February 2026</v>
      </c>
      <c r="E442" s="629">
        <f>'4102'!$J$124</f>
        <v>144631.73000000001</v>
      </c>
      <c r="F442" s="653"/>
      <c r="G442" s="629">
        <f>SUBTOTAL(109,E442:F449)</f>
        <v>144631.73000000001</v>
      </c>
      <c r="H442" s="662"/>
    </row>
    <row r="443" spans="1:13" s="368" customFormat="1" ht="12.75" hidden="1" customHeight="1" x14ac:dyDescent="0.2">
      <c r="A443" s="318"/>
      <c r="B443" s="342"/>
      <c r="C443" s="345"/>
      <c r="D443" s="311" t="s">
        <v>514</v>
      </c>
      <c r="E443" s="629"/>
      <c r="F443" s="653">
        <v>0</v>
      </c>
      <c r="G443" s="629"/>
      <c r="H443" s="662"/>
    </row>
    <row r="444" spans="1:13" s="368" customFormat="1" ht="12.75" hidden="1" customHeight="1" x14ac:dyDescent="0.2">
      <c r="A444" s="318"/>
      <c r="B444" s="650"/>
      <c r="C444" s="651"/>
      <c r="D444" s="655"/>
      <c r="E444" s="672"/>
      <c r="F444" s="653"/>
      <c r="G444" s="629"/>
      <c r="H444" s="662"/>
    </row>
    <row r="445" spans="1:13" s="368" customFormat="1" ht="12.75" hidden="1" customHeight="1" x14ac:dyDescent="0.2">
      <c r="A445" s="318"/>
      <c r="B445" s="342"/>
      <c r="C445" s="345"/>
      <c r="D445" s="655" t="s">
        <v>521</v>
      </c>
      <c r="E445" s="629"/>
      <c r="F445" s="653"/>
      <c r="G445" s="629"/>
      <c r="H445" s="662"/>
      <c r="I445" s="650"/>
    </row>
    <row r="446" spans="1:13" s="368" customFormat="1" ht="12.75" hidden="1" customHeight="1" x14ac:dyDescent="0.2">
      <c r="A446" s="318"/>
      <c r="B446" s="342"/>
      <c r="C446" s="345"/>
      <c r="D446" s="311" t="s">
        <v>493</v>
      </c>
      <c r="E446" s="629"/>
      <c r="F446" s="653"/>
      <c r="G446" s="629"/>
      <c r="H446" s="662"/>
    </row>
    <row r="447" spans="1:13" s="368" customFormat="1" ht="12.75" hidden="1" customHeight="1" x14ac:dyDescent="0.2">
      <c r="A447" s="318"/>
      <c r="B447" s="342"/>
      <c r="C447" s="345"/>
      <c r="D447" s="311" t="s">
        <v>494</v>
      </c>
      <c r="E447" s="629"/>
      <c r="F447" s="653"/>
      <c r="G447" s="629"/>
      <c r="H447" s="662"/>
    </row>
    <row r="448" spans="1:13" s="368" customFormat="1" ht="12.75" hidden="1" customHeight="1" x14ac:dyDescent="0.2">
      <c r="A448" s="318"/>
      <c r="B448" s="650"/>
      <c r="C448" s="651"/>
      <c r="D448" s="311" t="s">
        <v>495</v>
      </c>
      <c r="E448" s="629"/>
      <c r="F448" s="653"/>
      <c r="G448" s="629"/>
      <c r="H448" s="662"/>
    </row>
    <row r="449" spans="1:9" s="368" customFormat="1" ht="12.75" hidden="1" customHeight="1" x14ac:dyDescent="0.2">
      <c r="A449" s="318"/>
      <c r="B449" s="650"/>
      <c r="C449" s="651"/>
      <c r="D449" s="659"/>
      <c r="E449" s="629"/>
      <c r="F449" s="653"/>
      <c r="G449" s="629"/>
      <c r="H449" s="662"/>
    </row>
    <row r="450" spans="1:9" s="368" customFormat="1" ht="12" customHeight="1" x14ac:dyDescent="0.2">
      <c r="A450" s="618">
        <f>A442+1</f>
        <v>49</v>
      </c>
      <c r="B450" s="632">
        <v>4103</v>
      </c>
      <c r="C450" s="633" t="s">
        <v>538</v>
      </c>
      <c r="D450" s="663" t="str">
        <f>$D$14</f>
        <v>FTE February 2026</v>
      </c>
      <c r="E450" s="622">
        <f>'4103'!$J$124</f>
        <v>706227.5</v>
      </c>
      <c r="F450" s="635"/>
      <c r="G450" s="622">
        <f>SUBTOTAL(109,E450:F459)</f>
        <v>706227.5</v>
      </c>
      <c r="H450" s="662"/>
    </row>
    <row r="451" spans="1:9" s="368" customFormat="1" ht="12.75" hidden="1" customHeight="1" x14ac:dyDescent="0.2">
      <c r="A451" s="618"/>
      <c r="B451" s="632"/>
      <c r="C451" s="633"/>
      <c r="D451" s="637" t="s">
        <v>490</v>
      </c>
      <c r="E451" s="622"/>
      <c r="F451" s="635"/>
      <c r="G451" s="622"/>
      <c r="H451" s="662"/>
    </row>
    <row r="452" spans="1:9" s="368" customFormat="1" ht="12.75" hidden="1" customHeight="1" x14ac:dyDescent="0.2">
      <c r="A452" s="618"/>
      <c r="B452" s="632"/>
      <c r="C452" s="633"/>
      <c r="D452" s="638" t="s">
        <v>491</v>
      </c>
      <c r="E452" s="622"/>
      <c r="F452" s="635"/>
      <c r="G452" s="622"/>
      <c r="H452" s="662"/>
    </row>
    <row r="453" spans="1:9" s="368" customFormat="1" ht="12.75" hidden="1" customHeight="1" x14ac:dyDescent="0.2">
      <c r="A453" s="618"/>
      <c r="B453" s="632"/>
      <c r="C453" s="633"/>
      <c r="D453" s="638" t="s">
        <v>510</v>
      </c>
      <c r="E453" s="622"/>
      <c r="F453" s="635"/>
      <c r="G453" s="622"/>
      <c r="H453" s="662"/>
    </row>
    <row r="454" spans="1:9" s="368" customFormat="1" ht="12.75" hidden="1" customHeight="1" x14ac:dyDescent="0.2">
      <c r="A454" s="618"/>
      <c r="B454" s="632"/>
      <c r="C454" s="633"/>
      <c r="D454" s="637" t="s">
        <v>492</v>
      </c>
      <c r="E454" s="622"/>
      <c r="F454" s="635"/>
      <c r="G454" s="622"/>
      <c r="H454" s="662"/>
      <c r="I454" s="650"/>
    </row>
    <row r="455" spans="1:9" s="368" customFormat="1" ht="12.75" hidden="1" customHeight="1" x14ac:dyDescent="0.2">
      <c r="A455" s="618"/>
      <c r="B455" s="632"/>
      <c r="C455" s="633"/>
      <c r="D455" s="637" t="s">
        <v>493</v>
      </c>
      <c r="E455" s="622"/>
      <c r="F455" s="635"/>
      <c r="G455" s="622"/>
      <c r="H455" s="662"/>
    </row>
    <row r="456" spans="1:9" s="368" customFormat="1" ht="12.75" hidden="1" customHeight="1" x14ac:dyDescent="0.2">
      <c r="A456" s="618"/>
      <c r="B456" s="632"/>
      <c r="C456" s="633"/>
      <c r="D456" s="637" t="s">
        <v>494</v>
      </c>
      <c r="E456" s="622"/>
      <c r="F456" s="635"/>
      <c r="G456" s="622"/>
      <c r="H456" s="662"/>
    </row>
    <row r="457" spans="1:9" s="368" customFormat="1" ht="12.75" hidden="1" customHeight="1" x14ac:dyDescent="0.2">
      <c r="A457" s="618"/>
      <c r="B457" s="632"/>
      <c r="C457" s="633"/>
      <c r="D457" s="637" t="s">
        <v>495</v>
      </c>
      <c r="E457" s="622"/>
      <c r="F457" s="635"/>
      <c r="G457" s="622"/>
      <c r="H457" s="662"/>
      <c r="I457" s="309"/>
    </row>
    <row r="458" spans="1:9" s="368" customFormat="1" ht="12.75" hidden="1" customHeight="1" x14ac:dyDescent="0.2">
      <c r="A458" s="618"/>
      <c r="B458" s="632"/>
      <c r="C458" s="633"/>
      <c r="D458" s="637" t="s">
        <v>503</v>
      </c>
      <c r="E458" s="622"/>
      <c r="F458" s="635"/>
      <c r="G458" s="622"/>
      <c r="H458" s="662"/>
      <c r="I458" s="647"/>
    </row>
    <row r="459" spans="1:9" s="368" customFormat="1" ht="12.75" hidden="1" customHeight="1" x14ac:dyDescent="0.2">
      <c r="A459" s="618"/>
      <c r="B459" s="632"/>
      <c r="C459" s="633"/>
      <c r="D459" s="637" t="s">
        <v>512</v>
      </c>
      <c r="E459" s="622"/>
      <c r="F459" s="635"/>
      <c r="G459" s="622"/>
      <c r="H459" s="662"/>
      <c r="I459" s="647"/>
    </row>
    <row r="460" spans="1:9" s="368" customFormat="1" ht="12.75" customHeight="1" x14ac:dyDescent="0.2">
      <c r="A460" s="318">
        <f>1+A450</f>
        <v>50</v>
      </c>
      <c r="B460" s="342">
        <v>4111</v>
      </c>
      <c r="C460" s="345" t="s">
        <v>283</v>
      </c>
      <c r="D460" s="652" t="str">
        <f>$D$14</f>
        <v>FTE February 2026</v>
      </c>
      <c r="E460" s="629">
        <f>'4111'!$J$124</f>
        <v>233981.52</v>
      </c>
      <c r="F460" s="653"/>
      <c r="G460" s="629">
        <f>SUBTOTAL(109,E460:F468)</f>
        <v>233981.52</v>
      </c>
      <c r="H460" s="662"/>
    </row>
    <row r="461" spans="1:9" s="368" customFormat="1" ht="12.75" hidden="1" customHeight="1" x14ac:dyDescent="0.2">
      <c r="A461" s="318"/>
      <c r="B461" s="342"/>
      <c r="C461" s="345"/>
      <c r="D461" s="311" t="s">
        <v>514</v>
      </c>
      <c r="E461" s="629"/>
      <c r="F461" s="653"/>
      <c r="G461" s="629"/>
      <c r="H461" s="662"/>
    </row>
    <row r="462" spans="1:9" s="368" customFormat="1" ht="12.75" hidden="1" customHeight="1" x14ac:dyDescent="0.2">
      <c r="A462" s="318"/>
      <c r="B462" s="650"/>
      <c r="C462" s="651"/>
      <c r="D462" s="655" t="s">
        <v>491</v>
      </c>
      <c r="E462" s="629"/>
      <c r="F462" s="653"/>
      <c r="G462" s="629"/>
      <c r="H462" s="662"/>
      <c r="I462" s="650"/>
    </row>
    <row r="463" spans="1:9" s="368" customFormat="1" ht="12.75" hidden="1" customHeight="1" x14ac:dyDescent="0.2">
      <c r="A463" s="318"/>
      <c r="B463" s="342"/>
      <c r="C463" s="345"/>
      <c r="D463" s="311" t="s">
        <v>492</v>
      </c>
      <c r="E463" s="629"/>
      <c r="F463" s="653"/>
      <c r="G463" s="629"/>
      <c r="H463" s="662"/>
      <c r="I463" s="650"/>
    </row>
    <row r="464" spans="1:9" s="368" customFormat="1" ht="12.75" hidden="1" customHeight="1" x14ac:dyDescent="0.2">
      <c r="A464" s="318"/>
      <c r="B464" s="342"/>
      <c r="C464" s="345"/>
      <c r="D464" s="311" t="s">
        <v>493</v>
      </c>
      <c r="E464" s="629"/>
      <c r="F464" s="653"/>
      <c r="G464" s="629"/>
      <c r="H464" s="662"/>
    </row>
    <row r="465" spans="1:9" s="368" customFormat="1" ht="12.75" hidden="1" customHeight="1" x14ac:dyDescent="0.2">
      <c r="A465" s="318"/>
      <c r="B465" s="342"/>
      <c r="C465" s="345"/>
      <c r="D465" s="311" t="s">
        <v>494</v>
      </c>
      <c r="E465" s="629"/>
      <c r="F465" s="653"/>
      <c r="G465" s="629"/>
      <c r="H465" s="662"/>
    </row>
    <row r="466" spans="1:9" s="368" customFormat="1" ht="12.75" hidden="1" customHeight="1" x14ac:dyDescent="0.2">
      <c r="A466" s="318"/>
      <c r="B466" s="650"/>
      <c r="C466" s="651"/>
      <c r="D466" s="311" t="s">
        <v>495</v>
      </c>
      <c r="E466" s="629"/>
      <c r="F466" s="653"/>
      <c r="G466" s="629"/>
      <c r="H466" s="662"/>
    </row>
    <row r="467" spans="1:9" s="368" customFormat="1" hidden="1" x14ac:dyDescent="0.2">
      <c r="A467" s="318"/>
      <c r="B467" s="650"/>
      <c r="C467" s="651"/>
      <c r="D467" s="311" t="s">
        <v>503</v>
      </c>
      <c r="E467" s="629"/>
      <c r="F467" s="653"/>
      <c r="G467" s="629"/>
      <c r="H467" s="662"/>
    </row>
    <row r="468" spans="1:9" s="368" customFormat="1" hidden="1" x14ac:dyDescent="0.2">
      <c r="A468" s="318"/>
      <c r="B468" s="650"/>
      <c r="C468" s="651"/>
      <c r="D468" s="659" t="s">
        <v>512</v>
      </c>
      <c r="E468" s="629"/>
      <c r="F468" s="653"/>
      <c r="G468" s="629"/>
      <c r="H468" s="662"/>
    </row>
    <row r="469" spans="1:9" s="368" customFormat="1" ht="12.75" customHeight="1" x14ac:dyDescent="0.2">
      <c r="A469" s="618">
        <f>1+A460</f>
        <v>51</v>
      </c>
      <c r="B469" s="673">
        <v>4131</v>
      </c>
      <c r="C469" s="674" t="s">
        <v>284</v>
      </c>
      <c r="D469" s="663" t="str">
        <f>$D$14</f>
        <v>FTE February 2026</v>
      </c>
      <c r="E469" s="622">
        <f>'4131'!$J$124</f>
        <v>105550.12</v>
      </c>
      <c r="F469" s="635"/>
      <c r="G469" s="622">
        <f>SUBTOTAL(109,E469:F477)</f>
        <v>105550.12</v>
      </c>
      <c r="H469" s="662"/>
    </row>
    <row r="470" spans="1:9" s="368" customFormat="1" ht="12.75" hidden="1" customHeight="1" x14ac:dyDescent="0.2">
      <c r="A470" s="618"/>
      <c r="B470" s="673"/>
      <c r="C470" s="674"/>
      <c r="D470" s="637" t="s">
        <v>490</v>
      </c>
      <c r="E470" s="622"/>
      <c r="F470" s="635"/>
      <c r="G470" s="622"/>
      <c r="H470" s="662"/>
    </row>
    <row r="471" spans="1:9" s="368" customFormat="1" ht="12.75" hidden="1" customHeight="1" x14ac:dyDescent="0.2">
      <c r="A471" s="618"/>
      <c r="B471" s="632"/>
      <c r="C471" s="633"/>
      <c r="D471" s="638" t="s">
        <v>535</v>
      </c>
      <c r="E471" s="622"/>
      <c r="F471" s="635"/>
      <c r="G471" s="622"/>
      <c r="H471" s="662"/>
    </row>
    <row r="472" spans="1:9" s="368" customFormat="1" ht="12.75" hidden="1" customHeight="1" x14ac:dyDescent="0.2">
      <c r="A472" s="618"/>
      <c r="B472" s="673"/>
      <c r="C472" s="674"/>
      <c r="D472" s="637" t="s">
        <v>492</v>
      </c>
      <c r="E472" s="622"/>
      <c r="F472" s="635"/>
      <c r="G472" s="622"/>
      <c r="H472" s="662"/>
      <c r="I472" s="650"/>
    </row>
    <row r="473" spans="1:9" s="368" customFormat="1" ht="12.75" hidden="1" customHeight="1" x14ac:dyDescent="0.2">
      <c r="A473" s="618"/>
      <c r="B473" s="673"/>
      <c r="C473" s="674"/>
      <c r="D473" s="637" t="s">
        <v>493</v>
      </c>
      <c r="E473" s="622"/>
      <c r="F473" s="635"/>
      <c r="G473" s="622"/>
      <c r="H473" s="662"/>
    </row>
    <row r="474" spans="1:9" s="368" customFormat="1" ht="12.75" hidden="1" customHeight="1" x14ac:dyDescent="0.2">
      <c r="A474" s="618"/>
      <c r="B474" s="673"/>
      <c r="C474" s="674"/>
      <c r="D474" s="637" t="s">
        <v>494</v>
      </c>
      <c r="E474" s="622"/>
      <c r="F474" s="635"/>
      <c r="G474" s="622"/>
      <c r="H474" s="662"/>
    </row>
    <row r="475" spans="1:9" s="368" customFormat="1" ht="12.75" hidden="1" customHeight="1" x14ac:dyDescent="0.2">
      <c r="A475" s="618"/>
      <c r="B475" s="632"/>
      <c r="C475" s="633"/>
      <c r="D475" s="637" t="s">
        <v>495</v>
      </c>
      <c r="E475" s="622"/>
      <c r="F475" s="635"/>
      <c r="G475" s="622"/>
      <c r="H475" s="662"/>
      <c r="I475" s="309"/>
    </row>
    <row r="476" spans="1:9" s="368" customFormat="1" ht="12.75" hidden="1" customHeight="1" x14ac:dyDescent="0.2">
      <c r="A476" s="618"/>
      <c r="B476" s="632"/>
      <c r="C476" s="633"/>
      <c r="D476" s="637" t="s">
        <v>503</v>
      </c>
      <c r="E476" s="622"/>
      <c r="F476" s="635"/>
      <c r="G476" s="622"/>
      <c r="H476" s="662"/>
      <c r="I476" s="647"/>
    </row>
    <row r="477" spans="1:9" s="368" customFormat="1" ht="12.75" hidden="1" customHeight="1" x14ac:dyDescent="0.2">
      <c r="A477" s="618"/>
      <c r="B477" s="632"/>
      <c r="C477" s="633"/>
      <c r="D477" s="666" t="s">
        <v>512</v>
      </c>
      <c r="E477" s="622"/>
      <c r="F477" s="635"/>
      <c r="G477" s="622"/>
      <c r="H477" s="662"/>
      <c r="I477" s="643"/>
    </row>
    <row r="478" spans="1:9" s="368" customFormat="1" ht="12.75" customHeight="1" x14ac:dyDescent="0.2">
      <c r="A478" s="310"/>
      <c r="B478" s="309"/>
      <c r="C478" s="309"/>
      <c r="D478" s="675"/>
      <c r="E478" s="309"/>
      <c r="F478" s="676"/>
      <c r="G478" s="309"/>
      <c r="H478" s="662"/>
      <c r="I478" s="647"/>
    </row>
    <row r="479" spans="1:9" s="368" customFormat="1" ht="12.75" customHeight="1" thickBot="1" x14ac:dyDescent="0.25">
      <c r="A479" s="309"/>
      <c r="B479" s="613"/>
      <c r="C479" s="609"/>
      <c r="D479" s="675" t="s">
        <v>539</v>
      </c>
      <c r="E479" s="677">
        <f>SUBTOTAL(109,E5:E478)</f>
        <v>17405641.269999996</v>
      </c>
      <c r="F479" s="677">
        <f>SUBTOTAL(109,F5:F478)</f>
        <v>-133963.71</v>
      </c>
      <c r="G479" s="677">
        <f>ROUND(SUM(G5:G478),2)</f>
        <v>17271677.559999999</v>
      </c>
      <c r="H479" s="662"/>
    </row>
    <row r="480" spans="1:9" s="368" customFormat="1" ht="12.75" customHeight="1" thickTop="1" x14ac:dyDescent="0.2">
      <c r="A480" s="309"/>
      <c r="B480" s="613"/>
      <c r="C480" s="609"/>
      <c r="D480" s="309"/>
      <c r="E480" s="309"/>
      <c r="F480" s="606"/>
      <c r="G480" s="333">
        <f>ROUND(G479-E479-F479,2)</f>
        <v>0</v>
      </c>
      <c r="H480" s="662"/>
      <c r="I480" s="1003"/>
    </row>
    <row r="481" spans="1:10" s="368" customFormat="1" ht="12.75" customHeight="1" x14ac:dyDescent="0.2">
      <c r="A481" s="309"/>
      <c r="B481" s="613"/>
      <c r="C481" s="609"/>
      <c r="D481" s="309"/>
      <c r="E481" s="309"/>
      <c r="F481" s="606"/>
      <c r="G481" s="309"/>
      <c r="H481" s="662"/>
      <c r="I481" s="650"/>
    </row>
    <row r="482" spans="1:10" s="368" customFormat="1" ht="12.75" customHeight="1" x14ac:dyDescent="0.2">
      <c r="A482" s="309"/>
      <c r="B482" s="613"/>
      <c r="C482" s="609"/>
      <c r="D482" s="309"/>
      <c r="E482" s="309"/>
      <c r="F482" s="606"/>
      <c r="G482" s="309"/>
      <c r="H482" s="662"/>
    </row>
    <row r="483" spans="1:10" s="368" customFormat="1" ht="12.75" customHeight="1" x14ac:dyDescent="0.2">
      <c r="A483" s="309"/>
      <c r="B483" s="613"/>
      <c r="C483" s="609"/>
      <c r="D483" s="309"/>
      <c r="E483" s="309"/>
      <c r="F483" s="606"/>
      <c r="G483" s="309"/>
      <c r="H483" s="662"/>
    </row>
    <row r="484" spans="1:10" s="368" customFormat="1" ht="12.75" customHeight="1" x14ac:dyDescent="0.2">
      <c r="A484" s="309"/>
      <c r="B484" s="613"/>
      <c r="C484" s="609"/>
      <c r="D484" s="309"/>
      <c r="E484" s="309"/>
      <c r="F484" s="606"/>
      <c r="G484" s="309"/>
      <c r="H484" s="662"/>
      <c r="I484" s="309"/>
    </row>
    <row r="485" spans="1:10" s="368" customFormat="1" ht="12.75" customHeight="1" x14ac:dyDescent="0.2">
      <c r="A485" s="309"/>
      <c r="B485" s="613"/>
      <c r="C485" s="609"/>
      <c r="D485" s="309"/>
      <c r="E485" s="309"/>
      <c r="F485" s="606"/>
      <c r="G485" s="309"/>
      <c r="H485" s="662"/>
      <c r="I485" s="647"/>
    </row>
    <row r="486" spans="1:10" s="368" customFormat="1" ht="12.75" customHeight="1" x14ac:dyDescent="0.2">
      <c r="A486" s="678"/>
      <c r="B486" s="613"/>
      <c r="C486" s="375"/>
      <c r="D486" s="678" t="s">
        <v>540</v>
      </c>
      <c r="E486" s="333">
        <f>Consolidated!I159</f>
        <v>17405641.269999996</v>
      </c>
      <c r="F486" s="606"/>
      <c r="G486" s="333">
        <f>E486+F486</f>
        <v>17405641.269999996</v>
      </c>
      <c r="H486" s="662"/>
      <c r="I486" s="643"/>
    </row>
    <row r="487" spans="1:10" s="368" customFormat="1" ht="12.75" customHeight="1" x14ac:dyDescent="0.2">
      <c r="A487" s="309"/>
      <c r="B487" s="309"/>
      <c r="C487" s="309"/>
      <c r="D487" s="679" t="s">
        <v>490</v>
      </c>
      <c r="E487" s="309"/>
      <c r="F487" s="636">
        <f>F470+F461+F451+F434+F424+F414+F405+F398+F389+F380+F373+F362+F352+F342+F333+F324+F316+F306+F297+F281+F289+F271+F261+F252+F242+F231+F223+F212+F204+F197+F189+F180+F170+F152+F143+F135++F118+F107+F97+F89+F78+F77+F70+F54+F15+F6+F11+F133</f>
        <v>0</v>
      </c>
      <c r="G487" s="333">
        <f t="shared" ref="G487:G508" si="0">E487+F487</f>
        <v>0</v>
      </c>
      <c r="H487" s="662"/>
      <c r="I487" s="680"/>
    </row>
    <row r="488" spans="1:10" ht="12.75" hidden="1" customHeight="1" x14ac:dyDescent="0.2">
      <c r="D488" s="655" t="s">
        <v>491</v>
      </c>
      <c r="F488" s="636">
        <f t="shared" ref="F488:F506" si="1">SUM(SUMIF(D$14:D$478,D488,F$14:F$478))</f>
        <v>0</v>
      </c>
      <c r="G488" s="333">
        <f t="shared" si="0"/>
        <v>0</v>
      </c>
      <c r="H488" s="667"/>
    </row>
    <row r="489" spans="1:10" ht="12.75" hidden="1" customHeight="1" x14ac:dyDescent="0.2">
      <c r="D489" s="679" t="s">
        <v>515</v>
      </c>
      <c r="F489" s="636">
        <f t="shared" si="1"/>
        <v>0</v>
      </c>
      <c r="G489" s="333">
        <f t="shared" si="0"/>
        <v>0</v>
      </c>
    </row>
    <row r="490" spans="1:10" ht="12.75" hidden="1" customHeight="1" x14ac:dyDescent="0.2">
      <c r="D490" s="679" t="s">
        <v>525</v>
      </c>
      <c r="F490" s="636">
        <f t="shared" si="1"/>
        <v>0</v>
      </c>
      <c r="G490" s="333">
        <f t="shared" si="0"/>
        <v>0</v>
      </c>
    </row>
    <row r="491" spans="1:10" ht="12.75" hidden="1" customHeight="1" x14ac:dyDescent="0.2">
      <c r="D491" s="681" t="s">
        <v>510</v>
      </c>
      <c r="F491" s="636">
        <f t="shared" si="1"/>
        <v>0</v>
      </c>
      <c r="G491" s="333">
        <f t="shared" si="0"/>
        <v>0</v>
      </c>
    </row>
    <row r="492" spans="1:10" ht="12.75" hidden="1" customHeight="1" x14ac:dyDescent="0.2">
      <c r="D492" s="679" t="s">
        <v>492</v>
      </c>
      <c r="F492" s="636">
        <f t="shared" si="1"/>
        <v>0</v>
      </c>
      <c r="G492" s="333">
        <f t="shared" si="0"/>
        <v>0</v>
      </c>
    </row>
    <row r="493" spans="1:10" ht="12.75" hidden="1" customHeight="1" x14ac:dyDescent="0.2">
      <c r="D493" s="679" t="s">
        <v>517</v>
      </c>
      <c r="F493" s="636">
        <f t="shared" si="1"/>
        <v>0</v>
      </c>
      <c r="G493" s="333">
        <f t="shared" si="0"/>
        <v>0</v>
      </c>
    </row>
    <row r="494" spans="1:10" ht="12.75" hidden="1" customHeight="1" x14ac:dyDescent="0.2">
      <c r="D494" s="309" t="s">
        <v>494</v>
      </c>
      <c r="F494" s="636">
        <f t="shared" si="1"/>
        <v>0</v>
      </c>
      <c r="G494" s="333">
        <f t="shared" si="0"/>
        <v>0</v>
      </c>
    </row>
    <row r="495" spans="1:10" ht="12.75" hidden="1" customHeight="1" x14ac:dyDescent="0.2">
      <c r="A495" s="318"/>
      <c r="B495" s="650"/>
      <c r="C495" s="651"/>
      <c r="D495" s="679" t="s">
        <v>495</v>
      </c>
      <c r="E495" s="629"/>
      <c r="F495" s="636">
        <f t="shared" si="1"/>
        <v>0</v>
      </c>
      <c r="G495" s="333">
        <f t="shared" si="0"/>
        <v>0</v>
      </c>
    </row>
    <row r="496" spans="1:10" ht="12.75" hidden="1" customHeight="1" x14ac:dyDescent="0.2">
      <c r="D496" s="682" t="s">
        <v>541</v>
      </c>
      <c r="F496" s="636">
        <f t="shared" si="1"/>
        <v>0</v>
      </c>
      <c r="G496" s="333">
        <f t="shared" si="0"/>
        <v>0</v>
      </c>
      <c r="J496" s="333"/>
    </row>
    <row r="497" spans="1:10" ht="12.75" customHeight="1" x14ac:dyDescent="0.2">
      <c r="D497" s="682" t="s">
        <v>496</v>
      </c>
      <c r="F497" s="636">
        <f t="shared" si="1"/>
        <v>-97617.78</v>
      </c>
      <c r="G497" s="333">
        <f t="shared" si="0"/>
        <v>-97617.78</v>
      </c>
      <c r="J497" s="333"/>
    </row>
    <row r="498" spans="1:10" ht="12.75" customHeight="1" x14ac:dyDescent="0.2">
      <c r="D498" s="309" t="s">
        <v>497</v>
      </c>
      <c r="F498" s="636">
        <f t="shared" si="1"/>
        <v>-28444.44</v>
      </c>
      <c r="G498" s="333">
        <f t="shared" si="0"/>
        <v>-28444.44</v>
      </c>
      <c r="J498" s="333"/>
    </row>
    <row r="499" spans="1:10" ht="12.75" customHeight="1" x14ac:dyDescent="0.2">
      <c r="D499" s="309" t="s">
        <v>498</v>
      </c>
      <c r="F499" s="636">
        <f t="shared" si="1"/>
        <v>-546.79999999999995</v>
      </c>
      <c r="G499" s="333">
        <f t="shared" si="0"/>
        <v>-546.79999999999995</v>
      </c>
      <c r="J499" s="333"/>
    </row>
    <row r="500" spans="1:10" ht="12.75" customHeight="1" x14ac:dyDescent="0.2">
      <c r="D500" s="375" t="s">
        <v>499</v>
      </c>
      <c r="F500" s="636">
        <f t="shared" si="1"/>
        <v>-188.96</v>
      </c>
      <c r="G500" s="333">
        <f t="shared" si="0"/>
        <v>-188.96</v>
      </c>
    </row>
    <row r="501" spans="1:10" ht="12.75" customHeight="1" x14ac:dyDescent="0.2">
      <c r="D501" s="309" t="s">
        <v>500</v>
      </c>
      <c r="F501" s="636">
        <f t="shared" si="1"/>
        <v>-180</v>
      </c>
      <c r="G501" s="333">
        <f>E501+F501</f>
        <v>-180</v>
      </c>
      <c r="J501" s="333"/>
    </row>
    <row r="502" spans="1:10" ht="12.75" customHeight="1" x14ac:dyDescent="0.2">
      <c r="D502" s="375" t="s">
        <v>521</v>
      </c>
      <c r="F502" s="636">
        <f t="shared" si="1"/>
        <v>0</v>
      </c>
      <c r="G502" s="333">
        <f>E502+F502</f>
        <v>0</v>
      </c>
      <c r="J502" s="333"/>
    </row>
    <row r="503" spans="1:10" ht="12.75" hidden="1" customHeight="1" x14ac:dyDescent="0.2">
      <c r="A503" s="318"/>
      <c r="B503" s="650"/>
      <c r="C503" s="651"/>
      <c r="D503" s="679" t="s">
        <v>518</v>
      </c>
      <c r="E503" s="629"/>
      <c r="F503" s="636">
        <f t="shared" si="1"/>
        <v>0</v>
      </c>
      <c r="G503" s="333">
        <f t="shared" si="0"/>
        <v>0</v>
      </c>
    </row>
    <row r="504" spans="1:10" ht="12.75" hidden="1" customHeight="1" x14ac:dyDescent="0.2">
      <c r="D504" s="375" t="s">
        <v>522</v>
      </c>
      <c r="F504" s="636">
        <f t="shared" si="1"/>
        <v>0</v>
      </c>
      <c r="G504" s="333">
        <f t="shared" si="0"/>
        <v>0</v>
      </c>
    </row>
    <row r="505" spans="1:10" ht="12.75" hidden="1" customHeight="1" x14ac:dyDescent="0.2">
      <c r="D505" s="375" t="s">
        <v>502</v>
      </c>
      <c r="F505" s="636">
        <f t="shared" si="1"/>
        <v>0</v>
      </c>
      <c r="G505" s="333">
        <f t="shared" si="0"/>
        <v>0</v>
      </c>
    </row>
    <row r="506" spans="1:10" s="368" customFormat="1" ht="12.75" hidden="1" customHeight="1" x14ac:dyDescent="0.2">
      <c r="A506" s="309"/>
      <c r="B506" s="309"/>
      <c r="C506" s="309"/>
      <c r="D506" s="375" t="s">
        <v>503</v>
      </c>
      <c r="E506" s="309"/>
      <c r="F506" s="636">
        <f t="shared" si="1"/>
        <v>0</v>
      </c>
      <c r="G506" s="333">
        <f t="shared" si="0"/>
        <v>0</v>
      </c>
      <c r="H506" s="662"/>
      <c r="I506" s="647"/>
    </row>
    <row r="507" spans="1:10" ht="12.75" customHeight="1" x14ac:dyDescent="0.2">
      <c r="D507" s="679" t="s">
        <v>542</v>
      </c>
      <c r="F507" s="683">
        <f>SUM(SUMIF(D$14:D$478,"*WPB*",F$14:F$478))</f>
        <v>-6985.7300000000005</v>
      </c>
      <c r="G507" s="333">
        <f t="shared" si="0"/>
        <v>-6985.7300000000005</v>
      </c>
    </row>
    <row r="508" spans="1:10" ht="12.75" hidden="1" customHeight="1" x14ac:dyDescent="0.2">
      <c r="D508" s="679" t="s">
        <v>511</v>
      </c>
      <c r="F508" s="683">
        <f>SUM(SUMIF(D$14:D$478,"*FEFP ADJ*",F$14:F$478))</f>
        <v>0</v>
      </c>
      <c r="G508" s="333">
        <f t="shared" si="0"/>
        <v>0</v>
      </c>
    </row>
    <row r="509" spans="1:10" ht="12.75" customHeight="1" x14ac:dyDescent="0.2">
      <c r="D509" s="679"/>
      <c r="F509" s="683"/>
      <c r="G509" s="333"/>
    </row>
    <row r="510" spans="1:10" ht="12.75" customHeight="1" thickBot="1" x14ac:dyDescent="0.25">
      <c r="D510" s="684" t="s">
        <v>543</v>
      </c>
      <c r="E510" s="677">
        <f>SUM(E486:E508)</f>
        <v>17405641.269999996</v>
      </c>
      <c r="F510" s="677">
        <f>SUM(F486:F508)</f>
        <v>-133963.71000000002</v>
      </c>
      <c r="G510" s="677">
        <f>SUM(G486:G509)</f>
        <v>17271677.559999991</v>
      </c>
    </row>
    <row r="511" spans="1:10" ht="12.75" customHeight="1" thickTop="1" x14ac:dyDescent="0.2">
      <c r="D511" s="684"/>
      <c r="E511" s="333"/>
      <c r="F511" s="333"/>
      <c r="G511" s="333"/>
    </row>
    <row r="512" spans="1:10" ht="12.75" customHeight="1" x14ac:dyDescent="0.2">
      <c r="D512" s="684"/>
      <c r="E512" s="333"/>
      <c r="F512" s="333">
        <f>F510-F479</f>
        <v>0</v>
      </c>
      <c r="G512" s="333">
        <f>G479-G510</f>
        <v>0</v>
      </c>
    </row>
    <row r="513" spans="1:9" ht="12" customHeight="1" x14ac:dyDescent="0.2">
      <c r="D513" s="684"/>
      <c r="E513" s="333"/>
      <c r="F513" s="333"/>
      <c r="G513" s="333"/>
    </row>
    <row r="514" spans="1:9" ht="12.75" customHeight="1" thickBot="1" x14ac:dyDescent="0.25">
      <c r="E514" s="333"/>
      <c r="F514" s="333"/>
      <c r="G514" s="333"/>
    </row>
    <row r="515" spans="1:9" ht="12.75" customHeight="1" thickBot="1" x14ac:dyDescent="0.25">
      <c r="C515" s="800" t="s">
        <v>488</v>
      </c>
      <c r="D515" s="801"/>
      <c r="E515" s="801"/>
      <c r="F515" s="801"/>
      <c r="G515" s="802"/>
    </row>
    <row r="516" spans="1:9" s="368" customFormat="1" ht="12.75" customHeight="1" x14ac:dyDescent="0.2">
      <c r="A516" s="309"/>
      <c r="B516" s="309"/>
      <c r="C516" s="787"/>
      <c r="D516" s="788"/>
      <c r="E516" s="788"/>
      <c r="F516" s="788"/>
      <c r="G516" s="685"/>
      <c r="H516" s="662"/>
      <c r="I516" s="309"/>
    </row>
    <row r="517" spans="1:9" ht="12.75" customHeight="1" x14ac:dyDescent="0.2">
      <c r="C517" s="686" t="s">
        <v>578</v>
      </c>
      <c r="D517" s="789"/>
      <c r="E517" s="789"/>
      <c r="F517" s="790"/>
      <c r="G517" s="687"/>
    </row>
    <row r="518" spans="1:9" ht="12.75" customHeight="1" x14ac:dyDescent="0.2">
      <c r="C518" s="688" t="s">
        <v>555</v>
      </c>
      <c r="D518" s="789"/>
      <c r="E518" s="789"/>
      <c r="F518" s="790"/>
      <c r="G518" s="687"/>
    </row>
    <row r="519" spans="1:9" ht="12.75" customHeight="1" x14ac:dyDescent="0.2">
      <c r="C519" s="688"/>
      <c r="D519" s="790"/>
      <c r="E519" s="790"/>
      <c r="F519" s="790"/>
      <c r="G519" s="687"/>
    </row>
    <row r="520" spans="1:9" ht="12.75" customHeight="1" x14ac:dyDescent="0.2">
      <c r="C520" s="689" t="s">
        <v>589</v>
      </c>
      <c r="D520" s="791"/>
      <c r="E520" s="791"/>
      <c r="F520" s="791"/>
      <c r="G520" s="690"/>
      <c r="H520" s="691"/>
      <c r="I520" s="368"/>
    </row>
    <row r="521" spans="1:9" ht="12.75" customHeight="1" x14ac:dyDescent="0.2">
      <c r="C521" s="692" t="s">
        <v>544</v>
      </c>
      <c r="D521" s="791"/>
      <c r="E521" s="791"/>
      <c r="F521" s="791"/>
      <c r="G521" s="690"/>
      <c r="H521" s="691"/>
      <c r="I521" s="368"/>
    </row>
    <row r="522" spans="1:9" ht="12.75" customHeight="1" x14ac:dyDescent="0.2">
      <c r="C522" s="693"/>
      <c r="D522" s="792"/>
      <c r="E522" s="792"/>
      <c r="F522" s="792"/>
      <c r="G522" s="694"/>
      <c r="H522" s="691"/>
      <c r="I522" s="368"/>
    </row>
    <row r="523" spans="1:9" ht="12.75" customHeight="1" x14ac:dyDescent="0.2">
      <c r="C523" s="686" t="s">
        <v>579</v>
      </c>
      <c r="D523" s="792"/>
      <c r="E523" s="792"/>
      <c r="F523" s="792"/>
      <c r="G523" s="694"/>
      <c r="H523" s="691"/>
      <c r="I523" s="368"/>
    </row>
    <row r="524" spans="1:9" ht="12.75" customHeight="1" x14ac:dyDescent="0.2">
      <c r="C524" s="688" t="s">
        <v>545</v>
      </c>
      <c r="D524" s="792"/>
      <c r="E524" s="792"/>
      <c r="F524" s="792"/>
      <c r="G524" s="694"/>
      <c r="H524" s="691"/>
      <c r="I524" s="368"/>
    </row>
    <row r="525" spans="1:9" ht="12.75" customHeight="1" x14ac:dyDescent="0.2">
      <c r="C525" s="693"/>
      <c r="D525" s="792"/>
      <c r="E525" s="792"/>
      <c r="F525" s="792"/>
      <c r="G525" s="694"/>
      <c r="H525" s="691"/>
      <c r="I525" s="368"/>
    </row>
    <row r="526" spans="1:9" ht="12.75" customHeight="1" x14ac:dyDescent="0.2">
      <c r="C526" s="784" t="s">
        <v>584</v>
      </c>
      <c r="D526" s="793"/>
      <c r="E526" s="793"/>
      <c r="F526" s="793"/>
      <c r="G526" s="694"/>
      <c r="H526" s="691"/>
      <c r="I526" s="368"/>
    </row>
    <row r="527" spans="1:9" ht="12.75" customHeight="1" x14ac:dyDescent="0.2">
      <c r="C527" s="785"/>
      <c r="D527" s="793"/>
      <c r="E527" s="793"/>
      <c r="F527" s="793"/>
      <c r="G527" s="694"/>
      <c r="H527" s="691"/>
      <c r="I527" s="368"/>
    </row>
    <row r="528" spans="1:9" ht="12.75" customHeight="1" x14ac:dyDescent="0.2">
      <c r="C528" s="785"/>
      <c r="D528" s="793"/>
      <c r="E528" s="793"/>
      <c r="F528" s="793"/>
      <c r="G528" s="694"/>
      <c r="H528" s="691"/>
      <c r="I528" s="368"/>
    </row>
    <row r="529" spans="3:9" ht="14.25" customHeight="1" x14ac:dyDescent="0.2">
      <c r="C529" s="785"/>
      <c r="D529" s="793"/>
      <c r="E529" s="793"/>
      <c r="F529" s="793"/>
      <c r="G529" s="694"/>
      <c r="H529" s="691"/>
      <c r="I529" s="368"/>
    </row>
    <row r="530" spans="3:9" ht="12.75" customHeight="1" x14ac:dyDescent="0.2">
      <c r="C530" s="786"/>
      <c r="D530" s="793"/>
      <c r="E530" s="793"/>
      <c r="F530" s="793"/>
      <c r="G530" s="694"/>
      <c r="H530" s="691"/>
      <c r="I530" s="368"/>
    </row>
    <row r="531" spans="3:9" ht="12.75" customHeight="1" thickBot="1" x14ac:dyDescent="0.25">
      <c r="C531" s="794"/>
      <c r="D531" s="795"/>
      <c r="E531" s="795"/>
      <c r="F531" s="795"/>
      <c r="G531" s="695"/>
      <c r="H531" s="691"/>
      <c r="I531" s="368"/>
    </row>
    <row r="532" spans="3:9" ht="12.75" customHeight="1" x14ac:dyDescent="0.2">
      <c r="H532" s="691"/>
      <c r="I532" s="368"/>
    </row>
    <row r="533" spans="3:9" ht="12.75" customHeight="1" x14ac:dyDescent="0.2">
      <c r="H533" s="691"/>
      <c r="I533" s="368"/>
    </row>
    <row r="534" spans="3:9" ht="12.75" customHeight="1" x14ac:dyDescent="0.2">
      <c r="H534" s="691"/>
      <c r="I534" s="368"/>
    </row>
    <row r="535" spans="3:9" ht="12.75" customHeight="1" x14ac:dyDescent="0.2">
      <c r="H535" s="691"/>
      <c r="I535" s="368"/>
    </row>
    <row r="536" spans="3:9" ht="12.75" customHeight="1" x14ac:dyDescent="0.2">
      <c r="H536" s="691"/>
      <c r="I536" s="368"/>
    </row>
    <row r="537" spans="3:9" ht="12.75" customHeight="1" x14ac:dyDescent="0.2">
      <c r="H537" s="691"/>
      <c r="I537" s="368"/>
    </row>
    <row r="538" spans="3:9" ht="12.75" customHeight="1" x14ac:dyDescent="0.2">
      <c r="H538" s="691"/>
      <c r="I538" s="368"/>
    </row>
    <row r="539" spans="3:9" ht="12.75" customHeight="1" x14ac:dyDescent="0.2">
      <c r="H539" s="691"/>
      <c r="I539" s="368"/>
    </row>
    <row r="540" spans="3:9" ht="12.75" customHeight="1" x14ac:dyDescent="0.2">
      <c r="H540" s="691"/>
      <c r="I540" s="368"/>
    </row>
    <row r="541" spans="3:9" ht="12.75" customHeight="1" x14ac:dyDescent="0.2">
      <c r="H541" s="366"/>
    </row>
    <row r="542" spans="3:9" ht="12.75" customHeight="1" x14ac:dyDescent="0.2">
      <c r="E542" s="314"/>
      <c r="F542" s="309"/>
    </row>
    <row r="543" spans="3:9" ht="12.75" customHeight="1" x14ac:dyDescent="0.2">
      <c r="E543" s="314"/>
      <c r="F543" s="309"/>
    </row>
    <row r="545" spans="8:11" ht="12.75" customHeight="1" x14ac:dyDescent="0.2">
      <c r="K545" s="314"/>
    </row>
    <row r="546" spans="8:11" ht="12.75" customHeight="1" x14ac:dyDescent="0.2">
      <c r="K546" s="314"/>
    </row>
    <row r="552" spans="8:11" ht="12.75" customHeight="1" x14ac:dyDescent="0.2">
      <c r="H552" s="309"/>
    </row>
    <row r="553" spans="8:11" ht="12.75" customHeight="1" x14ac:dyDescent="0.2">
      <c r="H553" s="309"/>
    </row>
  </sheetData>
  <mergeCells count="2">
    <mergeCell ref="F3:G3"/>
    <mergeCell ref="C515:G515"/>
  </mergeCells>
  <conditionalFormatting sqref="A14:A478">
    <cfRule type="cellIs" dxfId="17" priority="1" operator="equal">
      <formula>0</formula>
    </cfRule>
  </conditionalFormatting>
  <conditionalFormatting sqref="A495">
    <cfRule type="cellIs" dxfId="16" priority="2" operator="equal">
      <formula>0</formula>
    </cfRule>
  </conditionalFormatting>
  <conditionalFormatting sqref="A503">
    <cfRule type="cellIs" dxfId="15" priority="7" operator="equal">
      <formula>0</formula>
    </cfRule>
  </conditionalFormatting>
  <conditionalFormatting sqref="H497:H505 H507:H515">
    <cfRule type="cellIs" dxfId="14" priority="5" stopIfTrue="1" operator="notEqual">
      <formula>0</formula>
    </cfRule>
    <cfRule type="cellIs" dxfId="13" priority="6" stopIfTrue="1" operator="equal">
      <formula>0</formula>
    </cfRule>
  </conditionalFormatting>
  <conditionalFormatting sqref="H517:H519">
    <cfRule type="cellIs" dxfId="12" priority="3" stopIfTrue="1" operator="notEqual">
      <formula>0</formula>
    </cfRule>
    <cfRule type="cellIs" dxfId="11" priority="4" stopIfTrue="1" operator="equal">
      <formula>0</formula>
    </cfRule>
  </conditionalFormatting>
  <pageMargins left="1" right="0.1" top="0.5" bottom="0.5" header="0" footer="0.1"/>
  <pageSetup fitToHeight="0" orientation="landscape" r:id="rId1"/>
  <headerFooter>
    <oddFooter>&amp;L&amp;8&amp;Z&amp;F&amp;R&amp;8&amp;P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0F3A-6B50-409A-8E80-6F5FF3795D01}">
  <dimension ref="A4:Z69"/>
  <sheetViews>
    <sheetView workbookViewId="0">
      <selection activeCell="M19" sqref="M19"/>
    </sheetView>
  </sheetViews>
  <sheetFormatPr defaultColWidth="9.140625" defaultRowHeight="12.75" x14ac:dyDescent="0.2"/>
  <cols>
    <col min="1" max="1" width="4" style="309" bestFit="1" customWidth="1"/>
    <col min="2" max="2" width="6" style="309" customWidth="1"/>
    <col min="3" max="3" width="36.28515625" style="309" bestFit="1" customWidth="1"/>
    <col min="4" max="4" width="4" style="310" bestFit="1" customWidth="1"/>
    <col min="5" max="5" width="4.28515625" style="310" bestFit="1" customWidth="1"/>
    <col min="6" max="7" width="9.140625" style="309"/>
    <col min="8" max="8" width="2.7109375" style="309" customWidth="1"/>
    <col min="9" max="9" width="15.140625" style="309" bestFit="1" customWidth="1"/>
    <col min="10" max="11" width="14.5703125" style="309" bestFit="1" customWidth="1"/>
    <col min="12" max="12" width="15.140625" style="309" bestFit="1" customWidth="1"/>
    <col min="13" max="13" width="14.5703125" style="309" bestFit="1" customWidth="1"/>
    <col min="14" max="14" width="2.7109375" style="309" customWidth="1"/>
    <col min="15" max="15" width="10" style="309" bestFit="1" customWidth="1"/>
    <col min="16" max="16" width="2.7109375" style="309" customWidth="1"/>
    <col min="17" max="17" width="11" style="348" bestFit="1" customWidth="1"/>
    <col min="18" max="18" width="9.5703125" style="348" bestFit="1" customWidth="1"/>
    <col min="19" max="19" width="11" style="348" bestFit="1" customWidth="1"/>
    <col min="20" max="20" width="2.7109375" style="309" customWidth="1"/>
    <col min="21" max="21" width="9.140625" style="309"/>
    <col min="22" max="22" width="11" style="309" bestFit="1" customWidth="1"/>
    <col min="23" max="23" width="10" style="309" bestFit="1" customWidth="1"/>
    <col min="24" max="24" width="9.140625" style="309"/>
    <col min="25" max="25" width="11" style="309" bestFit="1" customWidth="1"/>
    <col min="26" max="26" width="9.5703125" style="309" bestFit="1" customWidth="1"/>
    <col min="27" max="16384" width="9.140625" style="309"/>
  </cols>
  <sheetData>
    <row r="4" spans="1:26" x14ac:dyDescent="0.2">
      <c r="D4" s="315"/>
      <c r="E4" s="316">
        <v>0.75</v>
      </c>
      <c r="F4" s="315" t="s">
        <v>188</v>
      </c>
      <c r="G4" s="315" t="s">
        <v>189</v>
      </c>
      <c r="H4" s="317"/>
      <c r="I4" s="803" t="s">
        <v>190</v>
      </c>
      <c r="J4" s="804"/>
      <c r="K4" s="804"/>
      <c r="L4" s="805"/>
      <c r="M4" s="315" t="s">
        <v>191</v>
      </c>
      <c r="N4" s="318"/>
      <c r="Q4" s="806" t="s">
        <v>192</v>
      </c>
      <c r="R4" s="806"/>
      <c r="S4" s="806"/>
      <c r="U4" s="807" t="s">
        <v>193</v>
      </c>
      <c r="V4" s="807"/>
      <c r="W4" s="807"/>
    </row>
    <row r="5" spans="1:26" x14ac:dyDescent="0.2">
      <c r="A5" s="309" t="s">
        <v>52</v>
      </c>
      <c r="B5" s="309" t="s">
        <v>52</v>
      </c>
      <c r="C5" s="309" t="s">
        <v>52</v>
      </c>
      <c r="D5" s="319" t="s">
        <v>194</v>
      </c>
      <c r="E5" s="319" t="s">
        <v>195</v>
      </c>
      <c r="F5" s="319" t="s">
        <v>189</v>
      </c>
      <c r="G5" s="320" t="s">
        <v>196</v>
      </c>
      <c r="H5" s="317" t="s">
        <v>52</v>
      </c>
      <c r="I5" s="321" t="s">
        <v>197</v>
      </c>
      <c r="J5" s="321" t="s">
        <v>198</v>
      </c>
      <c r="K5" s="321" t="s">
        <v>199</v>
      </c>
      <c r="L5" s="322" t="s">
        <v>200</v>
      </c>
      <c r="M5" s="323" t="s">
        <v>201</v>
      </c>
      <c r="N5" s="318" t="s">
        <v>52</v>
      </c>
      <c r="O5" s="321" t="s">
        <v>202</v>
      </c>
      <c r="P5" s="309" t="s">
        <v>52</v>
      </c>
      <c r="Q5" s="324" t="s">
        <v>203</v>
      </c>
      <c r="R5" s="324" t="s">
        <v>204</v>
      </c>
      <c r="S5" s="324" t="s">
        <v>205</v>
      </c>
      <c r="T5" s="309" t="s">
        <v>52</v>
      </c>
      <c r="U5" s="321" t="s">
        <v>194</v>
      </c>
      <c r="V5" s="321" t="s">
        <v>206</v>
      </c>
      <c r="W5" s="321" t="s">
        <v>207</v>
      </c>
    </row>
    <row r="6" spans="1:26" x14ac:dyDescent="0.2">
      <c r="A6" s="310">
        <v>1</v>
      </c>
      <c r="B6" s="325" t="s">
        <v>208</v>
      </c>
      <c r="C6" s="326" t="s">
        <v>209</v>
      </c>
      <c r="D6" s="327">
        <v>0</v>
      </c>
      <c r="E6" s="327"/>
      <c r="F6" s="328">
        <f>-K6/I6</f>
        <v>4.6357919939687582E-2</v>
      </c>
      <c r="G6" s="329">
        <f>-K6/J6</f>
        <v>4.999999468121942E-2</v>
      </c>
      <c r="H6" s="330"/>
      <c r="I6" s="331">
        <f>'0040'!$J$107</f>
        <v>202784.12</v>
      </c>
      <c r="J6" s="331">
        <f>'0040'!$J$109</f>
        <v>188013.02</v>
      </c>
      <c r="K6" s="331">
        <f>'0040'!$J$114</f>
        <v>-9400.65</v>
      </c>
      <c r="L6" s="331">
        <f>'0040'!$J$116</f>
        <v>193383.47</v>
      </c>
      <c r="M6" s="332">
        <f>'0040'!$J$124</f>
        <v>4207.2299999999996</v>
      </c>
      <c r="N6" s="333"/>
      <c r="O6" s="331" cm="1">
        <f t="array" ref="O6:P6">'0040'!E28:F28</f>
        <v>23</v>
      </c>
      <c r="P6" s="309">
        <v>0</v>
      </c>
      <c r="Q6" s="332">
        <f>I6/O6</f>
        <v>8816.7008695652166</v>
      </c>
      <c r="R6" s="332">
        <f>K6/O6</f>
        <v>-408.72391304347826</v>
      </c>
      <c r="S6" s="332">
        <f>L6/O6</f>
        <v>8407.9769565217393</v>
      </c>
      <c r="U6" s="332">
        <f>IF(D6="H",S6,0)</f>
        <v>0</v>
      </c>
      <c r="V6" s="332">
        <f t="shared" ref="V6:V56" si="0">ROUND(IF(E6=1,S6,0),2)</f>
        <v>0</v>
      </c>
      <c r="W6" s="332">
        <f t="shared" ref="W6:W52" si="1">IF(AND(U6=0,V6=0),S6,)</f>
        <v>8407.9769565217393</v>
      </c>
      <c r="Y6" s="783">
        <v>24304.65</v>
      </c>
      <c r="Z6" s="333">
        <f>Y6-M6</f>
        <v>20097.420000000002</v>
      </c>
    </row>
    <row r="7" spans="1:26" x14ac:dyDescent="0.2">
      <c r="A7" s="310">
        <v>2</v>
      </c>
      <c r="B7" s="776" t="s">
        <v>551</v>
      </c>
      <c r="C7" s="326" t="s">
        <v>552</v>
      </c>
      <c r="D7" s="327"/>
      <c r="E7" s="775"/>
      <c r="F7" s="328">
        <f>-K7/I7</f>
        <v>4.8524790884355733E-2</v>
      </c>
      <c r="G7" s="329">
        <f>-K7/J7</f>
        <v>5.0000002990749207E-2</v>
      </c>
      <c r="H7" s="330"/>
      <c r="I7" s="331">
        <f>'0571'!$J$107</f>
        <v>689058.91999999993</v>
      </c>
      <c r="J7" s="331">
        <f>'0571'!$J$109</f>
        <v>668728.75999999989</v>
      </c>
      <c r="K7" s="331">
        <f>'0571'!$J$114</f>
        <v>-33436.44</v>
      </c>
      <c r="L7" s="331">
        <f>'0571'!$J$116</f>
        <v>655622.48</v>
      </c>
      <c r="M7" s="332">
        <f>'0571'!$J$124</f>
        <v>96450.38</v>
      </c>
      <c r="N7" s="333"/>
      <c r="O7" s="331" cm="1">
        <f t="array" ref="O7:P7">'0571'!E28:F28</f>
        <v>82.1</v>
      </c>
      <c r="P7" s="309">
        <v>0</v>
      </c>
      <c r="Q7" s="332">
        <f>I7/O7</f>
        <v>8392.9222898903772</v>
      </c>
      <c r="R7" s="332">
        <f>K7/O7</f>
        <v>-407.26479902557861</v>
      </c>
      <c r="S7" s="332">
        <f>L7/O7</f>
        <v>7985.657490864799</v>
      </c>
      <c r="U7" s="332">
        <f>IF(D7="H",S7,0)</f>
        <v>0</v>
      </c>
      <c r="V7" s="332">
        <f t="shared" ref="V7" si="2">ROUND(IF(E7=1,S7,0),2)</f>
        <v>0</v>
      </c>
      <c r="W7" s="332">
        <f t="shared" ref="W7" si="3">IF(AND(U7=0,V7=0),S7,)</f>
        <v>7985.657490864799</v>
      </c>
      <c r="Y7" s="783">
        <v>43342.64</v>
      </c>
      <c r="Z7" s="333">
        <f t="shared" ref="Z7:Z56" si="4">Y7-M7</f>
        <v>-53107.740000000005</v>
      </c>
    </row>
    <row r="8" spans="1:26" x14ac:dyDescent="0.2">
      <c r="A8" s="310">
        <v>3</v>
      </c>
      <c r="B8" s="334" t="s">
        <v>210</v>
      </c>
      <c r="C8" s="777" t="s">
        <v>211</v>
      </c>
      <c r="D8" s="327">
        <v>0</v>
      </c>
      <c r="E8" s="782">
        <v>1</v>
      </c>
      <c r="F8" s="328">
        <f>-K8/I8</f>
        <v>1.1968674083453694E-2</v>
      </c>
      <c r="G8" s="329">
        <f t="shared" ref="G8:G58" si="5">-K8/J8</f>
        <v>1.2164485783854746E-2</v>
      </c>
      <c r="H8" s="318"/>
      <c r="I8" s="331">
        <f>'0100'!$J$107</f>
        <v>857825.18</v>
      </c>
      <c r="J8" s="331">
        <f>'0100'!$J$109</f>
        <v>844016.77</v>
      </c>
      <c r="K8" s="331">
        <f>'0100'!$J$114</f>
        <v>-10267.030000000001</v>
      </c>
      <c r="L8" s="331">
        <f>'0100'!$J$116</f>
        <v>847558.15</v>
      </c>
      <c r="M8" s="332">
        <f>'0100'!$J$124</f>
        <v>134387.78</v>
      </c>
      <c r="N8" s="318"/>
      <c r="O8" s="589" cm="1">
        <f t="array" ref="O8:P8">'0100'!E28:F28</f>
        <v>27</v>
      </c>
      <c r="P8" s="309">
        <v>0</v>
      </c>
      <c r="Q8" s="332">
        <f>I8/O8</f>
        <v>31771.302962962964</v>
      </c>
      <c r="R8" s="332">
        <f t="shared" ref="R8:R52" si="6">K8/O8</f>
        <v>-380.26037037037037</v>
      </c>
      <c r="S8" s="332">
        <f>L8/O8</f>
        <v>31391.042592592592</v>
      </c>
      <c r="U8" s="332">
        <f>IF(D8="H",S8,0)</f>
        <v>0</v>
      </c>
      <c r="V8" s="332">
        <f t="shared" si="0"/>
        <v>31391.040000000001</v>
      </c>
      <c r="W8" s="332">
        <f t="shared" si="1"/>
        <v>0</v>
      </c>
      <c r="Y8" s="783">
        <v>26847.15</v>
      </c>
      <c r="Z8" s="333">
        <f t="shared" si="4"/>
        <v>-107540.63</v>
      </c>
    </row>
    <row r="9" spans="1:26" x14ac:dyDescent="0.2">
      <c r="A9" s="310">
        <v>4</v>
      </c>
      <c r="B9" s="335" t="s">
        <v>212</v>
      </c>
      <c r="C9" s="326" t="s">
        <v>213</v>
      </c>
      <c r="D9" s="327" t="s">
        <v>432</v>
      </c>
      <c r="E9" s="327" t="s">
        <v>549</v>
      </c>
      <c r="F9" s="328">
        <f>-K9/I9</f>
        <v>5.691307383439469E-3</v>
      </c>
      <c r="G9" s="329">
        <f t="shared" si="5"/>
        <v>5.9087682811561851E-3</v>
      </c>
      <c r="H9" s="330"/>
      <c r="I9" s="331">
        <f>'1461'!$J$107</f>
        <v>7610223.2899999991</v>
      </c>
      <c r="J9" s="331">
        <f>'1461'!$J$109</f>
        <v>7330143.5999999987</v>
      </c>
      <c r="K9" s="331">
        <f>'1461'!$J$114</f>
        <v>-43312.12</v>
      </c>
      <c r="L9" s="331">
        <f>'1461'!$J$116</f>
        <v>7566911.169999999</v>
      </c>
      <c r="M9" s="332">
        <f>'1461'!$J$124</f>
        <v>654512.44999999995</v>
      </c>
      <c r="N9" s="333"/>
      <c r="O9" s="331" cm="1">
        <f t="array" ref="O9:P9">'1461'!E28:F28</f>
        <v>846.2</v>
      </c>
      <c r="P9" s="309">
        <v>0</v>
      </c>
      <c r="Q9" s="332">
        <f>I9/O9</f>
        <v>8993.4097021980597</v>
      </c>
      <c r="R9" s="332">
        <f t="shared" si="6"/>
        <v>-51.184259040415981</v>
      </c>
      <c r="S9" s="332">
        <f t="shared" ref="S9:S52" si="7">L9/O9</f>
        <v>8942.2254431576439</v>
      </c>
      <c r="U9" s="332">
        <f>IF(D9="H",S9,0)</f>
        <v>8942.2254431576439</v>
      </c>
      <c r="V9" s="332">
        <f t="shared" si="0"/>
        <v>0</v>
      </c>
      <c r="W9" s="332">
        <f t="shared" si="1"/>
        <v>0</v>
      </c>
      <c r="Y9" s="783">
        <v>529634.37</v>
      </c>
      <c r="Z9" s="333">
        <f t="shared" si="4"/>
        <v>-124878.07999999996</v>
      </c>
    </row>
    <row r="10" spans="1:26" x14ac:dyDescent="0.2">
      <c r="A10" s="310">
        <v>5</v>
      </c>
      <c r="B10" s="335" t="s">
        <v>214</v>
      </c>
      <c r="C10" s="326" t="s">
        <v>215</v>
      </c>
      <c r="D10" s="327" t="s">
        <v>432</v>
      </c>
      <c r="E10" s="327" t="s">
        <v>549</v>
      </c>
      <c r="F10" s="328">
        <f t="shared" ref="F10:F53" si="8">-K10/I10</f>
        <v>4.2746405627281971E-3</v>
      </c>
      <c r="G10" s="329">
        <f t="shared" si="5"/>
        <v>4.4650037077100819E-3</v>
      </c>
      <c r="H10" s="330"/>
      <c r="I10" s="331">
        <f>'1571'!$J$107</f>
        <v>10450233.030000001</v>
      </c>
      <c r="J10" s="331">
        <f>'1571'!$J$109</f>
        <v>10004692.700000001</v>
      </c>
      <c r="K10" s="331">
        <f>'1571'!$J$114</f>
        <v>-44670.99</v>
      </c>
      <c r="L10" s="331">
        <f>'1571'!$J$116</f>
        <v>10405562.040000001</v>
      </c>
      <c r="M10" s="332">
        <f>'1571'!$J$124</f>
        <v>896456.63</v>
      </c>
      <c r="N10" s="333"/>
      <c r="O10" s="331" cm="1">
        <f t="array" ref="O10:P10">'1571'!E28:F28</f>
        <v>1119.82</v>
      </c>
      <c r="P10" s="309">
        <v>0</v>
      </c>
      <c r="Q10" s="332">
        <f t="shared" ref="Q10:Q52" si="9">I10/O10</f>
        <v>9332.0650015181036</v>
      </c>
      <c r="R10" s="332">
        <f t="shared" si="6"/>
        <v>-39.891223589505458</v>
      </c>
      <c r="S10" s="332">
        <f t="shared" si="7"/>
        <v>9292.1737779285977</v>
      </c>
      <c r="U10" s="332">
        <f t="shared" ref="U10:U56" si="10">IF(D10="H",S10,0)</f>
        <v>9292.1737779285977</v>
      </c>
      <c r="V10" s="332">
        <f t="shared" si="0"/>
        <v>0</v>
      </c>
      <c r="W10" s="332">
        <f t="shared" si="1"/>
        <v>0</v>
      </c>
      <c r="Y10" s="783">
        <v>860856.7</v>
      </c>
      <c r="Z10" s="333">
        <f t="shared" si="4"/>
        <v>-35599.930000000051</v>
      </c>
    </row>
    <row r="11" spans="1:26" x14ac:dyDescent="0.2">
      <c r="A11" s="310">
        <v>6</v>
      </c>
      <c r="B11" s="335" t="s">
        <v>216</v>
      </c>
      <c r="C11" s="326" t="s">
        <v>217</v>
      </c>
      <c r="D11" s="327">
        <v>0</v>
      </c>
      <c r="E11" s="327">
        <v>1</v>
      </c>
      <c r="F11" s="328">
        <f t="shared" si="8"/>
        <v>2.1350786177331764E-2</v>
      </c>
      <c r="G11" s="329">
        <f t="shared" si="5"/>
        <v>2.2177227708495961E-2</v>
      </c>
      <c r="H11" s="330"/>
      <c r="I11" s="331">
        <f>'2521'!$J$107</f>
        <v>1367983.35</v>
      </c>
      <c r="J11" s="331">
        <f>'2521'!$J$109</f>
        <v>1317005.01</v>
      </c>
      <c r="K11" s="331">
        <f>'2521'!$J$114</f>
        <v>-29207.52</v>
      </c>
      <c r="L11" s="331">
        <f>'2521'!$J$116</f>
        <v>1338775.83</v>
      </c>
      <c r="M11" s="332">
        <f>'2521'!$J$124</f>
        <v>112560.37</v>
      </c>
      <c r="N11" s="333"/>
      <c r="O11" s="331" cm="1">
        <f t="array" ref="O11:P11">'2521'!E28:F28</f>
        <v>74.28</v>
      </c>
      <c r="P11" s="309">
        <v>0</v>
      </c>
      <c r="Q11" s="332">
        <f t="shared" si="9"/>
        <v>18416.577140549274</v>
      </c>
      <c r="R11" s="332">
        <f t="shared" si="6"/>
        <v>-393.20840064620353</v>
      </c>
      <c r="S11" s="332">
        <f t="shared" si="7"/>
        <v>18023.368739903071</v>
      </c>
      <c r="U11" s="332">
        <f t="shared" si="10"/>
        <v>0</v>
      </c>
      <c r="V11" s="332">
        <f t="shared" si="0"/>
        <v>18023.37</v>
      </c>
      <c r="W11" s="332">
        <f t="shared" si="1"/>
        <v>0</v>
      </c>
      <c r="Y11" s="783">
        <v>109895.2</v>
      </c>
      <c r="Z11" s="333">
        <f t="shared" si="4"/>
        <v>-2665.1699999999983</v>
      </c>
    </row>
    <row r="12" spans="1:26" x14ac:dyDescent="0.2">
      <c r="A12" s="310">
        <v>7</v>
      </c>
      <c r="B12" s="335" t="s">
        <v>218</v>
      </c>
      <c r="C12" s="326" t="s">
        <v>219</v>
      </c>
      <c r="D12" s="327">
        <v>0</v>
      </c>
      <c r="E12" s="327">
        <v>1</v>
      </c>
      <c r="F12" s="328">
        <f t="shared" si="8"/>
        <v>1.1333984516183941E-2</v>
      </c>
      <c r="G12" s="329">
        <f t="shared" si="5"/>
        <v>1.1954068296125909E-2</v>
      </c>
      <c r="H12" s="330"/>
      <c r="I12" s="331">
        <f>'2531'!$J$107</f>
        <v>1454634.95</v>
      </c>
      <c r="J12" s="331">
        <f>'2531'!$J$109</f>
        <v>1379179.8399999999</v>
      </c>
      <c r="K12" s="331">
        <f>'2531'!$J$114</f>
        <v>-16486.810000000001</v>
      </c>
      <c r="L12" s="331">
        <f>'2531'!$J$116</f>
        <v>1438148.14</v>
      </c>
      <c r="M12" s="332">
        <f>'2531'!$J$124</f>
        <v>99580.83</v>
      </c>
      <c r="N12" s="333"/>
      <c r="O12" s="331" cm="1">
        <f t="array" ref="O12:P12">'2531'!E28:F28</f>
        <v>48</v>
      </c>
      <c r="P12" s="309">
        <v>0</v>
      </c>
      <c r="Q12" s="332">
        <f t="shared" si="9"/>
        <v>30304.894791666666</v>
      </c>
      <c r="R12" s="332">
        <f t="shared" si="6"/>
        <v>-343.47520833333334</v>
      </c>
      <c r="S12" s="332">
        <f t="shared" si="7"/>
        <v>29961.419583333332</v>
      </c>
      <c r="U12" s="332">
        <f t="shared" si="10"/>
        <v>0</v>
      </c>
      <c r="V12" s="332">
        <f t="shared" si="0"/>
        <v>29961.42</v>
      </c>
      <c r="W12" s="332">
        <f t="shared" si="1"/>
        <v>0</v>
      </c>
      <c r="Y12" s="783">
        <v>136643.49</v>
      </c>
      <c r="Z12" s="333">
        <f>Y12-M12</f>
        <v>37062.659999999989</v>
      </c>
    </row>
    <row r="13" spans="1:26" x14ac:dyDescent="0.2">
      <c r="A13" s="310">
        <v>8</v>
      </c>
      <c r="B13" s="779">
        <v>2791</v>
      </c>
      <c r="C13" s="326" t="s">
        <v>221</v>
      </c>
      <c r="D13" s="327">
        <v>0</v>
      </c>
      <c r="E13" s="327">
        <v>1</v>
      </c>
      <c r="F13" s="328">
        <f t="shared" si="8"/>
        <v>1.0101957511431248E-2</v>
      </c>
      <c r="G13" s="329">
        <f t="shared" si="5"/>
        <v>1.0629291149508132E-2</v>
      </c>
      <c r="H13" s="330"/>
      <c r="I13" s="331">
        <f>'2791'!$J$107</f>
        <v>5597608.1800000006</v>
      </c>
      <c r="J13" s="331">
        <f>'2791'!$J$109</f>
        <v>5319903.2000000011</v>
      </c>
      <c r="K13" s="331">
        <f>'2791'!$J$114</f>
        <v>-56546.8</v>
      </c>
      <c r="L13" s="331">
        <f>'2791'!$J$116</f>
        <v>5541061.3800000008</v>
      </c>
      <c r="M13" s="332">
        <f>'2791'!$J$124</f>
        <v>477676.86</v>
      </c>
      <c r="N13" s="333"/>
      <c r="O13" s="331" cm="1">
        <f t="array" ref="O13:P13">'2791'!E28:F28</f>
        <v>173</v>
      </c>
      <c r="P13" s="309">
        <v>0</v>
      </c>
      <c r="Q13" s="332">
        <f t="shared" si="9"/>
        <v>32356.116647398849</v>
      </c>
      <c r="R13" s="332">
        <f t="shared" si="6"/>
        <v>-326.86011560693646</v>
      </c>
      <c r="S13" s="332">
        <f t="shared" si="7"/>
        <v>32029.256531791911</v>
      </c>
      <c r="U13" s="332">
        <f t="shared" si="10"/>
        <v>0</v>
      </c>
      <c r="V13" s="332">
        <f t="shared" si="0"/>
        <v>32029.26</v>
      </c>
      <c r="W13" s="332">
        <f t="shared" si="1"/>
        <v>0</v>
      </c>
      <c r="Y13" s="783">
        <v>454340.22</v>
      </c>
      <c r="Z13" s="333">
        <f t="shared" si="4"/>
        <v>-23336.640000000014</v>
      </c>
    </row>
    <row r="14" spans="1:26" x14ac:dyDescent="0.2">
      <c r="A14" s="310">
        <v>9</v>
      </c>
      <c r="B14" s="335" t="s">
        <v>222</v>
      </c>
      <c r="C14" s="336" t="s">
        <v>223</v>
      </c>
      <c r="D14" s="327">
        <v>0</v>
      </c>
      <c r="E14" s="327" t="s">
        <v>549</v>
      </c>
      <c r="F14" s="328">
        <f t="shared" si="8"/>
        <v>2.1227965548156615E-2</v>
      </c>
      <c r="G14" s="329">
        <f t="shared" si="5"/>
        <v>2.2321428399676494E-2</v>
      </c>
      <c r="H14" s="330"/>
      <c r="I14" s="331">
        <f>'2801'!$J$107</f>
        <v>5192986.57</v>
      </c>
      <c r="J14" s="331">
        <f>'2801'!$J$109</f>
        <v>4938597.03</v>
      </c>
      <c r="K14" s="331">
        <f>'2801'!$J$114</f>
        <v>-110236.54</v>
      </c>
      <c r="L14" s="331">
        <f>'2801'!$J$116</f>
        <v>5082750.03</v>
      </c>
      <c r="M14" s="332">
        <f>'2801'!$J$124</f>
        <v>401410.35</v>
      </c>
      <c r="N14" s="333"/>
      <c r="O14" s="331" cm="1">
        <f t="array" ref="O14:P14">'2801'!E28:F28</f>
        <v>560</v>
      </c>
      <c r="P14" s="309">
        <v>0</v>
      </c>
      <c r="Q14" s="332">
        <f t="shared" si="9"/>
        <v>9273.1903035714295</v>
      </c>
      <c r="R14" s="332">
        <f t="shared" si="6"/>
        <v>-196.85096428571427</v>
      </c>
      <c r="S14" s="332">
        <f t="shared" si="7"/>
        <v>9076.3393392857142</v>
      </c>
      <c r="U14" s="332">
        <f t="shared" si="10"/>
        <v>0</v>
      </c>
      <c r="V14" s="332">
        <f t="shared" si="0"/>
        <v>0</v>
      </c>
      <c r="W14" s="332">
        <f t="shared" si="1"/>
        <v>9076.3393392857142</v>
      </c>
      <c r="Y14" s="783">
        <v>441316.79</v>
      </c>
      <c r="Z14" s="333">
        <f t="shared" si="4"/>
        <v>39906.44</v>
      </c>
    </row>
    <row r="15" spans="1:26" x14ac:dyDescent="0.2">
      <c r="A15" s="310">
        <v>10</v>
      </c>
      <c r="B15" s="335" t="s">
        <v>224</v>
      </c>
      <c r="C15" s="326" t="s">
        <v>225</v>
      </c>
      <c r="D15" s="327" t="s">
        <v>432</v>
      </c>
      <c r="E15" s="327" t="s">
        <v>549</v>
      </c>
      <c r="F15" s="328">
        <f t="shared" si="8"/>
        <v>6.115080539973808E-3</v>
      </c>
      <c r="G15" s="329">
        <f t="shared" si="5"/>
        <v>6.3909195889606512E-3</v>
      </c>
      <c r="H15" s="330"/>
      <c r="I15" s="331">
        <f>'2911'!$J$107</f>
        <v>6899707.9800000004</v>
      </c>
      <c r="J15" s="331">
        <f>'2911'!$J$109</f>
        <v>6601909.0700000003</v>
      </c>
      <c r="K15" s="331">
        <f>'2911'!$J$114</f>
        <v>-42192.27</v>
      </c>
      <c r="L15" s="331">
        <f>'2911'!$J$116</f>
        <v>6857515.7100000009</v>
      </c>
      <c r="M15" s="332">
        <f>'2911'!$J$124</f>
        <v>655584.5</v>
      </c>
      <c r="N15" s="333"/>
      <c r="O15" s="331" cm="1">
        <f t="array" ref="O15:P15">'2911'!E28:F28</f>
        <v>782.36</v>
      </c>
      <c r="P15" s="309">
        <v>0</v>
      </c>
      <c r="Q15" s="332">
        <f t="shared" si="9"/>
        <v>8819.0960427424725</v>
      </c>
      <c r="R15" s="332">
        <f t="shared" si="6"/>
        <v>-53.929482591134509</v>
      </c>
      <c r="S15" s="332">
        <f t="shared" si="7"/>
        <v>8765.1665601513378</v>
      </c>
      <c r="U15" s="332">
        <f t="shared" si="10"/>
        <v>8765.1665601513378</v>
      </c>
      <c r="V15" s="332">
        <f t="shared" si="0"/>
        <v>0</v>
      </c>
      <c r="W15" s="332">
        <f t="shared" si="1"/>
        <v>0</v>
      </c>
      <c r="Y15" s="783">
        <v>511868.89</v>
      </c>
      <c r="Z15" s="333">
        <f t="shared" si="4"/>
        <v>-143715.60999999999</v>
      </c>
    </row>
    <row r="16" spans="1:26" x14ac:dyDescent="0.2">
      <c r="A16" s="310">
        <v>11</v>
      </c>
      <c r="B16" s="335" t="s">
        <v>226</v>
      </c>
      <c r="C16" s="326" t="s">
        <v>227</v>
      </c>
      <c r="D16" s="327">
        <v>0</v>
      </c>
      <c r="E16" s="327">
        <v>1</v>
      </c>
      <c r="F16" s="328">
        <f t="shared" si="8"/>
        <v>7.5442488798255977E-3</v>
      </c>
      <c r="G16" s="329">
        <f t="shared" si="5"/>
        <v>7.8946773545445405E-3</v>
      </c>
      <c r="H16" s="330"/>
      <c r="I16" s="331">
        <f>'2941'!$J$107</f>
        <v>11293928.84</v>
      </c>
      <c r="J16" s="331">
        <f>'2941'!$J$109</f>
        <v>10792614.59</v>
      </c>
      <c r="K16" s="331">
        <f>'2941'!$J$114</f>
        <v>-85204.21</v>
      </c>
      <c r="L16" s="331">
        <f>'2941'!$J$116</f>
        <v>11208724.629999999</v>
      </c>
      <c r="M16" s="332">
        <f>'2941'!$J$124</f>
        <v>1008874.41</v>
      </c>
      <c r="N16" s="333"/>
      <c r="O16" s="331" cm="1">
        <f t="array" ref="O16:P16">'2941'!E28:F28</f>
        <v>381.3</v>
      </c>
      <c r="P16" s="309">
        <v>0</v>
      </c>
      <c r="Q16" s="332">
        <f t="shared" si="9"/>
        <v>29619.535378966691</v>
      </c>
      <c r="R16" s="332">
        <f t="shared" si="6"/>
        <v>-223.45714660372411</v>
      </c>
      <c r="S16" s="332">
        <f t="shared" si="7"/>
        <v>29396.078232362965</v>
      </c>
      <c r="U16" s="332">
        <f t="shared" si="10"/>
        <v>0</v>
      </c>
      <c r="V16" s="332">
        <f t="shared" si="0"/>
        <v>29396.080000000002</v>
      </c>
      <c r="W16" s="332">
        <f t="shared" si="1"/>
        <v>0</v>
      </c>
      <c r="Y16" s="783">
        <v>890760.92</v>
      </c>
      <c r="Z16" s="333">
        <f t="shared" si="4"/>
        <v>-118113.48999999999</v>
      </c>
    </row>
    <row r="17" spans="1:26" x14ac:dyDescent="0.2">
      <c r="A17" s="310">
        <v>12</v>
      </c>
      <c r="B17" s="335" t="s">
        <v>228</v>
      </c>
      <c r="C17" s="336" t="s">
        <v>229</v>
      </c>
      <c r="D17" s="327">
        <v>0</v>
      </c>
      <c r="E17" s="327">
        <v>1</v>
      </c>
      <c r="F17" s="328">
        <f t="shared" si="8"/>
        <v>8.6632659016502595E-3</v>
      </c>
      <c r="G17" s="329">
        <f t="shared" si="5"/>
        <v>9.0846511288140211E-3</v>
      </c>
      <c r="H17" s="330"/>
      <c r="I17" s="331">
        <f>'3083'!$J$107</f>
        <v>6624033.0899999999</v>
      </c>
      <c r="J17" s="331">
        <f>'3083'!$J$109</f>
        <v>6316781.9199999999</v>
      </c>
      <c r="K17" s="331">
        <f>'3083'!$J$114</f>
        <v>-57385.760000000002</v>
      </c>
      <c r="L17" s="331">
        <f>'3083'!$J$116</f>
        <v>6566647.3300000001</v>
      </c>
      <c r="M17" s="332">
        <f>'3083'!$J$124</f>
        <v>613167.34</v>
      </c>
      <c r="N17" s="333"/>
      <c r="O17" s="331" cm="1">
        <f t="array" ref="O17:P17">'3083'!E28:F28</f>
        <v>179</v>
      </c>
      <c r="P17" s="309">
        <v>0</v>
      </c>
      <c r="Q17" s="332">
        <f t="shared" si="9"/>
        <v>37005.771452513967</v>
      </c>
      <c r="R17" s="332">
        <f t="shared" si="6"/>
        <v>-320.59083798882682</v>
      </c>
      <c r="S17" s="332">
        <f t="shared" si="7"/>
        <v>36685.180614525139</v>
      </c>
      <c r="U17" s="332">
        <f t="shared" si="10"/>
        <v>0</v>
      </c>
      <c r="V17" s="332">
        <f t="shared" si="0"/>
        <v>36685.18</v>
      </c>
      <c r="W17" s="332">
        <f t="shared" si="1"/>
        <v>0</v>
      </c>
      <c r="Y17" s="783">
        <v>504744.96000000002</v>
      </c>
      <c r="Z17" s="333">
        <f t="shared" si="4"/>
        <v>-108422.37999999995</v>
      </c>
    </row>
    <row r="18" spans="1:26" x14ac:dyDescent="0.2">
      <c r="A18" s="310">
        <v>13</v>
      </c>
      <c r="B18" s="335" t="s">
        <v>230</v>
      </c>
      <c r="C18" s="336" t="s">
        <v>231</v>
      </c>
      <c r="D18" s="337">
        <v>0</v>
      </c>
      <c r="E18" s="337">
        <v>1</v>
      </c>
      <c r="F18" s="328">
        <f>-K18/I18</f>
        <v>2.9702857156910525E-2</v>
      </c>
      <c r="G18" s="329">
        <f t="shared" si="5"/>
        <v>3.0565624932776255E-2</v>
      </c>
      <c r="H18" s="330"/>
      <c r="I18" s="331">
        <f>'3345'!$J$107</f>
        <v>1138516.3999999999</v>
      </c>
      <c r="J18" s="331">
        <f>'3345'!$J$109</f>
        <v>1106379.7999999998</v>
      </c>
      <c r="K18" s="331">
        <f>'3345'!$J$114</f>
        <v>-33817.19</v>
      </c>
      <c r="L18" s="331">
        <f>'3345'!$J$116</f>
        <v>1104699.21</v>
      </c>
      <c r="M18" s="332">
        <f>'3345'!$J$124</f>
        <v>91480.28</v>
      </c>
      <c r="N18" s="333"/>
      <c r="O18" s="331" cm="1">
        <f t="array" ref="O18:P18">'3345'!E28:F28</f>
        <v>82</v>
      </c>
      <c r="P18" s="309">
        <v>0</v>
      </c>
      <c r="Q18" s="332">
        <f t="shared" si="9"/>
        <v>13884.346341463413</v>
      </c>
      <c r="R18" s="332">
        <f t="shared" si="6"/>
        <v>-412.40475609756101</v>
      </c>
      <c r="S18" s="332">
        <f t="shared" si="7"/>
        <v>13471.941585365854</v>
      </c>
      <c r="U18" s="332">
        <f t="shared" si="10"/>
        <v>0</v>
      </c>
      <c r="V18" s="332">
        <f t="shared" si="0"/>
        <v>13471.94</v>
      </c>
      <c r="W18" s="332">
        <f t="shared" si="1"/>
        <v>0</v>
      </c>
      <c r="Y18" s="783">
        <v>93532.75</v>
      </c>
      <c r="Z18" s="333">
        <f t="shared" si="4"/>
        <v>2052.4700000000012</v>
      </c>
    </row>
    <row r="19" spans="1:26" x14ac:dyDescent="0.2">
      <c r="A19" s="310">
        <v>14</v>
      </c>
      <c r="B19" s="335">
        <v>3362</v>
      </c>
      <c r="C19" s="336" t="s">
        <v>310</v>
      </c>
      <c r="D19" s="337"/>
      <c r="E19" s="337"/>
      <c r="F19" s="328">
        <f>-K19/I19</f>
        <v>4.9525785990747945E-2</v>
      </c>
      <c r="G19" s="329">
        <f t="shared" ref="G19" si="11">-K19/J19</f>
        <v>4.9999998266444495E-2</v>
      </c>
      <c r="H19" s="330"/>
      <c r="I19" s="331">
        <f>'3362'!$J$107</f>
        <v>1455931.26</v>
      </c>
      <c r="J19" s="331">
        <f>'3362'!$J$109</f>
        <v>1442122.85</v>
      </c>
      <c r="K19" s="331">
        <f>'3362'!$J$114</f>
        <v>-72106.14</v>
      </c>
      <c r="L19" s="331">
        <f>'3362'!$J$116</f>
        <v>1383825.12</v>
      </c>
      <c r="M19" s="332">
        <f>'3362'!$J$124</f>
        <v>154690.62</v>
      </c>
      <c r="N19" s="333"/>
      <c r="O19" s="331" cm="1">
        <f t="array" ref="O19:P19">'3362'!E28:F28</f>
        <v>160</v>
      </c>
      <c r="P19" s="309">
        <v>0</v>
      </c>
      <c r="Q19" s="332">
        <f t="shared" ref="Q19" si="12">I19/O19</f>
        <v>9099.5703749999993</v>
      </c>
      <c r="R19" s="332">
        <f t="shared" ref="R19" si="13">K19/O19</f>
        <v>-450.66337499999997</v>
      </c>
      <c r="S19" s="332">
        <f t="shared" ref="S19" si="14">L19/O19</f>
        <v>8648.9070000000011</v>
      </c>
      <c r="U19" s="332">
        <f t="shared" ref="U19" si="15">IF(D19="H",S19,0)</f>
        <v>0</v>
      </c>
      <c r="V19" s="332">
        <f t="shared" ref="V19" si="16">ROUND(IF(E19=1,S19,0),2)</f>
        <v>0</v>
      </c>
      <c r="W19" s="332">
        <f t="shared" ref="W19" si="17">IF(AND(U19=0,V19=0),S19,)</f>
        <v>8648.9070000000011</v>
      </c>
      <c r="Y19" s="783">
        <v>152593</v>
      </c>
      <c r="Z19" s="333">
        <f t="shared" si="4"/>
        <v>-2097.6199999999953</v>
      </c>
    </row>
    <row r="20" spans="1:26" x14ac:dyDescent="0.2">
      <c r="A20" s="310">
        <v>15</v>
      </c>
      <c r="B20" s="335" t="s">
        <v>232</v>
      </c>
      <c r="C20" s="326" t="s">
        <v>233</v>
      </c>
      <c r="D20" s="327" t="s">
        <v>432</v>
      </c>
      <c r="E20" s="327" t="s">
        <v>549</v>
      </c>
      <c r="F20" s="328">
        <f t="shared" si="8"/>
        <v>4.5445770448601115E-3</v>
      </c>
      <c r="G20" s="329">
        <f t="shared" si="5"/>
        <v>4.7729049811337382E-3</v>
      </c>
      <c r="H20" s="330"/>
      <c r="I20" s="331">
        <f>'3381'!$J$107</f>
        <v>9237911.3800000008</v>
      </c>
      <c r="J20" s="331">
        <f>'3381'!$J$109</f>
        <v>8795984.870000001</v>
      </c>
      <c r="K20" s="331">
        <f>'3381'!$J$114</f>
        <v>-41982.400000000001</v>
      </c>
      <c r="L20" s="331">
        <f>'3381'!$J$116</f>
        <v>9195928.9800000004</v>
      </c>
      <c r="M20" s="332">
        <f>'3381'!$J$124</f>
        <v>771145.22</v>
      </c>
      <c r="N20" s="333"/>
      <c r="O20" s="331" cm="1">
        <f t="array" ref="O20:P20">'3381'!E28:F28</f>
        <v>1047.58</v>
      </c>
      <c r="P20" s="309">
        <v>0</v>
      </c>
      <c r="Q20" s="332">
        <f t="shared" si="9"/>
        <v>8818.3350006682085</v>
      </c>
      <c r="R20" s="332">
        <f t="shared" si="6"/>
        <v>-40.075602817923219</v>
      </c>
      <c r="S20" s="332">
        <f t="shared" si="7"/>
        <v>8778.2593978502846</v>
      </c>
      <c r="U20" s="332">
        <f t="shared" si="10"/>
        <v>8778.2593978502846</v>
      </c>
      <c r="V20" s="332">
        <f t="shared" si="0"/>
        <v>0</v>
      </c>
      <c r="W20" s="332">
        <f t="shared" si="1"/>
        <v>0</v>
      </c>
      <c r="Y20" s="783">
        <v>765891.06</v>
      </c>
      <c r="Z20" s="333">
        <f t="shared" si="4"/>
        <v>-5254.1599999999162</v>
      </c>
    </row>
    <row r="21" spans="1:26" x14ac:dyDescent="0.2">
      <c r="A21" s="310">
        <v>16</v>
      </c>
      <c r="B21" s="335" t="s">
        <v>234</v>
      </c>
      <c r="C21" s="326" t="s">
        <v>235</v>
      </c>
      <c r="D21" s="327">
        <v>0</v>
      </c>
      <c r="E21" s="327" t="s">
        <v>549</v>
      </c>
      <c r="F21" s="328">
        <f t="shared" si="8"/>
        <v>4.4017315520987157E-2</v>
      </c>
      <c r="G21" s="329">
        <f t="shared" si="5"/>
        <v>4.6122056183561362E-2</v>
      </c>
      <c r="H21" s="330"/>
      <c r="I21" s="331">
        <f>'3382'!$J$107</f>
        <v>2511252.1900000004</v>
      </c>
      <c r="J21" s="331">
        <f>'3382'!$J$109</f>
        <v>2396653.3400000003</v>
      </c>
      <c r="K21" s="331">
        <f>'3382'!$J$114</f>
        <v>-110538.58</v>
      </c>
      <c r="L21" s="331">
        <f>'3382'!$J$116</f>
        <v>2400713.6100000003</v>
      </c>
      <c r="M21" s="332">
        <f>'3382'!$J$124</f>
        <v>200075</v>
      </c>
      <c r="N21" s="333"/>
      <c r="O21" s="331" cm="1">
        <f t="array" ref="O21:P21">'3382'!E28:F28</f>
        <v>271.02</v>
      </c>
      <c r="P21" s="309">
        <v>0</v>
      </c>
      <c r="Q21" s="332">
        <f t="shared" si="9"/>
        <v>9265.9294148033368</v>
      </c>
      <c r="R21" s="332">
        <f t="shared" si="6"/>
        <v>-407.86133864659439</v>
      </c>
      <c r="S21" s="332">
        <f t="shared" si="7"/>
        <v>8858.0680761567437</v>
      </c>
      <c r="U21" s="332">
        <f t="shared" si="10"/>
        <v>0</v>
      </c>
      <c r="V21" s="332">
        <f t="shared" si="0"/>
        <v>0</v>
      </c>
      <c r="W21" s="332">
        <f t="shared" si="1"/>
        <v>8858.0680761567437</v>
      </c>
      <c r="Y21" s="783">
        <v>198960.42</v>
      </c>
      <c r="Z21" s="333">
        <f t="shared" si="4"/>
        <v>-1114.5799999999872</v>
      </c>
    </row>
    <row r="22" spans="1:26" x14ac:dyDescent="0.2">
      <c r="A22" s="310">
        <v>17</v>
      </c>
      <c r="B22" s="335" t="s">
        <v>236</v>
      </c>
      <c r="C22" s="338" t="s">
        <v>237</v>
      </c>
      <c r="D22" s="327">
        <v>0</v>
      </c>
      <c r="E22" s="327"/>
      <c r="F22" s="328"/>
      <c r="G22" s="329"/>
      <c r="H22" s="330"/>
      <c r="I22" s="331"/>
      <c r="J22" s="331"/>
      <c r="K22" s="331"/>
      <c r="L22" s="331"/>
      <c r="M22" s="332"/>
      <c r="N22" s="333"/>
      <c r="O22" s="331"/>
      <c r="Q22" s="332"/>
      <c r="R22" s="332"/>
      <c r="S22" s="332"/>
      <c r="U22" s="332"/>
      <c r="V22" s="332"/>
      <c r="W22" s="332"/>
      <c r="Y22" s="783"/>
      <c r="Z22" s="333">
        <f t="shared" si="4"/>
        <v>0</v>
      </c>
    </row>
    <row r="23" spans="1:26" x14ac:dyDescent="0.2">
      <c r="A23" s="310">
        <v>18</v>
      </c>
      <c r="B23" s="335" t="s">
        <v>238</v>
      </c>
      <c r="C23" s="326" t="s">
        <v>239</v>
      </c>
      <c r="D23" s="327">
        <v>0</v>
      </c>
      <c r="E23" s="327" t="s">
        <v>549</v>
      </c>
      <c r="F23" s="328">
        <f t="shared" si="8"/>
        <v>4.758650729138135E-2</v>
      </c>
      <c r="G23" s="329">
        <f t="shared" si="5"/>
        <v>5.0000002682637365E-2</v>
      </c>
      <c r="H23" s="330"/>
      <c r="I23" s="331">
        <f>'3394'!$J$107</f>
        <v>1762530.91</v>
      </c>
      <c r="J23" s="331">
        <f>'3394'!$J$109</f>
        <v>1677453.71</v>
      </c>
      <c r="K23" s="331">
        <f>'3394'!$J$114</f>
        <v>-83872.69</v>
      </c>
      <c r="L23" s="331">
        <f>'3394'!$J$116</f>
        <v>1678658.22</v>
      </c>
      <c r="M23" s="332">
        <f>'3394'!$J$124</f>
        <v>143972.29</v>
      </c>
      <c r="N23" s="333"/>
      <c r="O23" s="331" cm="1">
        <f t="array" ref="O23:P23">'3394'!E28:F28</f>
        <v>193</v>
      </c>
      <c r="P23" s="309">
        <v>0</v>
      </c>
      <c r="Q23" s="332">
        <f t="shared" si="9"/>
        <v>9132.2845077720194</v>
      </c>
      <c r="R23" s="332">
        <f t="shared" si="6"/>
        <v>-434.57352331606216</v>
      </c>
      <c r="S23" s="332">
        <f t="shared" si="7"/>
        <v>8697.7109844559582</v>
      </c>
      <c r="U23" s="332">
        <f t="shared" si="10"/>
        <v>0</v>
      </c>
      <c r="V23" s="332">
        <f t="shared" si="0"/>
        <v>0</v>
      </c>
      <c r="W23" s="332">
        <f t="shared" si="1"/>
        <v>8697.7109844559582</v>
      </c>
      <c r="Y23" s="783">
        <v>136608.79999999999</v>
      </c>
      <c r="Z23" s="333">
        <f t="shared" si="4"/>
        <v>-7363.4900000000198</v>
      </c>
    </row>
    <row r="24" spans="1:26" x14ac:dyDescent="0.2">
      <c r="A24" s="310">
        <v>19</v>
      </c>
      <c r="B24" s="335" t="s">
        <v>240</v>
      </c>
      <c r="C24" s="336" t="s">
        <v>241</v>
      </c>
      <c r="D24" s="337">
        <v>0</v>
      </c>
      <c r="E24" s="337" t="s">
        <v>549</v>
      </c>
      <c r="F24" s="328">
        <f t="shared" si="8"/>
        <v>2.2035083303565295E-2</v>
      </c>
      <c r="G24" s="329">
        <f t="shared" si="5"/>
        <v>2.3105361221254818E-2</v>
      </c>
      <c r="H24" s="330"/>
      <c r="I24" s="331">
        <f>'3395'!$J$107</f>
        <v>4773044.8100000005</v>
      </c>
      <c r="J24" s="331">
        <f>'3395'!$J$109</f>
        <v>4551949.6100000003</v>
      </c>
      <c r="K24" s="331">
        <f>'3395'!$J$114</f>
        <v>-105174.44</v>
      </c>
      <c r="L24" s="331">
        <f>'3395'!$J$116</f>
        <v>4667870.37</v>
      </c>
      <c r="M24" s="332">
        <f>'3395'!$J$124</f>
        <v>420003.16</v>
      </c>
      <c r="N24" s="333"/>
      <c r="O24" s="331" cm="1">
        <f t="array" ref="O24:P24">'3395'!E28:F28</f>
        <v>541</v>
      </c>
      <c r="P24" s="309">
        <v>0</v>
      </c>
      <c r="Q24" s="332">
        <f t="shared" si="9"/>
        <v>8822.6336598890957</v>
      </c>
      <c r="R24" s="332">
        <f t="shared" si="6"/>
        <v>-194.40746765249537</v>
      </c>
      <c r="S24" s="332">
        <f t="shared" si="7"/>
        <v>8628.2261922365997</v>
      </c>
      <c r="U24" s="332">
        <f t="shared" si="10"/>
        <v>0</v>
      </c>
      <c r="V24" s="332">
        <f t="shared" si="0"/>
        <v>0</v>
      </c>
      <c r="W24" s="332">
        <f t="shared" si="1"/>
        <v>8628.2261922365997</v>
      </c>
      <c r="Y24" s="783">
        <v>366702.21</v>
      </c>
      <c r="Z24" s="333">
        <f t="shared" si="4"/>
        <v>-53300.949999999953</v>
      </c>
    </row>
    <row r="25" spans="1:26" x14ac:dyDescent="0.2">
      <c r="A25" s="310">
        <v>20</v>
      </c>
      <c r="B25" s="335" t="s">
        <v>242</v>
      </c>
      <c r="C25" s="336" t="s">
        <v>243</v>
      </c>
      <c r="D25" s="337" t="s">
        <v>432</v>
      </c>
      <c r="E25" s="337" t="s">
        <v>549</v>
      </c>
      <c r="F25" s="328">
        <f t="shared" si="8"/>
        <v>6.6626634796715196E-3</v>
      </c>
      <c r="G25" s="329">
        <f t="shared" si="5"/>
        <v>6.9698060519912085E-3</v>
      </c>
      <c r="H25" s="330"/>
      <c r="I25" s="331">
        <f>'3396'!$J$107</f>
        <v>6383597.21</v>
      </c>
      <c r="J25" s="331">
        <f>'3396'!$J$109</f>
        <v>6102287.4500000002</v>
      </c>
      <c r="K25" s="331">
        <f>'3396'!$J$114</f>
        <v>-42531.76</v>
      </c>
      <c r="L25" s="331">
        <f>'3396'!$J$116</f>
        <v>6341065.4500000002</v>
      </c>
      <c r="M25" s="332">
        <f>'3396'!$J$124</f>
        <v>547659.96</v>
      </c>
      <c r="N25" s="333"/>
      <c r="O25" s="331" cm="1">
        <f t="array" ref="O25:P25">'3396'!E28:F28</f>
        <v>717.38</v>
      </c>
      <c r="P25" s="309">
        <v>0</v>
      </c>
      <c r="Q25" s="332">
        <f t="shared" si="9"/>
        <v>8898.4878446569455</v>
      </c>
      <c r="R25" s="332">
        <f t="shared" si="6"/>
        <v>-59.287629986896768</v>
      </c>
      <c r="S25" s="332">
        <f t="shared" si="7"/>
        <v>8839.2002146700488</v>
      </c>
      <c r="U25" s="332">
        <f t="shared" si="10"/>
        <v>8839.2002146700488</v>
      </c>
      <c r="V25" s="332">
        <f t="shared" si="0"/>
        <v>0</v>
      </c>
      <c r="W25" s="332">
        <f t="shared" si="1"/>
        <v>0</v>
      </c>
      <c r="Y25" s="783">
        <v>524600.61</v>
      </c>
      <c r="Z25" s="333">
        <f t="shared" si="4"/>
        <v>-23059.349999999977</v>
      </c>
    </row>
    <row r="26" spans="1:26" x14ac:dyDescent="0.2">
      <c r="A26" s="310">
        <v>21</v>
      </c>
      <c r="B26" s="335" t="s">
        <v>244</v>
      </c>
      <c r="C26" s="326" t="s">
        <v>245</v>
      </c>
      <c r="D26" s="327">
        <v>0</v>
      </c>
      <c r="E26" s="327" t="s">
        <v>549</v>
      </c>
      <c r="F26" s="328">
        <f t="shared" si="8"/>
        <v>4.7501081864345117E-2</v>
      </c>
      <c r="G26" s="329">
        <f t="shared" si="5"/>
        <v>4.9999995275758019E-2</v>
      </c>
      <c r="H26" s="330"/>
      <c r="I26" s="331">
        <f>'3398'!$J$107</f>
        <v>891239.28</v>
      </c>
      <c r="J26" s="331">
        <f>'3398'!$J$109</f>
        <v>846696.68</v>
      </c>
      <c r="K26" s="331">
        <f>'3398'!$J$114</f>
        <v>-42334.83</v>
      </c>
      <c r="L26" s="331">
        <f>'3398'!$J$116</f>
        <v>848904.45000000007</v>
      </c>
      <c r="M26" s="332">
        <f>'3398'!$J$124</f>
        <v>61462.22</v>
      </c>
      <c r="N26" s="333"/>
      <c r="O26" s="331" cm="1">
        <f t="array" ref="O26:P26">'3398'!E28:F28</f>
        <v>99.779999999999987</v>
      </c>
      <c r="P26" s="309">
        <v>0</v>
      </c>
      <c r="Q26" s="332">
        <f t="shared" si="9"/>
        <v>8932.0432952495503</v>
      </c>
      <c r="R26" s="332">
        <f t="shared" si="6"/>
        <v>-424.28171978352384</v>
      </c>
      <c r="S26" s="332">
        <f t="shared" si="7"/>
        <v>8507.7615754660274</v>
      </c>
      <c r="U26" s="332">
        <f t="shared" si="10"/>
        <v>0</v>
      </c>
      <c r="V26" s="332">
        <f t="shared" si="0"/>
        <v>0</v>
      </c>
      <c r="W26" s="332">
        <f t="shared" si="1"/>
        <v>8507.7615754660274</v>
      </c>
      <c r="Y26" s="783">
        <v>78174.02</v>
      </c>
      <c r="Z26" s="333">
        <f t="shared" si="4"/>
        <v>16711.800000000003</v>
      </c>
    </row>
    <row r="27" spans="1:26" x14ac:dyDescent="0.2">
      <c r="A27" s="310">
        <v>22</v>
      </c>
      <c r="B27" s="335" t="s">
        <v>246</v>
      </c>
      <c r="C27" s="326" t="s">
        <v>247</v>
      </c>
      <c r="D27" s="327">
        <v>0</v>
      </c>
      <c r="E27" s="327">
        <v>1</v>
      </c>
      <c r="F27" s="328">
        <f t="shared" si="8"/>
        <v>3.1548982758559732E-2</v>
      </c>
      <c r="G27" s="329">
        <f t="shared" si="5"/>
        <v>3.2596037099130011E-2</v>
      </c>
      <c r="H27" s="330"/>
      <c r="I27" s="331">
        <f>'3400'!$J$107</f>
        <v>1165255.32</v>
      </c>
      <c r="J27" s="331">
        <f>'3400'!$J$109</f>
        <v>1127824.83</v>
      </c>
      <c r="K27" s="331">
        <f>'3400'!$J$114</f>
        <v>-36762.620000000003</v>
      </c>
      <c r="L27" s="331">
        <f>'3400'!$J$116</f>
        <v>1128492.7</v>
      </c>
      <c r="M27" s="332">
        <f>'3400'!$J$124</f>
        <v>89165.9</v>
      </c>
      <c r="N27" s="333"/>
      <c r="O27" s="331" cm="1">
        <f t="array" ref="O27:P27">'3400'!E28:F28</f>
        <v>91.88</v>
      </c>
      <c r="P27" s="309">
        <v>0</v>
      </c>
      <c r="Q27" s="332">
        <f t="shared" si="9"/>
        <v>12682.360905528953</v>
      </c>
      <c r="R27" s="332">
        <f t="shared" si="6"/>
        <v>-400.11558554636485</v>
      </c>
      <c r="S27" s="332">
        <f t="shared" si="7"/>
        <v>12282.245319982587</v>
      </c>
      <c r="U27" s="332">
        <f t="shared" si="10"/>
        <v>0</v>
      </c>
      <c r="V27" s="332">
        <f t="shared" si="0"/>
        <v>12282.25</v>
      </c>
      <c r="W27" s="332">
        <f t="shared" si="1"/>
        <v>0</v>
      </c>
      <c r="Y27" s="783">
        <v>100055.2</v>
      </c>
      <c r="Z27" s="333">
        <f t="shared" si="4"/>
        <v>10889.300000000003</v>
      </c>
    </row>
    <row r="28" spans="1:26" x14ac:dyDescent="0.2">
      <c r="A28" s="310">
        <v>23</v>
      </c>
      <c r="B28" s="335" t="s">
        <v>248</v>
      </c>
      <c r="C28" s="326" t="s">
        <v>249</v>
      </c>
      <c r="D28" s="327">
        <v>0</v>
      </c>
      <c r="E28" s="327">
        <v>0</v>
      </c>
      <c r="F28" s="328">
        <f t="shared" si="8"/>
        <v>3.0691486892671857E-2</v>
      </c>
      <c r="G28" s="329">
        <f t="shared" si="5"/>
        <v>3.2313102485837714E-2</v>
      </c>
      <c r="H28" s="330"/>
      <c r="I28" s="331">
        <f>'3401'!$J$107</f>
        <v>3345270.64</v>
      </c>
      <c r="J28" s="331">
        <f>'3401'!$J$109</f>
        <v>3177390.04</v>
      </c>
      <c r="K28" s="331">
        <f>'3401'!$J$114</f>
        <v>-102671.33</v>
      </c>
      <c r="L28" s="331">
        <f>'3401'!$J$116</f>
        <v>3242599.31</v>
      </c>
      <c r="M28" s="332">
        <f>'3401'!$J$124</f>
        <v>225219.95</v>
      </c>
      <c r="N28" s="333"/>
      <c r="O28" s="331" cm="1">
        <f t="array" ref="O28:P28">'3401'!E28:F28</f>
        <v>386.84000000000003</v>
      </c>
      <c r="P28" s="309">
        <v>0</v>
      </c>
      <c r="Q28" s="332">
        <f t="shared" si="9"/>
        <v>8647.6854513493945</v>
      </c>
      <c r="R28" s="332">
        <f t="shared" si="6"/>
        <v>-265.41032468203906</v>
      </c>
      <c r="S28" s="332">
        <f t="shared" si="7"/>
        <v>8382.2751266673549</v>
      </c>
      <c r="U28" s="332">
        <f t="shared" si="10"/>
        <v>0</v>
      </c>
      <c r="V28" s="332">
        <f t="shared" si="0"/>
        <v>0</v>
      </c>
      <c r="W28" s="332">
        <f t="shared" si="1"/>
        <v>8382.2751266673549</v>
      </c>
      <c r="Y28" s="783">
        <v>307696.18</v>
      </c>
      <c r="Z28" s="333">
        <f t="shared" si="4"/>
        <v>82476.229999999981</v>
      </c>
    </row>
    <row r="29" spans="1:26" x14ac:dyDescent="0.2">
      <c r="A29" s="310">
        <v>24</v>
      </c>
      <c r="B29" s="335" t="s">
        <v>250</v>
      </c>
      <c r="C29" s="326" t="s">
        <v>251</v>
      </c>
      <c r="D29" s="327" t="s">
        <v>432</v>
      </c>
      <c r="E29" s="327" t="s">
        <v>549</v>
      </c>
      <c r="F29" s="328">
        <f t="shared" si="8"/>
        <v>1.2160179605071725E-2</v>
      </c>
      <c r="G29" s="329">
        <f t="shared" si="5"/>
        <v>1.2770738446074058E-2</v>
      </c>
      <c r="H29" s="330"/>
      <c r="I29" s="331">
        <f>'3413'!$J$107</f>
        <v>3525940.5200000005</v>
      </c>
      <c r="J29" s="331">
        <f>'3413'!$J$109</f>
        <v>3357368.1100000003</v>
      </c>
      <c r="K29" s="331">
        <f>'3413'!$J$114</f>
        <v>-42876.07</v>
      </c>
      <c r="L29" s="331">
        <f>'3413'!$J$116</f>
        <v>3483064.4500000007</v>
      </c>
      <c r="M29" s="332">
        <f>'3413'!$J$124</f>
        <v>295695.63</v>
      </c>
      <c r="N29" s="333"/>
      <c r="O29" s="331" cm="1">
        <f t="array" ref="O29:P29">'3413'!E28:F28</f>
        <v>391.52000000000004</v>
      </c>
      <c r="P29" s="309">
        <v>0</v>
      </c>
      <c r="Q29" s="332">
        <f t="shared" si="9"/>
        <v>9005.7737024928483</v>
      </c>
      <c r="R29" s="332">
        <f t="shared" si="6"/>
        <v>-109.51182570494481</v>
      </c>
      <c r="S29" s="332">
        <f t="shared" si="7"/>
        <v>8896.2618767879048</v>
      </c>
      <c r="U29" s="332">
        <f t="shared" si="10"/>
        <v>8896.2618767879048</v>
      </c>
      <c r="V29" s="332">
        <f t="shared" si="0"/>
        <v>0</v>
      </c>
      <c r="W29" s="332">
        <f t="shared" si="1"/>
        <v>0</v>
      </c>
      <c r="Y29" s="783">
        <v>287180.12</v>
      </c>
      <c r="Z29" s="333">
        <f t="shared" si="4"/>
        <v>-8515.5100000000093</v>
      </c>
    </row>
    <row r="30" spans="1:26" x14ac:dyDescent="0.2">
      <c r="A30" s="310">
        <v>25</v>
      </c>
      <c r="B30" s="335" t="s">
        <v>252</v>
      </c>
      <c r="C30" s="326" t="s">
        <v>253</v>
      </c>
      <c r="D30" s="327">
        <v>0</v>
      </c>
      <c r="E30" s="327" t="s">
        <v>549</v>
      </c>
      <c r="F30" s="328">
        <f t="shared" si="8"/>
        <v>2.1262234232129595E-2</v>
      </c>
      <c r="G30" s="329">
        <f t="shared" si="5"/>
        <v>2.2147414249878275E-2</v>
      </c>
      <c r="H30" s="330"/>
      <c r="I30" s="331">
        <f>'3421'!$J$107</f>
        <v>4697987.9400000004</v>
      </c>
      <c r="J30" s="331">
        <f>'3421'!$J$109</f>
        <v>4510220.4200000009</v>
      </c>
      <c r="K30" s="331">
        <f>'3421'!$J$114</f>
        <v>-99889.72</v>
      </c>
      <c r="L30" s="331">
        <f>'3421'!$J$116</f>
        <v>4598098.2200000007</v>
      </c>
      <c r="M30" s="332">
        <f>'3421'!$J$124</f>
        <v>434928.01</v>
      </c>
      <c r="N30" s="333"/>
      <c r="O30" s="331" cm="1">
        <f t="array" ref="O30:P30">'3421'!E28:F28</f>
        <v>564.40000000000009</v>
      </c>
      <c r="P30" s="309">
        <v>0</v>
      </c>
      <c r="Q30" s="332">
        <f t="shared" si="9"/>
        <v>8323.8624025513818</v>
      </c>
      <c r="R30" s="332">
        <f t="shared" si="6"/>
        <v>-176.98391211906446</v>
      </c>
      <c r="S30" s="332">
        <f t="shared" si="7"/>
        <v>8146.8784904323174</v>
      </c>
      <c r="U30" s="332">
        <f t="shared" si="10"/>
        <v>0</v>
      </c>
      <c r="V30" s="332">
        <f t="shared" si="0"/>
        <v>0</v>
      </c>
      <c r="W30" s="332">
        <f t="shared" si="1"/>
        <v>8146.8784904323174</v>
      </c>
      <c r="Y30" s="783">
        <v>365620.49</v>
      </c>
      <c r="Z30" s="333">
        <f t="shared" si="4"/>
        <v>-69307.520000000019</v>
      </c>
    </row>
    <row r="31" spans="1:26" x14ac:dyDescent="0.2">
      <c r="A31" s="310">
        <v>26</v>
      </c>
      <c r="B31" s="335" t="s">
        <v>254</v>
      </c>
      <c r="C31" s="326" t="s">
        <v>255</v>
      </c>
      <c r="D31" s="327" t="s">
        <v>432</v>
      </c>
      <c r="E31" s="327" t="s">
        <v>549</v>
      </c>
      <c r="F31" s="328">
        <f t="shared" si="8"/>
        <v>4.7374413149761201E-3</v>
      </c>
      <c r="G31" s="329">
        <f t="shared" si="5"/>
        <v>4.9800798340338698E-3</v>
      </c>
      <c r="H31" s="330"/>
      <c r="I31" s="331">
        <f>'3431'!$J$107</f>
        <v>8841821.4000000004</v>
      </c>
      <c r="J31" s="331">
        <f>'3431'!$J$109</f>
        <v>8411031.8300000001</v>
      </c>
      <c r="K31" s="331">
        <f>'3431'!$J$114</f>
        <v>-41887.61</v>
      </c>
      <c r="L31" s="331">
        <f>'3431'!$J$116</f>
        <v>8799933.790000001</v>
      </c>
      <c r="M31" s="332">
        <f>'3431'!$J$124</f>
        <v>739014.58</v>
      </c>
      <c r="N31" s="333"/>
      <c r="O31" s="331" cm="1">
        <f t="array" ref="O31:P31">'3431'!E28:F28</f>
        <v>1003.9999999999999</v>
      </c>
      <c r="P31" s="309">
        <v>0</v>
      </c>
      <c r="Q31" s="332">
        <f t="shared" si="9"/>
        <v>8806.5950199203198</v>
      </c>
      <c r="R31" s="332">
        <f t="shared" si="6"/>
        <v>-41.720727091633471</v>
      </c>
      <c r="S31" s="332">
        <f t="shared" si="7"/>
        <v>8764.8742928286865</v>
      </c>
      <c r="U31" s="332">
        <f t="shared" si="10"/>
        <v>8764.8742928286865</v>
      </c>
      <c r="V31" s="332">
        <f t="shared" si="0"/>
        <v>0</v>
      </c>
      <c r="W31" s="332">
        <f t="shared" si="1"/>
        <v>0</v>
      </c>
      <c r="Y31" s="783">
        <v>725549.97</v>
      </c>
      <c r="Z31" s="333">
        <f t="shared" si="4"/>
        <v>-13464.609999999986</v>
      </c>
    </row>
    <row r="32" spans="1:26" x14ac:dyDescent="0.2">
      <c r="A32" s="310">
        <v>27</v>
      </c>
      <c r="B32" s="335">
        <v>3441</v>
      </c>
      <c r="C32" s="336" t="s">
        <v>256</v>
      </c>
      <c r="D32" s="337" t="s">
        <v>432</v>
      </c>
      <c r="E32" s="337" t="s">
        <v>549</v>
      </c>
      <c r="F32" s="328">
        <f t="shared" si="8"/>
        <v>9.1083165687252249E-3</v>
      </c>
      <c r="G32" s="329">
        <f t="shared" si="5"/>
        <v>9.5456277317431549E-3</v>
      </c>
      <c r="H32" s="330"/>
      <c r="I32" s="331">
        <f>'3441'!$J$107</f>
        <v>4643124.74</v>
      </c>
      <c r="J32" s="331">
        <f>'3441'!$J$109</f>
        <v>4430410.57</v>
      </c>
      <c r="K32" s="331">
        <f>'3441'!$J$114</f>
        <v>-42291.05</v>
      </c>
      <c r="L32" s="331">
        <f>'3441'!$J$116</f>
        <v>4600833.6900000004</v>
      </c>
      <c r="M32" s="332">
        <f>'3441'!$J$124</f>
        <v>386283.79</v>
      </c>
      <c r="N32" s="333"/>
      <c r="O32" s="331" cm="1">
        <f t="array" ref="O32:P32">'3441'!E28:F28</f>
        <v>523.79999999999995</v>
      </c>
      <c r="P32" s="309">
        <v>0</v>
      </c>
      <c r="Q32" s="332">
        <f t="shared" si="9"/>
        <v>8864.3084001527313</v>
      </c>
      <c r="R32" s="332">
        <f t="shared" si="6"/>
        <v>-80.738927071401307</v>
      </c>
      <c r="S32" s="332">
        <f t="shared" si="7"/>
        <v>8783.5694730813302</v>
      </c>
      <c r="U32" s="332">
        <f t="shared" si="10"/>
        <v>8783.5694730813302</v>
      </c>
      <c r="V32" s="332">
        <f t="shared" si="0"/>
        <v>0</v>
      </c>
      <c r="W32" s="332">
        <f t="shared" si="1"/>
        <v>0</v>
      </c>
      <c r="Y32" s="783">
        <v>387823.98</v>
      </c>
      <c r="Z32" s="333">
        <f t="shared" si="4"/>
        <v>1540.1900000000023</v>
      </c>
    </row>
    <row r="33" spans="1:26" x14ac:dyDescent="0.2">
      <c r="A33" s="310">
        <v>28</v>
      </c>
      <c r="B33" s="335">
        <v>3924</v>
      </c>
      <c r="C33" s="336" t="s">
        <v>257</v>
      </c>
      <c r="D33" s="327">
        <v>0</v>
      </c>
      <c r="E33" s="327" t="s">
        <v>549</v>
      </c>
      <c r="F33" s="328">
        <f t="shared" si="8"/>
        <v>2.8988858131448421E-2</v>
      </c>
      <c r="G33" s="329">
        <f t="shared" si="5"/>
        <v>3.0501196530896123E-2</v>
      </c>
      <c r="H33" s="330"/>
      <c r="I33" s="331">
        <f>'3924'!$J$107</f>
        <v>3576818.36</v>
      </c>
      <c r="J33" s="331">
        <f>'3924'!$J$109</f>
        <v>3399469.26</v>
      </c>
      <c r="K33" s="331">
        <f>'3924'!$J$114</f>
        <v>-103687.88</v>
      </c>
      <c r="L33" s="331">
        <f>'3924'!$J$116</f>
        <v>3473130.48</v>
      </c>
      <c r="M33" s="332">
        <f>'3924'!$J$124</f>
        <v>265079.03999999998</v>
      </c>
      <c r="N33" s="333"/>
      <c r="O33" s="331" cm="1">
        <f t="array" ref="O33:P33">'3924'!E28:F28</f>
        <v>409.82</v>
      </c>
      <c r="P33" s="309">
        <v>0</v>
      </c>
      <c r="Q33" s="332">
        <f t="shared" si="9"/>
        <v>8727.7789273339513</v>
      </c>
      <c r="R33" s="332">
        <f t="shared" si="6"/>
        <v>-253.00834512712899</v>
      </c>
      <c r="S33" s="332">
        <f t="shared" si="7"/>
        <v>8474.7705822068219</v>
      </c>
      <c r="U33" s="332">
        <f t="shared" si="10"/>
        <v>0</v>
      </c>
      <c r="V33" s="332">
        <f t="shared" si="0"/>
        <v>0</v>
      </c>
      <c r="W33" s="332">
        <f t="shared" si="1"/>
        <v>8474.7705822068219</v>
      </c>
      <c r="Y33" s="783">
        <v>306743.77</v>
      </c>
      <c r="Z33" s="333">
        <f t="shared" si="4"/>
        <v>41664.73000000004</v>
      </c>
    </row>
    <row r="34" spans="1:26" x14ac:dyDescent="0.2">
      <c r="A34" s="310">
        <v>29</v>
      </c>
      <c r="B34" s="335" t="s">
        <v>258</v>
      </c>
      <c r="C34" s="326" t="s">
        <v>259</v>
      </c>
      <c r="D34" s="327" t="s">
        <v>432</v>
      </c>
      <c r="E34" s="327" t="s">
        <v>549</v>
      </c>
      <c r="F34" s="328">
        <f t="shared" si="8"/>
        <v>1.9030797331038664E-2</v>
      </c>
      <c r="G34" s="329">
        <f t="shared" si="5"/>
        <v>1.9999998977053575E-2</v>
      </c>
      <c r="H34" s="330"/>
      <c r="I34" s="331">
        <f>'3941'!$J$107</f>
        <v>2054707.92</v>
      </c>
      <c r="J34" s="331">
        <f>'3941'!$J$109</f>
        <v>1955136.5999999999</v>
      </c>
      <c r="K34" s="331">
        <f>'3941'!$J$114</f>
        <v>-39102.730000000003</v>
      </c>
      <c r="L34" s="331">
        <f>'3941'!$J$116</f>
        <v>2015605.19</v>
      </c>
      <c r="M34" s="332">
        <f>'3941'!$J$124</f>
        <v>167307.03</v>
      </c>
      <c r="N34" s="333"/>
      <c r="O34" s="331" cm="1">
        <f t="array" ref="O34:P34">'3941'!E28:F28</f>
        <v>228</v>
      </c>
      <c r="P34" s="309">
        <v>0</v>
      </c>
      <c r="Q34" s="332">
        <f t="shared" si="9"/>
        <v>9011.8768421052628</v>
      </c>
      <c r="R34" s="332">
        <f t="shared" si="6"/>
        <v>-171.50320175438597</v>
      </c>
      <c r="S34" s="332">
        <f t="shared" si="7"/>
        <v>8840.3736403508774</v>
      </c>
      <c r="U34" s="332">
        <f t="shared" si="10"/>
        <v>8840.3736403508774</v>
      </c>
      <c r="V34" s="332">
        <f t="shared" si="0"/>
        <v>0</v>
      </c>
      <c r="W34" s="332">
        <f t="shared" si="1"/>
        <v>0</v>
      </c>
      <c r="Y34" s="783">
        <v>168880.64000000001</v>
      </c>
      <c r="Z34" s="333">
        <f>Y34-M34</f>
        <v>1573.6100000000151</v>
      </c>
    </row>
    <row r="35" spans="1:26" x14ac:dyDescent="0.2">
      <c r="A35" s="310">
        <v>30</v>
      </c>
      <c r="B35" s="335" t="s">
        <v>260</v>
      </c>
      <c r="C35" s="338" t="s">
        <v>261</v>
      </c>
      <c r="D35" s="327">
        <v>0</v>
      </c>
      <c r="E35" s="327" t="s">
        <v>549</v>
      </c>
      <c r="F35" s="328"/>
      <c r="G35" s="329"/>
      <c r="H35" s="330"/>
      <c r="I35" s="331"/>
      <c r="J35" s="331"/>
      <c r="K35" s="331"/>
      <c r="L35" s="331"/>
      <c r="M35" s="332"/>
      <c r="N35" s="333"/>
      <c r="O35" s="331"/>
      <c r="Q35" s="332"/>
      <c r="R35" s="332"/>
      <c r="S35" s="332"/>
      <c r="U35" s="332"/>
      <c r="V35" s="332"/>
      <c r="W35" s="332"/>
      <c r="Y35" s="783"/>
      <c r="Z35" s="333">
        <f t="shared" si="4"/>
        <v>0</v>
      </c>
    </row>
    <row r="36" spans="1:26" x14ac:dyDescent="0.2">
      <c r="A36" s="310">
        <v>31</v>
      </c>
      <c r="B36" s="335" t="s">
        <v>262</v>
      </c>
      <c r="C36" s="326" t="s">
        <v>263</v>
      </c>
      <c r="D36" s="327">
        <v>0</v>
      </c>
      <c r="E36" s="327" t="s">
        <v>549</v>
      </c>
      <c r="F36" s="328">
        <f t="shared" si="8"/>
        <v>1.948998369084684E-2</v>
      </c>
      <c r="G36" s="329">
        <f t="shared" si="5"/>
        <v>2.0498524561457645E-2</v>
      </c>
      <c r="H36" s="330"/>
      <c r="I36" s="331">
        <f>'3971'!$J$107</f>
        <v>5103821.1000000006</v>
      </c>
      <c r="J36" s="331">
        <f>'3971'!$J$109</f>
        <v>4852709.7500000009</v>
      </c>
      <c r="K36" s="331">
        <f>'3971'!$J$114</f>
        <v>-99473.39</v>
      </c>
      <c r="L36" s="331">
        <f>'3971'!$J$116</f>
        <v>5004347.7100000009</v>
      </c>
      <c r="M36" s="332">
        <f>'3971'!$J$124</f>
        <v>372294.18</v>
      </c>
      <c r="N36" s="333"/>
      <c r="O36" s="331" cm="1">
        <f t="array" ref="O36:P36">'3971'!E28:F28</f>
        <v>609.79999999999995</v>
      </c>
      <c r="P36" s="309">
        <v>0</v>
      </c>
      <c r="Q36" s="332">
        <f t="shared" si="9"/>
        <v>8369.6639881928513</v>
      </c>
      <c r="R36" s="332">
        <f t="shared" si="6"/>
        <v>-163.12461462774681</v>
      </c>
      <c r="S36" s="332">
        <f t="shared" si="7"/>
        <v>8206.5393735651051</v>
      </c>
      <c r="U36" s="332">
        <f t="shared" si="10"/>
        <v>0</v>
      </c>
      <c r="V36" s="332">
        <f t="shared" si="0"/>
        <v>0</v>
      </c>
      <c r="W36" s="332">
        <f t="shared" si="1"/>
        <v>8206.5393735651051</v>
      </c>
      <c r="Y36" s="783">
        <v>468192.65</v>
      </c>
      <c r="Z36" s="333">
        <f t="shared" si="4"/>
        <v>95898.47000000003</v>
      </c>
    </row>
    <row r="37" spans="1:26" x14ac:dyDescent="0.2">
      <c r="A37" s="310">
        <v>32</v>
      </c>
      <c r="B37" s="335" t="s">
        <v>264</v>
      </c>
      <c r="C37" s="326" t="s">
        <v>265</v>
      </c>
      <c r="D37" s="327">
        <v>0</v>
      </c>
      <c r="E37" s="327" t="s">
        <v>549</v>
      </c>
      <c r="F37" s="328">
        <f t="shared" si="8"/>
        <v>1.8447159018395488E-2</v>
      </c>
      <c r="G37" s="329">
        <f t="shared" si="5"/>
        <v>1.9440124217920123E-2</v>
      </c>
      <c r="H37" s="330"/>
      <c r="I37" s="331">
        <f>'4001'!$J$107</f>
        <v>5686237.0999999996</v>
      </c>
      <c r="J37" s="331">
        <f>'4001'!$J$109</f>
        <v>5395794.7399999993</v>
      </c>
      <c r="K37" s="331">
        <f>'4001'!$J$114</f>
        <v>-104894.92</v>
      </c>
      <c r="L37" s="331">
        <f>'4001'!$J$116</f>
        <v>5581342.1799999997</v>
      </c>
      <c r="M37" s="332">
        <f>'4001'!$J$124</f>
        <v>427320.19</v>
      </c>
      <c r="N37" s="333"/>
      <c r="O37" s="331" cm="1">
        <f t="array" ref="O37:P37">'4001'!E28:F28</f>
        <v>643</v>
      </c>
      <c r="P37" s="309">
        <v>0</v>
      </c>
      <c r="Q37" s="332">
        <f t="shared" si="9"/>
        <v>8843.2925349922225</v>
      </c>
      <c r="R37" s="332">
        <f t="shared" si="6"/>
        <v>-163.13362363919128</v>
      </c>
      <c r="S37" s="332">
        <f t="shared" si="7"/>
        <v>8680.1589113530317</v>
      </c>
      <c r="U37" s="332">
        <f t="shared" si="10"/>
        <v>0</v>
      </c>
      <c r="V37" s="332">
        <f t="shared" si="0"/>
        <v>0</v>
      </c>
      <c r="W37" s="332">
        <f t="shared" si="1"/>
        <v>8680.1589113530317</v>
      </c>
      <c r="Y37" s="783">
        <v>492923.41</v>
      </c>
      <c r="Z37" s="333">
        <f t="shared" si="4"/>
        <v>65603.219999999972</v>
      </c>
    </row>
    <row r="38" spans="1:26" x14ac:dyDescent="0.2">
      <c r="A38" s="310">
        <v>33</v>
      </c>
      <c r="B38" s="335">
        <v>4002</v>
      </c>
      <c r="C38" s="326" t="s">
        <v>266</v>
      </c>
      <c r="D38" s="327">
        <v>0</v>
      </c>
      <c r="E38" s="327" t="s">
        <v>549</v>
      </c>
      <c r="F38" s="328">
        <f t="shared" si="8"/>
        <v>1.32894537996864E-2</v>
      </c>
      <c r="G38" s="329">
        <f t="shared" si="5"/>
        <v>1.404494439490468E-2</v>
      </c>
      <c r="H38" s="330"/>
      <c r="I38" s="331">
        <f>'4002'!$J$107</f>
        <v>7903660.4199999999</v>
      </c>
      <c r="J38" s="331">
        <f>'4002'!$J$109</f>
        <v>7478515.1899999995</v>
      </c>
      <c r="K38" s="331">
        <f>'4002'!$J$114</f>
        <v>-105035.33</v>
      </c>
      <c r="L38" s="331">
        <f>'4002'!$J$116</f>
        <v>7798625.0899999999</v>
      </c>
      <c r="M38" s="332">
        <f>'4002'!$J$124</f>
        <v>565017.44999999995</v>
      </c>
      <c r="N38" s="333"/>
      <c r="O38" s="331" cm="1">
        <f t="array" ref="O38:P38">'4002'!E28:F28</f>
        <v>890</v>
      </c>
      <c r="P38" s="309">
        <v>0</v>
      </c>
      <c r="Q38" s="332">
        <f t="shared" si="9"/>
        <v>8880.5173258426967</v>
      </c>
      <c r="R38" s="332">
        <f t="shared" si="6"/>
        <v>-118.01722471910112</v>
      </c>
      <c r="S38" s="332">
        <f t="shared" si="7"/>
        <v>8762.5001011235945</v>
      </c>
      <c r="U38" s="332">
        <f t="shared" si="10"/>
        <v>0</v>
      </c>
      <c r="V38" s="332">
        <f t="shared" si="0"/>
        <v>0</v>
      </c>
      <c r="W38" s="332">
        <f t="shared" si="1"/>
        <v>8762.5001011235945</v>
      </c>
      <c r="Y38" s="783">
        <v>708965.29</v>
      </c>
      <c r="Z38" s="333">
        <f t="shared" si="4"/>
        <v>143947.84000000008</v>
      </c>
    </row>
    <row r="39" spans="1:26" x14ac:dyDescent="0.2">
      <c r="A39" s="310">
        <v>34</v>
      </c>
      <c r="B39" s="335">
        <v>4012</v>
      </c>
      <c r="C39" s="326" t="s">
        <v>267</v>
      </c>
      <c r="D39" s="327" t="s">
        <v>432</v>
      </c>
      <c r="E39" s="327" t="s">
        <v>549</v>
      </c>
      <c r="F39" s="328">
        <f t="shared" si="8"/>
        <v>8.7529005090000254E-3</v>
      </c>
      <c r="G39" s="329">
        <f t="shared" si="5"/>
        <v>9.2356580776474934E-3</v>
      </c>
      <c r="H39" s="330"/>
      <c r="I39" s="331">
        <f>'4012'!$J$107</f>
        <v>4588746.32</v>
      </c>
      <c r="J39" s="331">
        <f>'4012'!$J$109</f>
        <v>4348887.7200000007</v>
      </c>
      <c r="K39" s="331">
        <f>'4012'!$J$114</f>
        <v>-40164.839999999997</v>
      </c>
      <c r="L39" s="331">
        <f>'4012'!$J$116</f>
        <v>4548581.4800000004</v>
      </c>
      <c r="M39" s="332">
        <f>'4012'!$J$124</f>
        <v>330917.68</v>
      </c>
      <c r="N39" s="333"/>
      <c r="O39" s="331" cm="1">
        <f t="array" ref="O39:P39">'4012'!E28:F28</f>
        <v>541.38</v>
      </c>
      <c r="P39" s="309">
        <v>0</v>
      </c>
      <c r="Q39" s="332">
        <f t="shared" si="9"/>
        <v>8476.0174369204633</v>
      </c>
      <c r="R39" s="332">
        <f t="shared" si="6"/>
        <v>-74.18973733791421</v>
      </c>
      <c r="S39" s="332">
        <f t="shared" si="7"/>
        <v>8401.827699582549</v>
      </c>
      <c r="U39" s="332">
        <f t="shared" si="10"/>
        <v>8401.827699582549</v>
      </c>
      <c r="V39" s="332">
        <f t="shared" si="0"/>
        <v>0</v>
      </c>
      <c r="W39" s="332">
        <f t="shared" si="1"/>
        <v>0</v>
      </c>
      <c r="Y39" s="783">
        <v>416469.55</v>
      </c>
      <c r="Z39" s="333">
        <f t="shared" si="4"/>
        <v>85551.87</v>
      </c>
    </row>
    <row r="40" spans="1:26" x14ac:dyDescent="0.2">
      <c r="A40" s="310">
        <v>35</v>
      </c>
      <c r="B40" s="335">
        <v>4013</v>
      </c>
      <c r="C40" s="326" t="s">
        <v>268</v>
      </c>
      <c r="D40" s="327" t="s">
        <v>432</v>
      </c>
      <c r="E40" s="327" t="s">
        <v>549</v>
      </c>
      <c r="F40" s="328">
        <f t="shared" si="8"/>
        <v>4.7347410086056455E-3</v>
      </c>
      <c r="G40" s="329">
        <f t="shared" si="5"/>
        <v>4.9516711400730369E-3</v>
      </c>
      <c r="H40" s="330"/>
      <c r="I40" s="331">
        <f>'4013'!$J$107</f>
        <v>9152040.1899999995</v>
      </c>
      <c r="J40" s="331">
        <f>'4013'!$J$109</f>
        <v>8751094.0800000001</v>
      </c>
      <c r="K40" s="331">
        <f>'4013'!$J$114</f>
        <v>-43332.54</v>
      </c>
      <c r="L40" s="331">
        <f>'4013'!$J$116</f>
        <v>9108707.6500000004</v>
      </c>
      <c r="M40" s="332">
        <f>'4013'!$J$124</f>
        <v>764388.1</v>
      </c>
      <c r="N40" s="333"/>
      <c r="O40" s="331" cm="1">
        <f t="array" ref="O40:P40">'4013'!E28:F28</f>
        <v>1009.76</v>
      </c>
      <c r="P40" s="309">
        <v>0</v>
      </c>
      <c r="Q40" s="332">
        <f t="shared" si="9"/>
        <v>9063.5796525907135</v>
      </c>
      <c r="R40" s="332">
        <f t="shared" si="6"/>
        <v>-42.913702265884965</v>
      </c>
      <c r="S40" s="332">
        <f t="shared" si="7"/>
        <v>9020.6659503248302</v>
      </c>
      <c r="U40" s="332">
        <f t="shared" si="10"/>
        <v>9020.6659503248302</v>
      </c>
      <c r="V40" s="332">
        <f t="shared" si="0"/>
        <v>0</v>
      </c>
      <c r="W40" s="332">
        <f t="shared" si="1"/>
        <v>0</v>
      </c>
      <c r="Y40" s="783">
        <v>786596.81</v>
      </c>
      <c r="Z40" s="333">
        <f t="shared" si="4"/>
        <v>22208.710000000079</v>
      </c>
    </row>
    <row r="41" spans="1:26" x14ac:dyDescent="0.2">
      <c r="A41" s="310">
        <v>36</v>
      </c>
      <c r="B41" s="335">
        <v>4020</v>
      </c>
      <c r="C41" s="336" t="s">
        <v>269</v>
      </c>
      <c r="D41" s="327">
        <v>0</v>
      </c>
      <c r="E41" s="327" t="s">
        <v>549</v>
      </c>
      <c r="F41" s="328">
        <f t="shared" si="8"/>
        <v>9.5640761862886125E-3</v>
      </c>
      <c r="G41" s="329">
        <f t="shared" si="5"/>
        <v>1.0044678622608766E-2</v>
      </c>
      <c r="H41" s="330"/>
      <c r="I41" s="331">
        <f>'4020'!$J$107</f>
        <v>11014802.470000001</v>
      </c>
      <c r="J41" s="331">
        <f>'4020'!$J$109</f>
        <v>10487783.030000001</v>
      </c>
      <c r="K41" s="331">
        <f>'4020'!$J$114</f>
        <v>-105346.41</v>
      </c>
      <c r="L41" s="331">
        <f>'4020'!$J$116</f>
        <v>10909456.060000001</v>
      </c>
      <c r="M41" s="332">
        <f>'4020'!$J$124</f>
        <v>920811.93</v>
      </c>
      <c r="N41" s="333"/>
      <c r="O41" s="331" cm="1">
        <f t="array" ref="O41:P41">'4020'!E28:F28</f>
        <v>1244.44</v>
      </c>
      <c r="P41" s="309">
        <v>0</v>
      </c>
      <c r="Q41" s="332">
        <f t="shared" si="9"/>
        <v>8851.2121677220275</v>
      </c>
      <c r="R41" s="332">
        <f t="shared" si="6"/>
        <v>-84.653667513098256</v>
      </c>
      <c r="S41" s="332">
        <f t="shared" si="7"/>
        <v>8766.5585002089301</v>
      </c>
      <c r="U41" s="332">
        <f t="shared" si="10"/>
        <v>0</v>
      </c>
      <c r="V41" s="332">
        <f t="shared" si="0"/>
        <v>0</v>
      </c>
      <c r="W41" s="332">
        <f t="shared" si="1"/>
        <v>8766.5585002089301</v>
      </c>
      <c r="Y41" s="783">
        <v>899763.33</v>
      </c>
      <c r="Z41" s="333">
        <f t="shared" si="4"/>
        <v>-21048.600000000093</v>
      </c>
    </row>
    <row r="42" spans="1:26" x14ac:dyDescent="0.2">
      <c r="A42" s="310">
        <v>37</v>
      </c>
      <c r="B42" s="335">
        <v>4030</v>
      </c>
      <c r="C42" s="336" t="s">
        <v>270</v>
      </c>
      <c r="D42" s="327">
        <v>0</v>
      </c>
      <c r="E42" s="327" t="s">
        <v>549</v>
      </c>
      <c r="F42" s="328">
        <f t="shared" si="8"/>
        <v>4.6944346691515142E-2</v>
      </c>
      <c r="G42" s="329">
        <f t="shared" si="5"/>
        <v>4.9999997832454818E-2</v>
      </c>
      <c r="H42" s="330"/>
      <c r="I42" s="331">
        <f>'4030'!$J$107</f>
        <v>2211215.35</v>
      </c>
      <c r="J42" s="331">
        <f>'4030'!$J$109</f>
        <v>2076081.29</v>
      </c>
      <c r="K42" s="331">
        <f>'4030'!$J$114</f>
        <v>-103804.06</v>
      </c>
      <c r="L42" s="331">
        <f>'4030'!$J$116</f>
        <v>2107411.29</v>
      </c>
      <c r="M42" s="332">
        <f>'4030'!$J$124</f>
        <v>116754.84</v>
      </c>
      <c r="N42" s="333"/>
      <c r="O42" s="331" cm="1">
        <f t="array" ref="O42:P42">'4030'!E28:F28</f>
        <v>246</v>
      </c>
      <c r="P42" s="309">
        <v>0</v>
      </c>
      <c r="Q42" s="332">
        <f t="shared" si="9"/>
        <v>8988.6802845528455</v>
      </c>
      <c r="R42" s="332">
        <f>K42/O42</f>
        <v>-421.96772357723574</v>
      </c>
      <c r="S42" s="332">
        <f>L42/O42</f>
        <v>8566.7125609756094</v>
      </c>
      <c r="U42" s="332">
        <f t="shared" si="10"/>
        <v>0</v>
      </c>
      <c r="V42" s="332">
        <f t="shared" si="0"/>
        <v>0</v>
      </c>
      <c r="W42" s="332">
        <f>IF(AND(U42=0,V42=0),S42,)</f>
        <v>8566.7125609756094</v>
      </c>
      <c r="Y42" s="783">
        <v>217485.59</v>
      </c>
      <c r="Z42" s="333">
        <f t="shared" si="4"/>
        <v>100730.75</v>
      </c>
    </row>
    <row r="43" spans="1:26" x14ac:dyDescent="0.2">
      <c r="A43" s="310">
        <v>38</v>
      </c>
      <c r="B43" s="335">
        <v>4031</v>
      </c>
      <c r="C43" s="336" t="s">
        <v>271</v>
      </c>
      <c r="D43" s="327">
        <v>0</v>
      </c>
      <c r="E43" s="327" t="s">
        <v>549</v>
      </c>
      <c r="F43" s="328">
        <f t="shared" si="8"/>
        <v>2.9482543852552001E-2</v>
      </c>
      <c r="G43" s="329">
        <f t="shared" si="5"/>
        <v>3.1218781971843097E-2</v>
      </c>
      <c r="H43" s="330"/>
      <c r="I43" s="331">
        <f>'4031'!$J$107</f>
        <v>3522306.98</v>
      </c>
      <c r="J43" s="331">
        <f>'4031'!$J$109</f>
        <v>3326413.25</v>
      </c>
      <c r="K43" s="331">
        <f>'4031'!$J$114</f>
        <v>-103846.57</v>
      </c>
      <c r="L43" s="331">
        <f>'4031'!$J$116</f>
        <v>3418460.41</v>
      </c>
      <c r="M43" s="332">
        <f>'4031'!$J$124</f>
        <v>232569.01</v>
      </c>
      <c r="N43" s="333"/>
      <c r="O43" s="331" cm="1">
        <f t="array" ref="O43:P43">'4031'!E28:F28</f>
        <v>400.4</v>
      </c>
      <c r="P43" s="309">
        <v>0</v>
      </c>
      <c r="Q43" s="332">
        <f t="shared" si="9"/>
        <v>8796.9704795204798</v>
      </c>
      <c r="R43" s="332">
        <f>K43/O43</f>
        <v>-259.35706793206799</v>
      </c>
      <c r="S43" s="332">
        <f>L43/O43</f>
        <v>8537.6134115884124</v>
      </c>
      <c r="U43" s="332">
        <f t="shared" si="10"/>
        <v>0</v>
      </c>
      <c r="V43" s="332">
        <f t="shared" si="0"/>
        <v>0</v>
      </c>
      <c r="W43" s="332">
        <f>IF(AND(U43=0,V43=0),S43,)</f>
        <v>8537.6134115884124</v>
      </c>
      <c r="Y43" s="783">
        <v>319995.15999999997</v>
      </c>
      <c r="Z43" s="333">
        <f t="shared" si="4"/>
        <v>87426.149999999965</v>
      </c>
    </row>
    <row r="44" spans="1:26" x14ac:dyDescent="0.2">
      <c r="A44" s="310">
        <v>39</v>
      </c>
      <c r="B44" s="339">
        <v>4041</v>
      </c>
      <c r="C44" s="340" t="s">
        <v>272</v>
      </c>
      <c r="D44" s="341" t="s">
        <v>432</v>
      </c>
      <c r="E44" s="341" t="s">
        <v>549</v>
      </c>
      <c r="F44" s="328">
        <f t="shared" si="8"/>
        <v>1.9051237958048289E-2</v>
      </c>
      <c r="G44" s="329">
        <f t="shared" si="5"/>
        <v>2.0000002351673395E-2</v>
      </c>
      <c r="H44" s="330"/>
      <c r="I44" s="331">
        <f>'4041'!$J$107</f>
        <v>803530.46</v>
      </c>
      <c r="J44" s="331">
        <f>'4041'!$J$109</f>
        <v>765412.40999999992</v>
      </c>
      <c r="K44" s="331">
        <f>'4041'!$J$114</f>
        <v>-15308.25</v>
      </c>
      <c r="L44" s="331">
        <f>'4041'!$J$116</f>
        <v>788222.21</v>
      </c>
      <c r="M44" s="332">
        <f>'4041'!$J$124</f>
        <v>67347.960000000006</v>
      </c>
      <c r="N44" s="333"/>
      <c r="O44" s="331" cm="1">
        <f t="array" ref="O44:P44">'4041'!E28:F28</f>
        <v>95.160000000000011</v>
      </c>
      <c r="P44" s="309">
        <v>0</v>
      </c>
      <c r="Q44" s="332">
        <f t="shared" si="9"/>
        <v>8443.9939050021003</v>
      </c>
      <c r="R44" s="332">
        <f t="shared" si="6"/>
        <v>-160.86853720050439</v>
      </c>
      <c r="S44" s="332">
        <f t="shared" si="7"/>
        <v>8283.1253678015964</v>
      </c>
      <c r="U44" s="332">
        <f t="shared" si="10"/>
        <v>8283.1253678015964</v>
      </c>
      <c r="V44" s="332">
        <f t="shared" si="0"/>
        <v>0</v>
      </c>
      <c r="W44" s="332">
        <f t="shared" si="1"/>
        <v>0</v>
      </c>
      <c r="Y44" s="783">
        <v>64613.31</v>
      </c>
      <c r="Z44" s="333">
        <f t="shared" si="4"/>
        <v>-2734.6500000000087</v>
      </c>
    </row>
    <row r="45" spans="1:26" x14ac:dyDescent="0.2">
      <c r="A45" s="310">
        <v>40</v>
      </c>
      <c r="B45" s="342">
        <v>4050</v>
      </c>
      <c r="C45" s="343" t="s">
        <v>273</v>
      </c>
      <c r="D45" s="344">
        <v>0</v>
      </c>
      <c r="E45" s="344" t="s">
        <v>549</v>
      </c>
      <c r="F45" s="328">
        <f t="shared" si="8"/>
        <v>1.8515162740229442E-2</v>
      </c>
      <c r="G45" s="329">
        <f t="shared" si="5"/>
        <v>1.9598619538504839E-2</v>
      </c>
      <c r="H45" s="330"/>
      <c r="I45" s="331">
        <f>'4050'!$J$107</f>
        <v>5605036.3399999999</v>
      </c>
      <c r="J45" s="331">
        <f>'4050'!$J$109</f>
        <v>5295177.0299999993</v>
      </c>
      <c r="K45" s="331">
        <f>'4050'!$J$114</f>
        <v>-103778.16</v>
      </c>
      <c r="L45" s="331">
        <f>'4050'!$J$116</f>
        <v>5501258.1799999997</v>
      </c>
      <c r="M45" s="332">
        <f>'4050'!$J$124</f>
        <v>380953.57</v>
      </c>
      <c r="N45" s="333"/>
      <c r="O45" s="331" cm="1">
        <f t="array" ref="O45:P45">'4050'!E28:F28</f>
        <v>637.80000000000007</v>
      </c>
      <c r="P45" s="309">
        <v>0</v>
      </c>
      <c r="Q45" s="332">
        <f t="shared" si="9"/>
        <v>8788.0783004076493</v>
      </c>
      <c r="R45" s="332">
        <f t="shared" si="6"/>
        <v>-162.7126999059266</v>
      </c>
      <c r="S45" s="332">
        <f t="shared" si="7"/>
        <v>8625.3656005017237</v>
      </c>
      <c r="U45" s="332">
        <f t="shared" si="10"/>
        <v>0</v>
      </c>
      <c r="V45" s="332">
        <f t="shared" si="0"/>
        <v>0</v>
      </c>
      <c r="W45" s="332">
        <f t="shared" si="1"/>
        <v>8625.3656005017237</v>
      </c>
      <c r="Y45" s="783">
        <v>511250.04</v>
      </c>
      <c r="Z45" s="333">
        <f t="shared" si="4"/>
        <v>130296.46999999997</v>
      </c>
    </row>
    <row r="46" spans="1:26" x14ac:dyDescent="0.2">
      <c r="A46" s="310">
        <v>41</v>
      </c>
      <c r="B46" s="342">
        <v>4051</v>
      </c>
      <c r="C46" s="343" t="s">
        <v>274</v>
      </c>
      <c r="D46" s="344">
        <v>0</v>
      </c>
      <c r="E46" s="344" t="s">
        <v>549</v>
      </c>
      <c r="F46" s="328">
        <f t="shared" si="8"/>
        <v>1.8702782297014841E-2</v>
      </c>
      <c r="G46" s="329">
        <f t="shared" si="5"/>
        <v>1.987281481114498E-2</v>
      </c>
      <c r="H46" s="330"/>
      <c r="I46" s="331">
        <f>'4051'!$J$107</f>
        <v>5547347.3599999994</v>
      </c>
      <c r="J46" s="331">
        <f>'4051'!$J$109</f>
        <v>5220741.55</v>
      </c>
      <c r="K46" s="331">
        <f>'4051'!$J$114</f>
        <v>-103750.83</v>
      </c>
      <c r="L46" s="331">
        <f>'4051'!$J$116</f>
        <v>5443596.5299999993</v>
      </c>
      <c r="M46" s="332">
        <f>'4051'!$J$124</f>
        <v>334065.61</v>
      </c>
      <c r="N46" s="333"/>
      <c r="O46" s="331" cm="1">
        <f t="array" ref="O46:P46">'4051'!E28:F28</f>
        <v>629</v>
      </c>
      <c r="P46" s="309">
        <v>0</v>
      </c>
      <c r="Q46" s="332">
        <f t="shared" si="9"/>
        <v>8819.3121780604124</v>
      </c>
      <c r="R46" s="332">
        <f t="shared" si="6"/>
        <v>-164.94567567567569</v>
      </c>
      <c r="S46" s="332">
        <f t="shared" si="7"/>
        <v>8654.366502384737</v>
      </c>
      <c r="U46" s="332">
        <f t="shared" si="10"/>
        <v>0</v>
      </c>
      <c r="V46" s="332">
        <f t="shared" si="0"/>
        <v>0</v>
      </c>
      <c r="W46" s="332">
        <f t="shared" si="1"/>
        <v>8654.366502384737</v>
      </c>
      <c r="Y46" s="783">
        <v>533809.19999999995</v>
      </c>
      <c r="Z46" s="333">
        <f t="shared" si="4"/>
        <v>199743.58999999997</v>
      </c>
    </row>
    <row r="47" spans="1:26" x14ac:dyDescent="0.2">
      <c r="A47" s="310">
        <v>42</v>
      </c>
      <c r="B47" s="342">
        <v>4061</v>
      </c>
      <c r="C47" s="345" t="s">
        <v>275</v>
      </c>
      <c r="D47" s="344">
        <v>0</v>
      </c>
      <c r="E47" s="344" t="s">
        <v>549</v>
      </c>
      <c r="F47" s="328">
        <f t="shared" si="8"/>
        <v>1.2647290958293396E-2</v>
      </c>
      <c r="G47" s="329">
        <f t="shared" si="5"/>
        <v>1.3306083100046358E-2</v>
      </c>
      <c r="H47" s="330"/>
      <c r="I47" s="331">
        <f>'4061'!$J$107</f>
        <v>8209898.8900000006</v>
      </c>
      <c r="J47" s="331">
        <f>'4061'!$J$109</f>
        <v>7803421.8800000008</v>
      </c>
      <c r="K47" s="331">
        <f>'4061'!$J$114</f>
        <v>-103832.98</v>
      </c>
      <c r="L47" s="331">
        <f>'4061'!$J$116</f>
        <v>8106065.9100000001</v>
      </c>
      <c r="M47" s="332">
        <f>'4061'!$J$124</f>
        <v>646776.42000000004</v>
      </c>
      <c r="N47" s="333"/>
      <c r="O47" s="331" cm="1">
        <f t="array" ref="O47:P47">'4061'!E28:F28</f>
        <v>939.42</v>
      </c>
      <c r="P47" s="309">
        <v>0</v>
      </c>
      <c r="Q47" s="332">
        <f t="shared" si="9"/>
        <v>8739.3273402737868</v>
      </c>
      <c r="R47" s="332">
        <f t="shared" si="6"/>
        <v>-110.52881565221094</v>
      </c>
      <c r="S47" s="332">
        <f t="shared" si="7"/>
        <v>8628.7985246215758</v>
      </c>
      <c r="U47" s="332">
        <f t="shared" si="10"/>
        <v>0</v>
      </c>
      <c r="V47" s="332">
        <f t="shared" si="0"/>
        <v>0</v>
      </c>
      <c r="W47" s="332">
        <f t="shared" si="1"/>
        <v>8628.7985246215758</v>
      </c>
      <c r="Y47" s="783">
        <v>697798.89</v>
      </c>
      <c r="Z47" s="333">
        <f t="shared" si="4"/>
        <v>51022.469999999972</v>
      </c>
    </row>
    <row r="48" spans="1:26" x14ac:dyDescent="0.2">
      <c r="A48" s="310">
        <v>43</v>
      </c>
      <c r="B48" s="342">
        <v>4080</v>
      </c>
      <c r="C48" s="346" t="s">
        <v>276</v>
      </c>
      <c r="D48" s="341">
        <v>0</v>
      </c>
      <c r="E48" s="341" t="s">
        <v>549</v>
      </c>
      <c r="F48" s="328"/>
      <c r="G48" s="329"/>
      <c r="H48" s="330"/>
      <c r="I48" s="331"/>
      <c r="J48" s="331"/>
      <c r="K48" s="331"/>
      <c r="L48" s="331"/>
      <c r="M48" s="332"/>
      <c r="N48" s="333"/>
      <c r="O48" s="331"/>
      <c r="Q48" s="332"/>
      <c r="R48" s="332"/>
      <c r="S48" s="332"/>
      <c r="U48" s="332"/>
      <c r="V48" s="332"/>
      <c r="W48" s="332"/>
      <c r="Y48" s="783"/>
      <c r="Z48" s="333">
        <f t="shared" si="4"/>
        <v>0</v>
      </c>
    </row>
    <row r="49" spans="1:26" x14ac:dyDescent="0.2">
      <c r="A49" s="310">
        <v>44</v>
      </c>
      <c r="B49" s="342">
        <v>4081</v>
      </c>
      <c r="C49" s="345" t="s">
        <v>277</v>
      </c>
      <c r="D49" s="341">
        <v>0</v>
      </c>
      <c r="E49" s="341" t="s">
        <v>549</v>
      </c>
      <c r="F49" s="328">
        <f t="shared" si="8"/>
        <v>4.7476757990306477E-2</v>
      </c>
      <c r="G49" s="329">
        <f t="shared" si="5"/>
        <v>5.0000005247860108E-2</v>
      </c>
      <c r="H49" s="330"/>
      <c r="I49" s="331">
        <f>'4081'!$J$107</f>
        <v>1003406.13</v>
      </c>
      <c r="J49" s="331">
        <f>'4081'!$J$109</f>
        <v>952769.3</v>
      </c>
      <c r="K49" s="331">
        <f>'4081'!$J$114</f>
        <v>-47638.47</v>
      </c>
      <c r="L49" s="331">
        <f>'4081'!$J$116</f>
        <v>955767.66</v>
      </c>
      <c r="M49" s="332">
        <f>'4081'!$J$124</f>
        <v>71664.039999999994</v>
      </c>
      <c r="N49" s="333"/>
      <c r="O49" s="331" cm="1">
        <f t="array" ref="O49:P49">'4081'!E28:F28</f>
        <v>119.66</v>
      </c>
      <c r="P49" s="309">
        <v>0</v>
      </c>
      <c r="Q49" s="332">
        <f t="shared" si="9"/>
        <v>8385.4766003677087</v>
      </c>
      <c r="R49" s="332">
        <f t="shared" si="6"/>
        <v>-398.1152431890356</v>
      </c>
      <c r="S49" s="332">
        <f t="shared" si="7"/>
        <v>7987.3613571786736</v>
      </c>
      <c r="U49" s="332">
        <f t="shared" si="10"/>
        <v>0</v>
      </c>
      <c r="V49" s="332">
        <f t="shared" si="0"/>
        <v>0</v>
      </c>
      <c r="W49" s="332">
        <f t="shared" si="1"/>
        <v>7987.3613571786736</v>
      </c>
      <c r="Y49" s="783">
        <v>86139.09</v>
      </c>
      <c r="Z49" s="333">
        <f t="shared" si="4"/>
        <v>14475.050000000003</v>
      </c>
    </row>
    <row r="50" spans="1:26" x14ac:dyDescent="0.2">
      <c r="A50" s="310">
        <v>45</v>
      </c>
      <c r="B50" s="342">
        <v>4090</v>
      </c>
      <c r="C50" s="345" t="s">
        <v>278</v>
      </c>
      <c r="D50" s="341">
        <v>0</v>
      </c>
      <c r="E50" s="341" t="s">
        <v>549</v>
      </c>
      <c r="F50" s="328">
        <f t="shared" si="8"/>
        <v>3.835822436664367E-2</v>
      </c>
      <c r="G50" s="329">
        <f t="shared" si="5"/>
        <v>4.0102664640029241E-2</v>
      </c>
      <c r="H50" s="330"/>
      <c r="I50" s="331">
        <f>'4090'!$J$107</f>
        <v>2604968.8600000003</v>
      </c>
      <c r="J50" s="331">
        <f>'4090'!$J$109</f>
        <v>2491654.3800000004</v>
      </c>
      <c r="K50" s="331">
        <f>'4090'!$J$114</f>
        <v>-99921.98</v>
      </c>
      <c r="L50" s="331">
        <f>'4090'!$J$116</f>
        <v>2505046.8800000004</v>
      </c>
      <c r="M50" s="332">
        <f>'4090'!$J$124</f>
        <v>222677.99</v>
      </c>
      <c r="N50" s="333"/>
      <c r="O50" s="331" cm="1">
        <f t="array" ref="O50:P50">'4090'!E28:F28</f>
        <v>311.7</v>
      </c>
      <c r="P50" s="309">
        <v>0</v>
      </c>
      <c r="Q50" s="332">
        <f t="shared" si="9"/>
        <v>8357.2950272698126</v>
      </c>
      <c r="R50" s="332">
        <f t="shared" si="6"/>
        <v>-320.57099775425087</v>
      </c>
      <c r="S50" s="332">
        <f t="shared" si="7"/>
        <v>8036.7240295155616</v>
      </c>
      <c r="U50" s="332">
        <f t="shared" si="10"/>
        <v>0</v>
      </c>
      <c r="V50" s="332">
        <f t="shared" si="0"/>
        <v>0</v>
      </c>
      <c r="W50" s="332">
        <f t="shared" si="1"/>
        <v>8036.7240295155616</v>
      </c>
      <c r="Y50" s="783">
        <v>209719.73</v>
      </c>
      <c r="Z50" s="333">
        <f t="shared" si="4"/>
        <v>-12958.25999999998</v>
      </c>
    </row>
    <row r="51" spans="1:26" x14ac:dyDescent="0.2">
      <c r="A51" s="310">
        <v>46</v>
      </c>
      <c r="B51" s="342">
        <v>4091</v>
      </c>
      <c r="C51" s="345" t="s">
        <v>279</v>
      </c>
      <c r="D51" s="341">
        <v>0</v>
      </c>
      <c r="E51" s="341" t="s">
        <v>549</v>
      </c>
      <c r="F51" s="328">
        <f t="shared" si="8"/>
        <v>3.0391592357518173E-2</v>
      </c>
      <c r="G51" s="329">
        <f t="shared" si="5"/>
        <v>3.1969310456434599E-2</v>
      </c>
      <c r="H51" s="330"/>
      <c r="I51" s="331">
        <f>'4091'!$J$107</f>
        <v>3547302.1199999996</v>
      </c>
      <c r="J51" s="331">
        <f>'4091'!$J$109</f>
        <v>3372239.1399999997</v>
      </c>
      <c r="K51" s="331">
        <f>'4091'!$J$114</f>
        <v>-107808.16</v>
      </c>
      <c r="L51" s="331">
        <f>'4091'!$J$116</f>
        <v>3439493.9599999995</v>
      </c>
      <c r="M51" s="332">
        <f>'4091'!$J$124</f>
        <v>287966.34999999998</v>
      </c>
      <c r="N51" s="333"/>
      <c r="O51" s="331" cm="1">
        <f t="array" ref="O51:P51">'4091'!E28:F28</f>
        <v>391</v>
      </c>
      <c r="P51" s="309">
        <v>0</v>
      </c>
      <c r="Q51" s="332">
        <f t="shared" si="9"/>
        <v>9072.3839386189247</v>
      </c>
      <c r="R51" s="332">
        <f t="shared" si="6"/>
        <v>-275.72419437340153</v>
      </c>
      <c r="S51" s="332">
        <f t="shared" si="7"/>
        <v>8796.6597442455222</v>
      </c>
      <c r="U51" s="332">
        <f t="shared" si="10"/>
        <v>0</v>
      </c>
      <c r="V51" s="332">
        <f t="shared" si="0"/>
        <v>0</v>
      </c>
      <c r="W51" s="332">
        <f t="shared" si="1"/>
        <v>8796.6597442455222</v>
      </c>
      <c r="Y51" s="783">
        <v>283969.88</v>
      </c>
      <c r="Z51" s="333">
        <f t="shared" si="4"/>
        <v>-3996.4699999999721</v>
      </c>
    </row>
    <row r="52" spans="1:26" x14ac:dyDescent="0.2">
      <c r="A52" s="310">
        <v>47</v>
      </c>
      <c r="B52" s="342">
        <v>4100</v>
      </c>
      <c r="C52" s="345" t="s">
        <v>280</v>
      </c>
      <c r="D52" s="341">
        <v>0</v>
      </c>
      <c r="E52" s="341">
        <v>1</v>
      </c>
      <c r="F52" s="328">
        <f t="shared" si="8"/>
        <v>8.0369091753533465E-3</v>
      </c>
      <c r="G52" s="329">
        <f t="shared" si="5"/>
        <v>8.4670789772506531E-3</v>
      </c>
      <c r="H52" s="330"/>
      <c r="I52" s="331">
        <f>'4100'!$J$107</f>
        <v>3901637.9699999997</v>
      </c>
      <c r="J52" s="331">
        <f>'4100'!$J$109</f>
        <v>3703415.32</v>
      </c>
      <c r="K52" s="331">
        <f>'4100'!$J$114</f>
        <v>-31357.11</v>
      </c>
      <c r="L52" s="331">
        <f>'4100'!$J$116</f>
        <v>3870280.86</v>
      </c>
      <c r="M52" s="332">
        <f>'4100'!$J$124</f>
        <v>325673.27</v>
      </c>
      <c r="N52" s="333"/>
      <c r="O52" s="331" cm="1">
        <f t="array" ref="O52:P52">'4100'!E28:F28</f>
        <v>101</v>
      </c>
      <c r="P52" s="309">
        <v>0</v>
      </c>
      <c r="Q52" s="332">
        <f t="shared" si="9"/>
        <v>38630.078910891083</v>
      </c>
      <c r="R52" s="332">
        <f t="shared" si="6"/>
        <v>-310.46643564356435</v>
      </c>
      <c r="S52" s="332">
        <f t="shared" si="7"/>
        <v>38319.612475247523</v>
      </c>
      <c r="U52" s="332">
        <f t="shared" si="10"/>
        <v>0</v>
      </c>
      <c r="V52" s="332">
        <f t="shared" si="0"/>
        <v>38319.61</v>
      </c>
      <c r="W52" s="332">
        <f t="shared" si="1"/>
        <v>0</v>
      </c>
      <c r="Y52" s="783">
        <v>275467.03999999998</v>
      </c>
      <c r="Z52" s="333">
        <f t="shared" si="4"/>
        <v>-50206.23000000004</v>
      </c>
    </row>
    <row r="53" spans="1:26" x14ac:dyDescent="0.2">
      <c r="A53" s="310">
        <v>48</v>
      </c>
      <c r="B53" s="342">
        <v>4102</v>
      </c>
      <c r="C53" s="345" t="s">
        <v>281</v>
      </c>
      <c r="D53" s="341">
        <v>0</v>
      </c>
      <c r="E53" s="341" t="s">
        <v>549</v>
      </c>
      <c r="F53" s="328">
        <f t="shared" si="8"/>
        <v>4.8146730351786952E-2</v>
      </c>
      <c r="G53" s="329">
        <f t="shared" si="5"/>
        <v>5.0000001894099928E-2</v>
      </c>
      <c r="H53" s="330"/>
      <c r="I53" s="331">
        <f>'4102'!$J$107</f>
        <v>1644832.1500000001</v>
      </c>
      <c r="J53" s="331">
        <f>'4102'!$J$109</f>
        <v>1583865.7400000002</v>
      </c>
      <c r="K53" s="331">
        <f>'4102'!$J$114</f>
        <v>-79193.289999999994</v>
      </c>
      <c r="L53" s="331">
        <f>'4102'!$J$116</f>
        <v>1565638.86</v>
      </c>
      <c r="M53" s="332">
        <f>'4102'!$J$124</f>
        <v>144631.73000000001</v>
      </c>
      <c r="N53" s="333"/>
      <c r="O53" s="331" cm="1">
        <f t="array" ref="O53:P53">'4102'!E28:F28</f>
        <v>183.42000000000004</v>
      </c>
      <c r="P53" s="309">
        <v>0</v>
      </c>
      <c r="Q53" s="332">
        <v>0</v>
      </c>
      <c r="R53" s="332">
        <v>0</v>
      </c>
      <c r="S53" s="332">
        <v>0</v>
      </c>
      <c r="U53" s="332">
        <f t="shared" si="10"/>
        <v>0</v>
      </c>
      <c r="V53" s="332">
        <f t="shared" si="0"/>
        <v>0</v>
      </c>
      <c r="W53" s="332">
        <f>IF(AND(U53=0,V53=0),S53,)</f>
        <v>0</v>
      </c>
      <c r="Y53" s="783">
        <v>129838.42</v>
      </c>
      <c r="Z53" s="333">
        <f t="shared" si="4"/>
        <v>-14793.310000000012</v>
      </c>
    </row>
    <row r="54" spans="1:26" x14ac:dyDescent="0.2">
      <c r="A54" s="310">
        <v>49</v>
      </c>
      <c r="B54" s="342">
        <v>4103</v>
      </c>
      <c r="C54" s="345" t="s">
        <v>282</v>
      </c>
      <c r="D54" s="341">
        <v>0</v>
      </c>
      <c r="E54" s="341" t="s">
        <v>549</v>
      </c>
      <c r="F54" s="328">
        <f>IF(I54=0,0,-K54/I54)</f>
        <v>1.2357723446985861E-2</v>
      </c>
      <c r="G54" s="329">
        <f t="shared" si="5"/>
        <v>1.2966266466763569E-2</v>
      </c>
      <c r="H54" s="330"/>
      <c r="I54" s="331">
        <f>'4103'!$J$107</f>
        <v>8464029.0300000012</v>
      </c>
      <c r="J54" s="331">
        <f>'4103'!$J$109</f>
        <v>8066788.5600000015</v>
      </c>
      <c r="K54" s="331">
        <f>'4103'!$J$114</f>
        <v>-104596.13</v>
      </c>
      <c r="L54" s="331">
        <f>'4103'!$J$116</f>
        <v>8359432.9000000013</v>
      </c>
      <c r="M54" s="332">
        <f>'4103'!$J$124</f>
        <v>706227.5</v>
      </c>
      <c r="N54" s="333"/>
      <c r="O54" s="331" cm="1">
        <f t="array" ref="O54:P54">'4103'!E28:F28</f>
        <v>964.04</v>
      </c>
      <c r="P54" s="309">
        <v>0</v>
      </c>
      <c r="Q54" s="332">
        <f>IF(O54=0,0,I54/O54)</f>
        <v>8779.7487967304278</v>
      </c>
      <c r="R54" s="332">
        <f>IF(O54=0,0,K54/O54)</f>
        <v>-108.4977075640015</v>
      </c>
      <c r="S54" s="332">
        <f>IF(O54=0,0,L54/O54)</f>
        <v>8671.251089166426</v>
      </c>
      <c r="U54" s="332">
        <f t="shared" si="10"/>
        <v>0</v>
      </c>
      <c r="V54" s="332">
        <f t="shared" si="0"/>
        <v>0</v>
      </c>
      <c r="W54" s="332">
        <f>IF(AND(U54=0,V54=0),S54,)</f>
        <v>8671.251089166426</v>
      </c>
      <c r="Y54" s="783">
        <v>698845.87</v>
      </c>
      <c r="Z54" s="333">
        <f t="shared" si="4"/>
        <v>-7381.6300000000047</v>
      </c>
    </row>
    <row r="55" spans="1:26" x14ac:dyDescent="0.2">
      <c r="A55" s="310">
        <v>50</v>
      </c>
      <c r="B55" s="342">
        <v>4111</v>
      </c>
      <c r="C55" s="345" t="s">
        <v>283</v>
      </c>
      <c r="D55" s="341">
        <v>0</v>
      </c>
      <c r="E55" s="341" t="s">
        <v>549</v>
      </c>
      <c r="F55" s="328">
        <f>IF(I55=0,0,-K55/I55)</f>
        <v>3.6707957796700039E-2</v>
      </c>
      <c r="G55" s="329">
        <f t="shared" si="5"/>
        <v>3.8478113375862037E-2</v>
      </c>
      <c r="H55" s="330"/>
      <c r="I55" s="331">
        <f>'4111'!$J$107</f>
        <v>2698612.67</v>
      </c>
      <c r="J55" s="331">
        <f>'4111'!$J$109</f>
        <v>2574465.1</v>
      </c>
      <c r="K55" s="331">
        <f>'4111'!$J$114</f>
        <v>-99060.56</v>
      </c>
      <c r="L55" s="331">
        <f>'4111'!$J$116</f>
        <v>2599552.11</v>
      </c>
      <c r="M55" s="332">
        <f>'4111'!$J$124</f>
        <v>233981.52</v>
      </c>
      <c r="N55" s="333"/>
      <c r="O55" s="331" cm="1">
        <f t="array" ref="O55:P55">'4111'!E28:F28</f>
        <v>324.85999999999996</v>
      </c>
      <c r="P55" s="309">
        <v>0</v>
      </c>
      <c r="Q55" s="332">
        <f>IF(O55=0,0,I55/O55)</f>
        <v>8307.0020008619103</v>
      </c>
      <c r="R55" s="332">
        <f>IF(O55=0,0,K55/O55)</f>
        <v>-304.93307886474179</v>
      </c>
      <c r="S55" s="332">
        <f>IF(O55=0,0,L55/O55)</f>
        <v>8002.0689219971691</v>
      </c>
      <c r="U55" s="332">
        <f t="shared" si="10"/>
        <v>0</v>
      </c>
      <c r="V55" s="332">
        <f t="shared" si="0"/>
        <v>0</v>
      </c>
      <c r="W55" s="332">
        <f>IF(AND(U55=0,V55=0),S55,)</f>
        <v>8002.0689219971691</v>
      </c>
      <c r="Y55" s="783">
        <v>205425.31</v>
      </c>
      <c r="Z55" s="333">
        <f t="shared" si="4"/>
        <v>-28556.209999999992</v>
      </c>
    </row>
    <row r="56" spans="1:26" x14ac:dyDescent="0.2">
      <c r="A56" s="310">
        <v>51</v>
      </c>
      <c r="B56" s="342">
        <v>4131</v>
      </c>
      <c r="C56" s="345" t="s">
        <v>284</v>
      </c>
      <c r="D56" s="341">
        <v>0</v>
      </c>
      <c r="E56" s="341" t="s">
        <v>549</v>
      </c>
      <c r="F56" s="328">
        <f>IF(I56=0,0,-K56/I56)</f>
        <v>4.8042850655075561E-2</v>
      </c>
      <c r="G56" s="329">
        <f t="shared" si="5"/>
        <v>5.0000002476554568E-2</v>
      </c>
      <c r="H56" s="330"/>
      <c r="I56" s="331">
        <f>'4131'!$J$107</f>
        <v>1050590.2400000002</v>
      </c>
      <c r="J56" s="331">
        <f>'4131'!$J$109</f>
        <v>1009466.9500000002</v>
      </c>
      <c r="K56" s="331">
        <f>'4131'!$J$114</f>
        <v>-50473.35</v>
      </c>
      <c r="L56" s="331">
        <f>'4131'!$J$116</f>
        <v>1000116.8900000002</v>
      </c>
      <c r="M56" s="332">
        <f>'4131'!$J$124</f>
        <v>105550.12</v>
      </c>
      <c r="N56" s="333"/>
      <c r="O56" s="331" cm="1">
        <f t="array" ref="O56:P56">'4131'!E28:F28</f>
        <v>126.56</v>
      </c>
      <c r="P56" s="309">
        <v>0</v>
      </c>
      <c r="Q56" s="332">
        <f>IF(O56=0,0,I56/O56)</f>
        <v>8301.123893805312</v>
      </c>
      <c r="R56" s="332">
        <f>IF(O56=0,0,K56/O56)</f>
        <v>-398.80965549936786</v>
      </c>
      <c r="S56" s="332">
        <f>IF(O56=0,0,L56/O56)</f>
        <v>7902.3142383059439</v>
      </c>
      <c r="U56" s="332">
        <f t="shared" si="10"/>
        <v>0</v>
      </c>
      <c r="V56" s="332">
        <f t="shared" si="0"/>
        <v>0</v>
      </c>
      <c r="W56" s="332">
        <f>IF(AND(U56=0,V56=0),S56,)</f>
        <v>7902.3142383059439</v>
      </c>
      <c r="Y56" s="783">
        <v>67799.25</v>
      </c>
      <c r="Z56" s="333">
        <f t="shared" si="4"/>
        <v>-37750.869999999995</v>
      </c>
    </row>
    <row r="57" spans="1:26" x14ac:dyDescent="0.2">
      <c r="A57" s="347"/>
    </row>
    <row r="58" spans="1:26" x14ac:dyDescent="0.2">
      <c r="D58" s="310">
        <f>COUNTIF(D6:D57,"H")</f>
        <v>12</v>
      </c>
      <c r="E58" s="349">
        <f>SUM(E6:E57)</f>
        <v>9</v>
      </c>
      <c r="F58" s="330">
        <f>-K58/I58</f>
        <v>1.5211010377323324E-2</v>
      </c>
      <c r="G58" s="330">
        <f t="shared" si="5"/>
        <v>1.5959243563122841E-2</v>
      </c>
      <c r="I58" s="333">
        <f>SUM(I6:I57)</f>
        <v>212509979.92999995</v>
      </c>
      <c r="J58" s="333">
        <f>SUM(J6:J57)</f>
        <v>202546661.88999999</v>
      </c>
      <c r="K58" s="333">
        <f>SUM(K6:K57)</f>
        <v>-3232491.5100000007</v>
      </c>
      <c r="L58" s="333">
        <f>SUM(L6:L57)</f>
        <v>209277488.42000008</v>
      </c>
      <c r="M58" s="333">
        <f>SUM(M6:M57)</f>
        <v>17405641.269999996</v>
      </c>
      <c r="O58" s="333">
        <f>SUM(O6:O57)</f>
        <v>21416.479999999996</v>
      </c>
      <c r="Q58" s="333">
        <f>SUM(Q6:Q57)</f>
        <v>578919.20943710487</v>
      </c>
      <c r="R58" s="348">
        <f>K58/O58</f>
        <v>-150.93477126026318</v>
      </c>
      <c r="S58" s="348">
        <f>L58/O58</f>
        <v>9771.7966920801227</v>
      </c>
      <c r="U58" s="333">
        <f>AVERAGEIF(U9:U55,"&lt;&gt;0")</f>
        <v>8800.6436412096409</v>
      </c>
      <c r="V58" s="333">
        <f>AVERAGEIF(V9:V55,"&lt;&gt;0")</f>
        <v>26271.138749999998</v>
      </c>
      <c r="W58" s="333">
        <f>AVERAGEIF(W6:W56,"&lt;&gt;0")</f>
        <v>8486.137103116389</v>
      </c>
    </row>
    <row r="59" spans="1:26" x14ac:dyDescent="0.2">
      <c r="O59" s="333"/>
    </row>
    <row r="60" spans="1:26" x14ac:dyDescent="0.2">
      <c r="C60" s="309" t="s">
        <v>285</v>
      </c>
      <c r="I60" s="350">
        <f>Consolidated!I142</f>
        <v>212509979.92999995</v>
      </c>
      <c r="J60" s="350">
        <f>Consolidated!I144</f>
        <v>202546661.88999999</v>
      </c>
      <c r="K60" s="350">
        <f>Consolidated!I155</f>
        <v>-3232491.5100000007</v>
      </c>
      <c r="L60" s="350">
        <f>I60+K60</f>
        <v>209277488.41999996</v>
      </c>
      <c r="M60" s="350">
        <f>Consolidated!I159</f>
        <v>17405641.269999996</v>
      </c>
    </row>
    <row r="61" spans="1:26" x14ac:dyDescent="0.2">
      <c r="L61" s="351"/>
    </row>
    <row r="62" spans="1:26" ht="13.5" thickBot="1" x14ac:dyDescent="0.25">
      <c r="C62" s="309" t="s">
        <v>286</v>
      </c>
      <c r="I62" s="352">
        <f>I60-I58</f>
        <v>0</v>
      </c>
      <c r="J62" s="352">
        <f>J60-J58</f>
        <v>0</v>
      </c>
      <c r="K62" s="352">
        <f>K60-K58</f>
        <v>0</v>
      </c>
      <c r="L62" s="352">
        <f>L60-L58</f>
        <v>0</v>
      </c>
      <c r="M62" s="352">
        <f>M60-M58</f>
        <v>0</v>
      </c>
    </row>
    <row r="63" spans="1:26" ht="13.5" thickTop="1" x14ac:dyDescent="0.2">
      <c r="L63" s="348"/>
    </row>
    <row r="64" spans="1:26" x14ac:dyDescent="0.2">
      <c r="L64" s="333"/>
    </row>
    <row r="65" spans="12:12" x14ac:dyDescent="0.2">
      <c r="L65" s="353"/>
    </row>
    <row r="66" spans="12:12" x14ac:dyDescent="0.2">
      <c r="L66" s="596"/>
    </row>
    <row r="67" spans="12:12" x14ac:dyDescent="0.2">
      <c r="L67" s="597"/>
    </row>
    <row r="68" spans="12:12" x14ac:dyDescent="0.2">
      <c r="L68" s="598"/>
    </row>
    <row r="69" spans="12:12" x14ac:dyDescent="0.2">
      <c r="L69" s="598"/>
    </row>
  </sheetData>
  <mergeCells count="3">
    <mergeCell ref="I4:L4"/>
    <mergeCell ref="Q4:S4"/>
    <mergeCell ref="U4:W4"/>
  </mergeCells>
  <conditionalFormatting sqref="B6:C7 E6:E7 O6:O7">
    <cfRule type="expression" dxfId="10" priority="3" stopIfTrue="1">
      <formula>MOD(ROW(),2)=0</formula>
    </cfRule>
  </conditionalFormatting>
  <conditionalFormatting sqref="D6:D8">
    <cfRule type="expression" dxfId="9" priority="2" stopIfTrue="1">
      <formula>MOD(ROW(),2)=0</formula>
    </cfRule>
  </conditionalFormatting>
  <conditionalFormatting sqref="F6:G8">
    <cfRule type="expression" dxfId="8" priority="1" stopIfTrue="1">
      <formula>MOD(ROW(),2)=0</formula>
    </cfRule>
  </conditionalFormatting>
  <conditionalFormatting sqref="I6:M56 Q6:S56 U6:W56 B8 B9:G56 O9:O56">
    <cfRule type="expression" dxfId="7" priority="4" stopIfTrue="1">
      <formula>MOD(ROW(),2)=0</formula>
    </cfRule>
  </conditionalFormatting>
  <conditionalFormatting sqref="O59">
    <cfRule type="cellIs" dxfId="6" priority="5" stopIfTrue="1" operator="equal">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3CB8-0B22-4075-AE07-7260CBF8B9C4}">
  <dimension ref="A1:J56"/>
  <sheetViews>
    <sheetView workbookViewId="0"/>
  </sheetViews>
  <sheetFormatPr defaultColWidth="9.140625" defaultRowHeight="12.75" x14ac:dyDescent="0.2"/>
  <cols>
    <col min="1" max="1" width="4.140625" style="309" bestFit="1" customWidth="1"/>
    <col min="2" max="2" width="9.140625" style="309"/>
    <col min="3" max="3" width="52.140625" style="309" bestFit="1" customWidth="1"/>
    <col min="4" max="4" width="2.140625" style="309" customWidth="1"/>
    <col min="5" max="5" width="9.140625" style="309" customWidth="1"/>
    <col min="6" max="6" width="52.140625" style="309" bestFit="1" customWidth="1"/>
    <col min="7" max="16384" width="9.140625" style="309"/>
  </cols>
  <sheetData>
    <row r="1" spans="1:10" x14ac:dyDescent="0.2">
      <c r="B1" s="354" t="s">
        <v>287</v>
      </c>
      <c r="C1" s="355"/>
      <c r="D1" s="355"/>
      <c r="E1" s="356"/>
      <c r="F1" s="355"/>
    </row>
    <row r="2" spans="1:10" x14ac:dyDescent="0.2">
      <c r="B2" s="357"/>
      <c r="C2" s="355"/>
      <c r="D2" s="355"/>
      <c r="E2" s="356"/>
      <c r="F2" s="355"/>
    </row>
    <row r="3" spans="1:10" x14ac:dyDescent="0.2">
      <c r="B3" s="808" t="s">
        <v>288</v>
      </c>
      <c r="C3" s="809"/>
      <c r="D3" s="355"/>
      <c r="E3" s="808" t="s">
        <v>289</v>
      </c>
      <c r="F3" s="809"/>
    </row>
    <row r="4" spans="1:10" x14ac:dyDescent="0.2">
      <c r="B4" s="358" t="s">
        <v>290</v>
      </c>
      <c r="C4" s="359" t="s">
        <v>291</v>
      </c>
      <c r="D4" s="355"/>
      <c r="E4" s="358" t="s">
        <v>290</v>
      </c>
      <c r="F4" s="359" t="s">
        <v>291</v>
      </c>
    </row>
    <row r="5" spans="1:10" x14ac:dyDescent="0.2">
      <c r="A5" s="347">
        <v>1</v>
      </c>
      <c r="B5" s="360" t="s">
        <v>208</v>
      </c>
      <c r="C5" s="361" t="s">
        <v>292</v>
      </c>
      <c r="D5" s="355"/>
      <c r="E5" s="360" t="s">
        <v>246</v>
      </c>
      <c r="F5" s="362" t="s">
        <v>247</v>
      </c>
    </row>
    <row r="6" spans="1:10" x14ac:dyDescent="0.2">
      <c r="A6" s="347">
        <v>2</v>
      </c>
      <c r="B6" s="781" t="s">
        <v>551</v>
      </c>
      <c r="C6" s="313" t="s">
        <v>554</v>
      </c>
      <c r="D6" s="355"/>
      <c r="E6" s="360" t="s">
        <v>258</v>
      </c>
      <c r="F6" s="362" t="s">
        <v>259</v>
      </c>
      <c r="I6" s="363" t="s">
        <v>294</v>
      </c>
    </row>
    <row r="7" spans="1:10" x14ac:dyDescent="0.2">
      <c r="A7" s="347">
        <v>3</v>
      </c>
      <c r="B7" s="360" t="s">
        <v>210</v>
      </c>
      <c r="C7" s="361" t="s">
        <v>293</v>
      </c>
      <c r="D7" s="355"/>
      <c r="E7" s="360" t="s">
        <v>295</v>
      </c>
      <c r="F7" s="362" t="s">
        <v>296</v>
      </c>
    </row>
    <row r="8" spans="1:10" x14ac:dyDescent="0.2">
      <c r="A8" s="347">
        <v>4</v>
      </c>
      <c r="B8" s="360" t="s">
        <v>212</v>
      </c>
      <c r="C8" s="361" t="s">
        <v>213</v>
      </c>
      <c r="D8" s="355"/>
      <c r="E8" s="360" t="s">
        <v>297</v>
      </c>
      <c r="F8" s="362" t="s">
        <v>298</v>
      </c>
    </row>
    <row r="9" spans="1:10" x14ac:dyDescent="0.2">
      <c r="A9" s="347">
        <v>5</v>
      </c>
      <c r="B9" s="360" t="s">
        <v>214</v>
      </c>
      <c r="C9" s="361" t="s">
        <v>215</v>
      </c>
      <c r="D9" s="355"/>
      <c r="E9" s="360" t="s">
        <v>216</v>
      </c>
      <c r="F9" s="361" t="s">
        <v>217</v>
      </c>
      <c r="I9" s="363" t="s">
        <v>299</v>
      </c>
    </row>
    <row r="10" spans="1:10" x14ac:dyDescent="0.2">
      <c r="A10" s="347">
        <v>6</v>
      </c>
      <c r="B10" s="360" t="s">
        <v>216</v>
      </c>
      <c r="C10" s="361" t="s">
        <v>217</v>
      </c>
      <c r="D10" s="355"/>
      <c r="E10" s="360" t="s">
        <v>244</v>
      </c>
      <c r="F10" s="362" t="s">
        <v>245</v>
      </c>
      <c r="I10" s="363" t="s">
        <v>301</v>
      </c>
    </row>
    <row r="11" spans="1:10" x14ac:dyDescent="0.2">
      <c r="A11" s="347">
        <v>7</v>
      </c>
      <c r="B11" s="360" t="s">
        <v>218</v>
      </c>
      <c r="C11" s="362" t="s">
        <v>300</v>
      </c>
      <c r="D11" s="355"/>
      <c r="E11" s="360" t="s">
        <v>303</v>
      </c>
      <c r="F11" s="362" t="s">
        <v>277</v>
      </c>
      <c r="I11" s="364"/>
      <c r="J11" s="365"/>
    </row>
    <row r="12" spans="1:10" x14ac:dyDescent="0.2">
      <c r="A12" s="347">
        <v>8</v>
      </c>
      <c r="B12" s="360" t="s">
        <v>220</v>
      </c>
      <c r="C12" s="362" t="s">
        <v>302</v>
      </c>
      <c r="D12" s="355"/>
      <c r="E12" s="360" t="s">
        <v>304</v>
      </c>
      <c r="F12" s="362" t="s">
        <v>269</v>
      </c>
    </row>
    <row r="13" spans="1:10" x14ac:dyDescent="0.2">
      <c r="A13" s="347">
        <v>9</v>
      </c>
      <c r="B13" s="360" t="s">
        <v>222</v>
      </c>
      <c r="C13" s="362" t="s">
        <v>223</v>
      </c>
      <c r="D13" s="355"/>
      <c r="E13" s="360" t="s">
        <v>305</v>
      </c>
      <c r="F13" s="362" t="s">
        <v>275</v>
      </c>
      <c r="I13" s="366" t="s">
        <v>306</v>
      </c>
    </row>
    <row r="14" spans="1:10" x14ac:dyDescent="0.2">
      <c r="A14" s="347">
        <v>10</v>
      </c>
      <c r="B14" s="360" t="s">
        <v>224</v>
      </c>
      <c r="C14" s="361" t="s">
        <v>225</v>
      </c>
      <c r="D14" s="355"/>
      <c r="E14" s="360" t="s">
        <v>260</v>
      </c>
      <c r="F14" s="361" t="s">
        <v>261</v>
      </c>
      <c r="I14" s="367" t="s">
        <v>208</v>
      </c>
      <c r="J14" s="368" t="s">
        <v>292</v>
      </c>
    </row>
    <row r="15" spans="1:10" x14ac:dyDescent="0.2">
      <c r="A15" s="347">
        <v>11</v>
      </c>
      <c r="B15" s="360" t="s">
        <v>226</v>
      </c>
      <c r="C15" s="362" t="s">
        <v>227</v>
      </c>
      <c r="D15" s="355"/>
      <c r="E15" s="360" t="s">
        <v>234</v>
      </c>
      <c r="F15" s="361" t="s">
        <v>235</v>
      </c>
      <c r="I15" s="364" t="s">
        <v>210</v>
      </c>
      <c r="J15" s="365" t="s">
        <v>293</v>
      </c>
    </row>
    <row r="16" spans="1:10" x14ac:dyDescent="0.2">
      <c r="A16" s="347">
        <v>12</v>
      </c>
      <c r="B16" s="360" t="s">
        <v>228</v>
      </c>
      <c r="C16" s="362" t="s">
        <v>307</v>
      </c>
      <c r="D16" s="355"/>
      <c r="E16" s="360" t="s">
        <v>242</v>
      </c>
      <c r="F16" s="361" t="s">
        <v>308</v>
      </c>
      <c r="I16" s="370">
        <v>3362</v>
      </c>
      <c r="J16" s="371" t="s">
        <v>309</v>
      </c>
    </row>
    <row r="17" spans="1:9" x14ac:dyDescent="0.2">
      <c r="A17" s="347">
        <v>13</v>
      </c>
      <c r="B17" s="360" t="s">
        <v>230</v>
      </c>
      <c r="C17" s="369" t="s">
        <v>231</v>
      </c>
      <c r="D17" s="355"/>
      <c r="E17" s="360" t="s">
        <v>230</v>
      </c>
      <c r="F17" s="369" t="s">
        <v>231</v>
      </c>
      <c r="I17" s="780" t="s">
        <v>551</v>
      </c>
    </row>
    <row r="18" spans="1:9" x14ac:dyDescent="0.2">
      <c r="A18" s="347">
        <v>14</v>
      </c>
      <c r="B18" s="310">
        <v>3362</v>
      </c>
      <c r="C18" s="309" t="s">
        <v>310</v>
      </c>
      <c r="D18" s="355"/>
      <c r="E18" s="360" t="s">
        <v>232</v>
      </c>
      <c r="F18" s="361" t="s">
        <v>233</v>
      </c>
    </row>
    <row r="19" spans="1:9" x14ac:dyDescent="0.2">
      <c r="A19" s="347">
        <v>15</v>
      </c>
      <c r="B19" s="360" t="s">
        <v>232</v>
      </c>
      <c r="C19" s="361" t="s">
        <v>233</v>
      </c>
      <c r="D19" s="355"/>
      <c r="E19" s="360" t="s">
        <v>212</v>
      </c>
      <c r="F19" s="361" t="s">
        <v>213</v>
      </c>
    </row>
    <row r="20" spans="1:9" x14ac:dyDescent="0.2">
      <c r="A20" s="347">
        <v>16</v>
      </c>
      <c r="B20" s="360" t="s">
        <v>234</v>
      </c>
      <c r="C20" s="361" t="s">
        <v>235</v>
      </c>
      <c r="D20" s="355"/>
      <c r="E20" s="360" t="s">
        <v>238</v>
      </c>
      <c r="F20" s="361" t="s">
        <v>239</v>
      </c>
    </row>
    <row r="21" spans="1:9" x14ac:dyDescent="0.2">
      <c r="A21" s="347">
        <v>17</v>
      </c>
      <c r="B21" s="360" t="s">
        <v>236</v>
      </c>
      <c r="C21" s="361" t="s">
        <v>237</v>
      </c>
      <c r="D21" s="355"/>
      <c r="E21" s="360" t="s">
        <v>311</v>
      </c>
      <c r="F21" s="372" t="s">
        <v>270</v>
      </c>
    </row>
    <row r="22" spans="1:9" x14ac:dyDescent="0.2">
      <c r="A22" s="347">
        <v>18</v>
      </c>
      <c r="B22" s="360" t="s">
        <v>238</v>
      </c>
      <c r="C22" s="361" t="s">
        <v>239</v>
      </c>
      <c r="D22" s="355"/>
      <c r="E22" s="360" t="s">
        <v>222</v>
      </c>
      <c r="F22" s="362" t="s">
        <v>223</v>
      </c>
    </row>
    <row r="23" spans="1:9" x14ac:dyDescent="0.2">
      <c r="A23" s="347">
        <v>19</v>
      </c>
      <c r="B23" s="360" t="s">
        <v>240</v>
      </c>
      <c r="C23" s="362" t="s">
        <v>312</v>
      </c>
      <c r="D23" s="355"/>
      <c r="E23" s="360" t="s">
        <v>313</v>
      </c>
      <c r="F23" s="372" t="s">
        <v>257</v>
      </c>
    </row>
    <row r="24" spans="1:9" x14ac:dyDescent="0.2">
      <c r="A24" s="347">
        <v>20</v>
      </c>
      <c r="B24" s="360" t="s">
        <v>242</v>
      </c>
      <c r="C24" s="361" t="s">
        <v>308</v>
      </c>
      <c r="D24" s="355"/>
      <c r="E24" s="360" t="s">
        <v>262</v>
      </c>
      <c r="F24" s="361" t="s">
        <v>263</v>
      </c>
    </row>
    <row r="25" spans="1:9" x14ac:dyDescent="0.2">
      <c r="A25" s="347">
        <v>21</v>
      </c>
      <c r="B25" s="360" t="s">
        <v>244</v>
      </c>
      <c r="C25" s="362" t="s">
        <v>245</v>
      </c>
      <c r="D25" s="355"/>
      <c r="E25" s="360" t="s">
        <v>208</v>
      </c>
      <c r="F25" s="361" t="s">
        <v>292</v>
      </c>
    </row>
    <row r="26" spans="1:9" x14ac:dyDescent="0.2">
      <c r="A26" s="347">
        <v>22</v>
      </c>
      <c r="B26" s="360" t="s">
        <v>246</v>
      </c>
      <c r="C26" s="362" t="s">
        <v>247</v>
      </c>
      <c r="D26" s="355"/>
      <c r="E26" s="360" t="s">
        <v>226</v>
      </c>
      <c r="F26" s="362" t="s">
        <v>227</v>
      </c>
    </row>
    <row r="27" spans="1:9" x14ac:dyDescent="0.2">
      <c r="A27" s="347">
        <v>23</v>
      </c>
      <c r="B27" s="360" t="s">
        <v>248</v>
      </c>
      <c r="C27" s="361" t="s">
        <v>249</v>
      </c>
      <c r="D27" s="355"/>
      <c r="E27" s="360" t="s">
        <v>218</v>
      </c>
      <c r="F27" s="362" t="s">
        <v>314</v>
      </c>
    </row>
    <row r="28" spans="1:9" x14ac:dyDescent="0.2">
      <c r="A28" s="347">
        <v>24</v>
      </c>
      <c r="B28" s="360" t="s">
        <v>250</v>
      </c>
      <c r="C28" s="362" t="s">
        <v>251</v>
      </c>
      <c r="D28" s="355"/>
      <c r="E28" s="360" t="s">
        <v>248</v>
      </c>
      <c r="F28" s="361" t="s">
        <v>249</v>
      </c>
    </row>
    <row r="29" spans="1:9" x14ac:dyDescent="0.2">
      <c r="A29" s="347">
        <v>25</v>
      </c>
      <c r="B29" s="373" t="s">
        <v>252</v>
      </c>
      <c r="C29" s="362" t="s">
        <v>253</v>
      </c>
      <c r="D29" s="355"/>
      <c r="E29" s="360" t="s">
        <v>315</v>
      </c>
      <c r="F29" s="362" t="s">
        <v>274</v>
      </c>
      <c r="I29" s="314"/>
    </row>
    <row r="30" spans="1:9" x14ac:dyDescent="0.2">
      <c r="A30" s="347">
        <v>26</v>
      </c>
      <c r="B30" s="360" t="s">
        <v>254</v>
      </c>
      <c r="C30" s="361" t="s">
        <v>255</v>
      </c>
      <c r="D30" s="355"/>
      <c r="E30" s="360" t="s">
        <v>318</v>
      </c>
      <c r="F30" s="362" t="s">
        <v>273</v>
      </c>
      <c r="I30" s="314"/>
    </row>
    <row r="31" spans="1:9" x14ac:dyDescent="0.2">
      <c r="A31" s="347">
        <v>27</v>
      </c>
      <c r="B31" s="360" t="s">
        <v>316</v>
      </c>
      <c r="C31" s="362" t="s">
        <v>317</v>
      </c>
      <c r="D31" s="355"/>
      <c r="E31" s="360" t="s">
        <v>319</v>
      </c>
      <c r="F31" s="362" t="s">
        <v>266</v>
      </c>
    </row>
    <row r="32" spans="1:9" x14ac:dyDescent="0.2">
      <c r="A32" s="347">
        <v>28</v>
      </c>
      <c r="B32" s="360" t="s">
        <v>313</v>
      </c>
      <c r="C32" s="372" t="s">
        <v>257</v>
      </c>
      <c r="D32" s="355"/>
      <c r="E32" s="360" t="s">
        <v>264</v>
      </c>
      <c r="F32" s="361" t="s">
        <v>265</v>
      </c>
    </row>
    <row r="33" spans="1:6" x14ac:dyDescent="0.2">
      <c r="A33" s="347">
        <v>29</v>
      </c>
      <c r="B33" s="360" t="s">
        <v>258</v>
      </c>
      <c r="C33" s="362" t="s">
        <v>259</v>
      </c>
      <c r="D33" s="355"/>
      <c r="E33" s="360" t="s">
        <v>254</v>
      </c>
      <c r="F33" s="361" t="s">
        <v>255</v>
      </c>
    </row>
    <row r="34" spans="1:6" x14ac:dyDescent="0.2">
      <c r="A34" s="347">
        <v>30</v>
      </c>
      <c r="B34" s="360" t="s">
        <v>260</v>
      </c>
      <c r="C34" s="361" t="s">
        <v>261</v>
      </c>
      <c r="D34" s="355"/>
      <c r="E34" s="360" t="s">
        <v>236</v>
      </c>
      <c r="F34" s="361" t="s">
        <v>237</v>
      </c>
    </row>
    <row r="35" spans="1:6" x14ac:dyDescent="0.2">
      <c r="A35" s="347">
        <v>31</v>
      </c>
      <c r="B35" s="360" t="s">
        <v>262</v>
      </c>
      <c r="C35" s="361" t="s">
        <v>263</v>
      </c>
      <c r="D35" s="355"/>
      <c r="E35" s="360">
        <v>4111</v>
      </c>
      <c r="F35" s="361" t="s">
        <v>283</v>
      </c>
    </row>
    <row r="36" spans="1:6" x14ac:dyDescent="0.2">
      <c r="A36" s="347">
        <v>32</v>
      </c>
      <c r="B36" s="360" t="s">
        <v>264</v>
      </c>
      <c r="C36" s="361" t="s">
        <v>265</v>
      </c>
      <c r="D36" s="355"/>
      <c r="E36" s="360">
        <v>3362</v>
      </c>
      <c r="F36" s="361" t="s">
        <v>310</v>
      </c>
    </row>
    <row r="37" spans="1:6" x14ac:dyDescent="0.2">
      <c r="A37" s="347">
        <v>33</v>
      </c>
      <c r="B37" s="360" t="s">
        <v>319</v>
      </c>
      <c r="C37" s="362" t="s">
        <v>266</v>
      </c>
      <c r="D37" s="355"/>
      <c r="E37" s="360" t="s">
        <v>250</v>
      </c>
      <c r="F37" s="362" t="s">
        <v>251</v>
      </c>
    </row>
    <row r="38" spans="1:6" x14ac:dyDescent="0.2">
      <c r="A38" s="347">
        <v>34</v>
      </c>
      <c r="B38" s="360" t="s">
        <v>320</v>
      </c>
      <c r="C38" s="372" t="s">
        <v>267</v>
      </c>
      <c r="D38" s="355"/>
      <c r="E38" s="360" t="s">
        <v>322</v>
      </c>
      <c r="F38" s="362" t="s">
        <v>272</v>
      </c>
    </row>
    <row r="39" spans="1:6" x14ac:dyDescent="0.2">
      <c r="A39" s="347">
        <v>35</v>
      </c>
      <c r="B39" s="360" t="s">
        <v>321</v>
      </c>
      <c r="C39" s="361" t="s">
        <v>268</v>
      </c>
      <c r="D39" s="355"/>
      <c r="E39" s="360" t="s">
        <v>321</v>
      </c>
      <c r="F39" s="361" t="s">
        <v>268</v>
      </c>
    </row>
    <row r="40" spans="1:6" x14ac:dyDescent="0.2">
      <c r="A40" s="347">
        <v>36</v>
      </c>
      <c r="B40" s="360" t="s">
        <v>304</v>
      </c>
      <c r="C40" s="362" t="s">
        <v>269</v>
      </c>
      <c r="D40" s="355"/>
      <c r="E40" s="360" t="s">
        <v>320</v>
      </c>
      <c r="F40" s="372" t="s">
        <v>267</v>
      </c>
    </row>
    <row r="41" spans="1:6" x14ac:dyDescent="0.2">
      <c r="A41" s="347">
        <v>37</v>
      </c>
      <c r="B41" s="360" t="s">
        <v>311</v>
      </c>
      <c r="C41" s="361" t="s">
        <v>270</v>
      </c>
      <c r="D41" s="355"/>
      <c r="E41" s="360" t="s">
        <v>240</v>
      </c>
      <c r="F41" s="361" t="s">
        <v>312</v>
      </c>
    </row>
    <row r="42" spans="1:6" x14ac:dyDescent="0.2">
      <c r="A42" s="347">
        <v>38</v>
      </c>
      <c r="B42" s="360">
        <v>4031</v>
      </c>
      <c r="C42" s="362" t="s">
        <v>271</v>
      </c>
      <c r="D42" s="355"/>
      <c r="E42" s="360">
        <v>4091</v>
      </c>
      <c r="F42" s="361" t="s">
        <v>279</v>
      </c>
    </row>
    <row r="43" spans="1:6" x14ac:dyDescent="0.2">
      <c r="A43" s="347">
        <v>39</v>
      </c>
      <c r="B43" s="360" t="s">
        <v>322</v>
      </c>
      <c r="C43" s="362" t="s">
        <v>272</v>
      </c>
      <c r="D43" s="355"/>
      <c r="E43" s="360">
        <v>4031</v>
      </c>
      <c r="F43" s="362" t="s">
        <v>271</v>
      </c>
    </row>
    <row r="44" spans="1:6" x14ac:dyDescent="0.2">
      <c r="A44" s="347">
        <v>40</v>
      </c>
      <c r="B44" s="360" t="s">
        <v>318</v>
      </c>
      <c r="C44" s="362" t="s">
        <v>273</v>
      </c>
      <c r="D44" s="355"/>
      <c r="E44" s="373" t="s">
        <v>323</v>
      </c>
      <c r="F44" s="362" t="s">
        <v>284</v>
      </c>
    </row>
    <row r="45" spans="1:6" x14ac:dyDescent="0.2">
      <c r="A45" s="347">
        <v>41</v>
      </c>
      <c r="B45" s="360" t="s">
        <v>315</v>
      </c>
      <c r="C45" s="362" t="s">
        <v>274</v>
      </c>
      <c r="D45" s="355"/>
      <c r="E45" s="360" t="s">
        <v>214</v>
      </c>
      <c r="F45" s="361" t="s">
        <v>215</v>
      </c>
    </row>
    <row r="46" spans="1:6" x14ac:dyDescent="0.2">
      <c r="A46" s="347">
        <v>42</v>
      </c>
      <c r="B46" s="360" t="s">
        <v>305</v>
      </c>
      <c r="C46" s="362" t="s">
        <v>275</v>
      </c>
      <c r="D46" s="355"/>
      <c r="E46" s="360" t="s">
        <v>316</v>
      </c>
      <c r="F46" s="362" t="s">
        <v>317</v>
      </c>
    </row>
    <row r="47" spans="1:6" x14ac:dyDescent="0.2">
      <c r="A47" s="347">
        <v>43</v>
      </c>
      <c r="B47" s="360" t="s">
        <v>324</v>
      </c>
      <c r="C47" s="362" t="s">
        <v>325</v>
      </c>
      <c r="D47" s="355"/>
      <c r="E47" s="360">
        <v>4090</v>
      </c>
      <c r="F47" s="361" t="s">
        <v>326</v>
      </c>
    </row>
    <row r="48" spans="1:6" x14ac:dyDescent="0.2">
      <c r="A48" s="347">
        <v>44</v>
      </c>
      <c r="B48" s="374" t="s">
        <v>303</v>
      </c>
      <c r="C48" s="309" t="s">
        <v>277</v>
      </c>
      <c r="D48" s="355"/>
      <c r="E48" s="360" t="s">
        <v>327</v>
      </c>
      <c r="F48" s="361" t="s">
        <v>328</v>
      </c>
    </row>
    <row r="49" spans="1:6" x14ac:dyDescent="0.2">
      <c r="A49" s="347">
        <v>45</v>
      </c>
      <c r="B49" s="374">
        <v>4090</v>
      </c>
      <c r="C49" s="309" t="s">
        <v>326</v>
      </c>
      <c r="D49" s="355"/>
      <c r="E49" s="360" t="s">
        <v>228</v>
      </c>
      <c r="F49" s="362" t="s">
        <v>307</v>
      </c>
    </row>
    <row r="50" spans="1:6" x14ac:dyDescent="0.2">
      <c r="A50" s="347">
        <v>46</v>
      </c>
      <c r="B50" s="374">
        <v>4091</v>
      </c>
      <c r="C50" s="309" t="s">
        <v>279</v>
      </c>
      <c r="D50" s="355"/>
      <c r="E50" s="360" t="s">
        <v>210</v>
      </c>
      <c r="F50" s="361" t="s">
        <v>329</v>
      </c>
    </row>
    <row r="51" spans="1:6" x14ac:dyDescent="0.2">
      <c r="A51" s="347">
        <v>47</v>
      </c>
      <c r="B51" s="360" t="s">
        <v>297</v>
      </c>
      <c r="C51" s="362" t="s">
        <v>298</v>
      </c>
      <c r="D51" s="355"/>
      <c r="E51" s="360" t="s">
        <v>220</v>
      </c>
      <c r="F51" s="362" t="s">
        <v>302</v>
      </c>
    </row>
    <row r="52" spans="1:6" x14ac:dyDescent="0.2">
      <c r="A52" s="347">
        <v>48</v>
      </c>
      <c r="B52" s="360" t="s">
        <v>295</v>
      </c>
      <c r="C52" s="362" t="s">
        <v>296</v>
      </c>
      <c r="D52" s="355"/>
      <c r="E52" s="360" t="s">
        <v>324</v>
      </c>
      <c r="F52" s="362" t="s">
        <v>325</v>
      </c>
    </row>
    <row r="53" spans="1:6" x14ac:dyDescent="0.2">
      <c r="A53" s="347">
        <v>49</v>
      </c>
      <c r="B53" s="360" t="s">
        <v>327</v>
      </c>
      <c r="C53" s="375" t="s">
        <v>328</v>
      </c>
      <c r="D53" s="355"/>
      <c r="E53" s="360" t="s">
        <v>224</v>
      </c>
      <c r="F53" s="361" t="s">
        <v>225</v>
      </c>
    </row>
    <row r="54" spans="1:6" x14ac:dyDescent="0.2">
      <c r="A54" s="347">
        <v>50</v>
      </c>
      <c r="B54" s="360">
        <v>4111</v>
      </c>
      <c r="C54" s="362" t="s">
        <v>283</v>
      </c>
      <c r="D54" s="355"/>
      <c r="E54" s="373" t="s">
        <v>252</v>
      </c>
      <c r="F54" s="362" t="s">
        <v>253</v>
      </c>
    </row>
    <row r="55" spans="1:6" x14ac:dyDescent="0.2">
      <c r="A55" s="347"/>
      <c r="B55" s="360" t="s">
        <v>323</v>
      </c>
      <c r="C55" s="362" t="s">
        <v>284</v>
      </c>
      <c r="D55" s="355"/>
      <c r="E55" s="312" t="s">
        <v>551</v>
      </c>
      <c r="F55" s="309" t="s">
        <v>554</v>
      </c>
    </row>
    <row r="56" spans="1:6" x14ac:dyDescent="0.2">
      <c r="D56" s="355"/>
    </row>
  </sheetData>
  <mergeCells count="2">
    <mergeCell ref="B3:C3"/>
    <mergeCell ref="E3:F3"/>
  </mergeCells>
  <conditionalFormatting sqref="B5:C5 B7:C17 B19:C55">
    <cfRule type="expression" dxfId="5" priority="7" stopIfTrue="1">
      <formula>MOD(ROW(),2)=0</formula>
    </cfRule>
  </conditionalFormatting>
  <conditionalFormatting sqref="E5:F24">
    <cfRule type="expression" dxfId="4" priority="6">
      <formula>MOD(ROW(),2)=0</formula>
    </cfRule>
  </conditionalFormatting>
  <conditionalFormatting sqref="E25:F25">
    <cfRule type="expression" dxfId="3" priority="5" stopIfTrue="1">
      <formula>MOD(ROW(),2)=0</formula>
    </cfRule>
  </conditionalFormatting>
  <conditionalFormatting sqref="E26:F54">
    <cfRule type="expression" dxfId="2" priority="1">
      <formula>MOD(ROW(),2)=0</formula>
    </cfRule>
  </conditionalFormatting>
  <conditionalFormatting sqref="I11:J11">
    <cfRule type="expression" dxfId="1" priority="2" stopIfTrue="1">
      <formula>MOD(ROW(),2)=0</formula>
    </cfRule>
  </conditionalFormatting>
  <conditionalFormatting sqref="I15:J15">
    <cfRule type="expression" dxfId="0" priority="3" stopIfTrue="1">
      <formula>MOD(ROW(),2)=0</formula>
    </cfRule>
  </conditionalFormatting>
  <pageMargins left="0.7" right="0.7" top="0.75" bottom="0.75" header="0.3" footer="0.3"/>
  <pageSetup orientation="portrait" verticalDpi="12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8284-B928-4091-81D2-B73D95EB542A}">
  <sheetPr>
    <pageSetUpPr fitToPage="1"/>
  </sheetPr>
  <dimension ref="A1:R129"/>
  <sheetViews>
    <sheetView workbookViewId="0">
      <selection activeCell="L9" sqref="L9"/>
    </sheetView>
  </sheetViews>
  <sheetFormatPr defaultColWidth="9.140625" defaultRowHeight="15" x14ac:dyDescent="0.25"/>
  <cols>
    <col min="1" max="1" width="9.140625" style="528"/>
    <col min="2" max="2" width="11.5703125" style="527" bestFit="1" customWidth="1"/>
    <col min="3" max="3" width="37.140625" style="528" customWidth="1"/>
    <col min="4" max="4" width="16.28515625" style="529" bestFit="1" customWidth="1"/>
    <col min="5" max="5" width="15.140625" style="529" bestFit="1" customWidth="1"/>
    <col min="6" max="7" width="15.140625" style="528" bestFit="1" customWidth="1"/>
    <col min="8" max="8" width="15" style="528" bestFit="1" customWidth="1"/>
    <col min="9" max="9" width="14.28515625" style="528" bestFit="1" customWidth="1"/>
    <col min="10" max="10" width="16.85546875" style="528" bestFit="1" customWidth="1"/>
    <col min="11" max="11" width="14.140625" style="530" customWidth="1"/>
    <col min="12" max="15" width="14" style="528" bestFit="1" customWidth="1"/>
    <col min="16" max="16" width="14" style="531" bestFit="1" customWidth="1"/>
    <col min="17" max="18" width="15.28515625" style="528" bestFit="1" customWidth="1"/>
    <col min="19" max="16384" width="9.140625" style="528"/>
  </cols>
  <sheetData>
    <row r="1" spans="1:18" x14ac:dyDescent="0.25">
      <c r="A1" s="526" t="s">
        <v>411</v>
      </c>
    </row>
    <row r="2" spans="1:18" x14ac:dyDescent="0.25">
      <c r="C2" s="532"/>
      <c r="D2" s="533"/>
      <c r="E2" s="533"/>
      <c r="F2" s="532"/>
      <c r="G2" s="532"/>
    </row>
    <row r="4" spans="1:18" s="534" customFormat="1" ht="45" x14ac:dyDescent="0.25">
      <c r="A4" s="534" t="s">
        <v>52</v>
      </c>
      <c r="B4" s="535" t="s">
        <v>52</v>
      </c>
      <c r="C4" s="534" t="s">
        <v>52</v>
      </c>
      <c r="D4" s="536" t="s">
        <v>200</v>
      </c>
      <c r="E4" s="536" t="s">
        <v>412</v>
      </c>
      <c r="F4" s="535" t="s">
        <v>413</v>
      </c>
      <c r="G4" s="535" t="s">
        <v>414</v>
      </c>
      <c r="H4" s="535" t="s">
        <v>415</v>
      </c>
      <c r="I4" s="535" t="s">
        <v>416</v>
      </c>
      <c r="J4" s="535" t="s">
        <v>417</v>
      </c>
      <c r="K4" s="537" t="s">
        <v>418</v>
      </c>
      <c r="L4" s="535" t="s">
        <v>419</v>
      </c>
      <c r="M4" s="535" t="s">
        <v>420</v>
      </c>
      <c r="N4" s="535" t="s">
        <v>421</v>
      </c>
      <c r="O4" s="535" t="s">
        <v>422</v>
      </c>
      <c r="P4" s="538" t="s">
        <v>423</v>
      </c>
      <c r="Q4" s="535" t="s">
        <v>125</v>
      </c>
      <c r="R4" s="539" t="s">
        <v>424</v>
      </c>
    </row>
    <row r="5" spans="1:18" s="534" customFormat="1" x14ac:dyDescent="0.25">
      <c r="A5" s="528">
        <v>1</v>
      </c>
      <c r="B5" s="540" t="s">
        <v>208</v>
      </c>
      <c r="C5" s="528" t="s">
        <v>209</v>
      </c>
      <c r="D5" s="541">
        <v>193383.47</v>
      </c>
      <c r="E5" s="541">
        <v>24451.48</v>
      </c>
      <c r="F5" s="542">
        <v>24870.66</v>
      </c>
      <c r="G5" s="588">
        <v>24870.66</v>
      </c>
      <c r="H5" s="542">
        <v>24538.62</v>
      </c>
      <c r="I5" s="542">
        <v>24538.63</v>
      </c>
      <c r="J5" s="542">
        <v>24538.62</v>
      </c>
      <c r="K5" s="543">
        <v>24538.63</v>
      </c>
      <c r="L5" s="543">
        <v>4207.2299999999996</v>
      </c>
      <c r="M5" s="543"/>
      <c r="N5" s="542"/>
      <c r="O5" s="542"/>
      <c r="P5" s="542"/>
      <c r="Q5" s="544">
        <f>SUM(E5:P5)</f>
        <v>176554.53000000003</v>
      </c>
      <c r="R5" s="544">
        <v>0</v>
      </c>
    </row>
    <row r="6" spans="1:18" s="534" customFormat="1" x14ac:dyDescent="0.25">
      <c r="A6" s="528">
        <v>2</v>
      </c>
      <c r="B6" s="540" t="s">
        <v>551</v>
      </c>
      <c r="C6" s="528" t="s">
        <v>552</v>
      </c>
      <c r="D6" s="541">
        <v>655622.48</v>
      </c>
      <c r="E6" s="541"/>
      <c r="F6" s="542"/>
      <c r="G6" s="588"/>
      <c r="H6" s="542">
        <v>43342.64</v>
      </c>
      <c r="I6" s="542">
        <v>43342.64</v>
      </c>
      <c r="J6" s="542">
        <v>43342.64</v>
      </c>
      <c r="K6" s="543">
        <v>43342.64</v>
      </c>
      <c r="L6" s="543">
        <v>96450.38</v>
      </c>
      <c r="M6" s="543"/>
      <c r="N6" s="542"/>
      <c r="O6" s="542"/>
      <c r="P6" s="542"/>
      <c r="Q6" s="544"/>
      <c r="R6" s="544"/>
    </row>
    <row r="7" spans="1:18" s="534" customFormat="1" x14ac:dyDescent="0.25">
      <c r="A7" s="528">
        <v>3</v>
      </c>
      <c r="B7" s="540" t="s">
        <v>210</v>
      </c>
      <c r="C7" s="528" t="s">
        <v>211</v>
      </c>
      <c r="D7" s="541">
        <v>847558.15</v>
      </c>
      <c r="E7" s="541">
        <v>22293.06</v>
      </c>
      <c r="F7" s="542">
        <v>22269.68</v>
      </c>
      <c r="G7" s="588">
        <v>22269.68</v>
      </c>
      <c r="H7" s="542">
        <v>26670.77</v>
      </c>
      <c r="I7" s="542">
        <v>26670.78</v>
      </c>
      <c r="J7" s="542">
        <v>26737.89</v>
      </c>
      <c r="K7" s="543">
        <v>28707.39</v>
      </c>
      <c r="L7" s="543">
        <v>134387.78</v>
      </c>
      <c r="M7" s="543"/>
      <c r="N7" s="542"/>
      <c r="O7" s="542"/>
      <c r="P7" s="542"/>
      <c r="Q7" s="544">
        <f t="shared" ref="Q7:Q55" si="0">SUM(E7:P7)</f>
        <v>310007.03000000003</v>
      </c>
      <c r="R7" s="544">
        <v>0</v>
      </c>
    </row>
    <row r="8" spans="1:18" x14ac:dyDescent="0.25">
      <c r="A8" s="528">
        <v>4</v>
      </c>
      <c r="B8" s="527" t="s">
        <v>212</v>
      </c>
      <c r="C8" s="528" t="s">
        <v>213</v>
      </c>
      <c r="D8" s="529">
        <v>7566911.169999999</v>
      </c>
      <c r="E8" s="545">
        <v>485398.34</v>
      </c>
      <c r="F8" s="546">
        <v>492757.49</v>
      </c>
      <c r="G8" s="547">
        <v>662254.39</v>
      </c>
      <c r="H8" s="548">
        <v>675822.09</v>
      </c>
      <c r="I8" s="547">
        <v>659372.19999999995</v>
      </c>
      <c r="J8" s="542">
        <v>659372.19999999995</v>
      </c>
      <c r="K8" s="549">
        <v>659372.19999999995</v>
      </c>
      <c r="L8" s="549">
        <v>654512.44999999995</v>
      </c>
      <c r="M8" s="550"/>
      <c r="N8" s="544"/>
      <c r="O8" s="531"/>
      <c r="Q8" s="544">
        <f t="shared" si="0"/>
        <v>4948861.3600000003</v>
      </c>
      <c r="R8" s="544">
        <v>0</v>
      </c>
    </row>
    <row r="9" spans="1:18" x14ac:dyDescent="0.25">
      <c r="A9" s="528">
        <v>5</v>
      </c>
      <c r="B9" s="527" t="s">
        <v>214</v>
      </c>
      <c r="C9" s="528" t="s">
        <v>215</v>
      </c>
      <c r="D9" s="529">
        <v>10405562.040000001</v>
      </c>
      <c r="E9" s="551">
        <v>795164.86</v>
      </c>
      <c r="F9" s="546">
        <v>808415.92</v>
      </c>
      <c r="G9" s="547">
        <v>876352.53</v>
      </c>
      <c r="H9" s="548">
        <v>860836.4</v>
      </c>
      <c r="I9" s="547">
        <v>860836.4</v>
      </c>
      <c r="J9" s="542">
        <v>860836.4</v>
      </c>
      <c r="K9" s="549">
        <v>860836.4</v>
      </c>
      <c r="L9" s="549">
        <v>896456.63</v>
      </c>
      <c r="M9" s="550"/>
      <c r="N9" s="544"/>
      <c r="O9" s="531"/>
      <c r="Q9" s="544">
        <f t="shared" si="0"/>
        <v>6819735.540000001</v>
      </c>
      <c r="R9" s="544">
        <v>0</v>
      </c>
    </row>
    <row r="10" spans="1:18" x14ac:dyDescent="0.25">
      <c r="A10" s="528">
        <v>6</v>
      </c>
      <c r="B10" s="527" t="s">
        <v>216</v>
      </c>
      <c r="C10" s="528" t="s">
        <v>217</v>
      </c>
      <c r="D10" s="529">
        <v>1338775.83</v>
      </c>
      <c r="E10" s="551">
        <v>112200.54</v>
      </c>
      <c r="F10" s="546">
        <v>112562.16</v>
      </c>
      <c r="G10" s="547">
        <v>112694.39999999999</v>
      </c>
      <c r="H10" s="548">
        <v>109553.39</v>
      </c>
      <c r="I10" s="547">
        <v>109553.39</v>
      </c>
      <c r="J10" s="542">
        <v>109705.04</v>
      </c>
      <c r="K10" s="549">
        <v>109705.05</v>
      </c>
      <c r="L10" s="549">
        <v>112560.37</v>
      </c>
      <c r="M10" s="550"/>
      <c r="N10" s="544"/>
      <c r="O10" s="531"/>
      <c r="Q10" s="544">
        <f t="shared" si="0"/>
        <v>888534.34000000008</v>
      </c>
      <c r="R10" s="544">
        <v>0</v>
      </c>
    </row>
    <row r="11" spans="1:18" x14ac:dyDescent="0.25">
      <c r="A11" s="528">
        <v>7</v>
      </c>
      <c r="B11" s="552" t="s">
        <v>218</v>
      </c>
      <c r="C11" s="553" t="s">
        <v>219</v>
      </c>
      <c r="D11" s="545">
        <v>1438148.14</v>
      </c>
      <c r="E11" s="551">
        <v>128465.38</v>
      </c>
      <c r="F11" s="546">
        <v>132295.12</v>
      </c>
      <c r="G11" s="554">
        <v>132295.12</v>
      </c>
      <c r="H11" s="548">
        <v>136643.49</v>
      </c>
      <c r="I11" s="547">
        <v>136643.49</v>
      </c>
      <c r="J11" s="542">
        <v>137042.07</v>
      </c>
      <c r="K11" s="549">
        <v>136859.32</v>
      </c>
      <c r="L11" s="549">
        <v>99580.83</v>
      </c>
      <c r="M11" s="550"/>
      <c r="N11" s="544"/>
      <c r="O11" s="531"/>
      <c r="Q11" s="544">
        <f t="shared" si="0"/>
        <v>1039824.82</v>
      </c>
      <c r="R11" s="544">
        <v>0</v>
      </c>
    </row>
    <row r="12" spans="1:18" x14ac:dyDescent="0.25">
      <c r="A12" s="528">
        <v>8</v>
      </c>
      <c r="B12" s="527" t="s">
        <v>220</v>
      </c>
      <c r="C12" s="528" t="s">
        <v>221</v>
      </c>
      <c r="D12" s="529">
        <v>5541061.3800000008</v>
      </c>
      <c r="E12" s="551">
        <v>440248.86</v>
      </c>
      <c r="F12" s="546">
        <v>446019.94</v>
      </c>
      <c r="G12" s="547">
        <v>446019.95</v>
      </c>
      <c r="H12" s="548">
        <v>454340.22</v>
      </c>
      <c r="I12" s="547">
        <v>454340.22</v>
      </c>
      <c r="J12" s="542">
        <v>455853.95</v>
      </c>
      <c r="K12" s="549">
        <v>455853.95</v>
      </c>
      <c r="L12" s="549">
        <v>477676.86</v>
      </c>
      <c r="M12" s="550"/>
      <c r="N12" s="544"/>
      <c r="O12" s="531"/>
      <c r="Q12" s="544">
        <f t="shared" si="0"/>
        <v>3630353.95</v>
      </c>
      <c r="R12" s="544">
        <v>0</v>
      </c>
    </row>
    <row r="13" spans="1:18" x14ac:dyDescent="0.25">
      <c r="A13" s="528">
        <v>9</v>
      </c>
      <c r="B13" s="527" t="s">
        <v>222</v>
      </c>
      <c r="C13" s="528" t="s">
        <v>223</v>
      </c>
      <c r="D13" s="529">
        <v>5082750.03</v>
      </c>
      <c r="E13" s="551">
        <v>433777.9</v>
      </c>
      <c r="F13" s="546">
        <v>438326.62</v>
      </c>
      <c r="G13" s="547">
        <v>438326.62</v>
      </c>
      <c r="H13" s="548">
        <v>441316.79</v>
      </c>
      <c r="I13" s="547">
        <v>441316.79</v>
      </c>
      <c r="J13" s="542">
        <v>441316.79</v>
      </c>
      <c r="K13" s="549">
        <v>441316.79</v>
      </c>
      <c r="L13" s="549">
        <v>401410.35</v>
      </c>
      <c r="M13" s="550"/>
      <c r="N13" s="544"/>
      <c r="O13" s="531"/>
      <c r="Q13" s="544">
        <f t="shared" si="0"/>
        <v>3477108.6500000004</v>
      </c>
      <c r="R13" s="544">
        <v>0</v>
      </c>
    </row>
    <row r="14" spans="1:18" x14ac:dyDescent="0.25">
      <c r="A14" s="528">
        <v>10</v>
      </c>
      <c r="B14" s="527" t="s">
        <v>224</v>
      </c>
      <c r="C14" s="528" t="s">
        <v>225</v>
      </c>
      <c r="D14" s="529">
        <v>6857515.7100000009</v>
      </c>
      <c r="E14" s="551">
        <v>505265.93</v>
      </c>
      <c r="F14" s="546">
        <v>513425.85</v>
      </c>
      <c r="G14" s="547">
        <v>513425.85</v>
      </c>
      <c r="H14" s="548">
        <v>511868.89</v>
      </c>
      <c r="I14" s="547">
        <v>511868.89</v>
      </c>
      <c r="J14" s="542">
        <v>511868.89</v>
      </c>
      <c r="K14" s="549">
        <v>511868.9</v>
      </c>
      <c r="L14" s="549">
        <v>655584.5</v>
      </c>
      <c r="M14" s="550"/>
      <c r="N14" s="544"/>
      <c r="O14" s="531"/>
      <c r="Q14" s="544">
        <f t="shared" si="0"/>
        <v>4235177.7</v>
      </c>
      <c r="R14" s="544">
        <v>0</v>
      </c>
    </row>
    <row r="15" spans="1:18" x14ac:dyDescent="0.25">
      <c r="A15" s="528">
        <v>11</v>
      </c>
      <c r="B15" s="527" t="s">
        <v>226</v>
      </c>
      <c r="C15" s="528" t="s">
        <v>227</v>
      </c>
      <c r="D15" s="529">
        <v>11208724.629999999</v>
      </c>
      <c r="E15" s="551">
        <v>858865.25</v>
      </c>
      <c r="F15" s="546">
        <v>869504.11</v>
      </c>
      <c r="G15" s="547">
        <v>869504.11</v>
      </c>
      <c r="H15" s="548">
        <v>890806.34</v>
      </c>
      <c r="I15" s="547">
        <v>890806.34</v>
      </c>
      <c r="J15" s="542">
        <v>892399.18</v>
      </c>
      <c r="K15" s="549">
        <v>892467.27</v>
      </c>
      <c r="L15" s="549">
        <v>1008874.41</v>
      </c>
      <c r="M15" s="550"/>
      <c r="N15" s="544"/>
      <c r="O15" s="531"/>
      <c r="Q15" s="544">
        <f t="shared" si="0"/>
        <v>7173227.0099999998</v>
      </c>
      <c r="R15" s="544">
        <v>0</v>
      </c>
    </row>
    <row r="16" spans="1:18" x14ac:dyDescent="0.25">
      <c r="A16" s="528">
        <v>12</v>
      </c>
      <c r="B16" s="527" t="s">
        <v>228</v>
      </c>
      <c r="C16" s="528" t="s">
        <v>229</v>
      </c>
      <c r="D16" s="529">
        <v>6566647.3300000001</v>
      </c>
      <c r="E16" s="551">
        <v>484859.99</v>
      </c>
      <c r="F16" s="546">
        <v>497059.68</v>
      </c>
      <c r="G16" s="547">
        <v>497059.68</v>
      </c>
      <c r="H16" s="548">
        <v>504701.18</v>
      </c>
      <c r="I16" s="547">
        <v>504701.18</v>
      </c>
      <c r="J16" s="542">
        <v>506490.84</v>
      </c>
      <c r="K16" s="549">
        <v>505938.1</v>
      </c>
      <c r="L16" s="549">
        <v>613167.34</v>
      </c>
      <c r="M16" s="550"/>
      <c r="N16" s="544"/>
      <c r="O16" s="531"/>
      <c r="Q16" s="544">
        <f t="shared" si="0"/>
        <v>4113977.9899999998</v>
      </c>
      <c r="R16" s="544">
        <v>0</v>
      </c>
    </row>
    <row r="17" spans="1:18" x14ac:dyDescent="0.25">
      <c r="A17" s="528">
        <v>13</v>
      </c>
      <c r="B17" s="527" t="s">
        <v>230</v>
      </c>
      <c r="C17" s="528" t="s">
        <v>231</v>
      </c>
      <c r="D17" s="529">
        <v>1104699.21</v>
      </c>
      <c r="E17" s="551">
        <v>90419.86</v>
      </c>
      <c r="F17" s="546">
        <v>91364.55</v>
      </c>
      <c r="G17" s="547">
        <v>91364.55</v>
      </c>
      <c r="H17" s="548">
        <v>93532.75</v>
      </c>
      <c r="I17" s="547">
        <v>93532.75</v>
      </c>
      <c r="J17" s="542">
        <v>93541.68</v>
      </c>
      <c r="K17" s="549">
        <v>93541.68</v>
      </c>
      <c r="L17" s="549">
        <v>91480.28</v>
      </c>
      <c r="M17" s="550"/>
      <c r="N17" s="544"/>
      <c r="O17" s="531"/>
      <c r="Q17" s="544">
        <f t="shared" si="0"/>
        <v>738778.10000000009</v>
      </c>
      <c r="R17" s="544">
        <v>0</v>
      </c>
    </row>
    <row r="18" spans="1:18" x14ac:dyDescent="0.25">
      <c r="A18" s="528">
        <v>14</v>
      </c>
      <c r="B18" s="527">
        <v>3362</v>
      </c>
      <c r="C18" s="528" t="s">
        <v>310</v>
      </c>
      <c r="D18" s="529">
        <v>1383825.12</v>
      </c>
      <c r="E18" s="551"/>
      <c r="F18" s="546"/>
      <c r="G18" s="547"/>
      <c r="H18" s="548">
        <v>152593</v>
      </c>
      <c r="I18" s="547">
        <v>152593</v>
      </c>
      <c r="J18" s="542">
        <v>152593</v>
      </c>
      <c r="K18" s="549">
        <v>152593</v>
      </c>
      <c r="L18" s="549">
        <v>154690.62</v>
      </c>
      <c r="M18" s="550"/>
      <c r="N18" s="544"/>
      <c r="O18" s="531"/>
      <c r="Q18" s="544">
        <f t="shared" si="0"/>
        <v>765062.62</v>
      </c>
      <c r="R18" s="544"/>
    </row>
    <row r="19" spans="1:18" x14ac:dyDescent="0.25">
      <c r="A19" s="528">
        <v>15</v>
      </c>
      <c r="B19" s="527" t="s">
        <v>232</v>
      </c>
      <c r="C19" s="528" t="s">
        <v>233</v>
      </c>
      <c r="D19" s="529">
        <v>9195928.9800000004</v>
      </c>
      <c r="E19" s="551">
        <v>750894</v>
      </c>
      <c r="F19" s="546">
        <v>762872.3</v>
      </c>
      <c r="G19" s="547">
        <v>762872.3</v>
      </c>
      <c r="H19" s="548">
        <v>765891.06</v>
      </c>
      <c r="I19" s="547">
        <v>765891.07</v>
      </c>
      <c r="J19" s="542">
        <v>765891.06</v>
      </c>
      <c r="K19" s="549">
        <v>765891.07</v>
      </c>
      <c r="L19" s="549">
        <v>771145.22</v>
      </c>
      <c r="M19" s="550"/>
      <c r="N19" s="544"/>
      <c r="O19" s="531"/>
      <c r="Q19" s="544">
        <f t="shared" si="0"/>
        <v>6111348.0800000001</v>
      </c>
      <c r="R19" s="544">
        <v>0</v>
      </c>
    </row>
    <row r="20" spans="1:18" x14ac:dyDescent="0.25">
      <c r="A20" s="528">
        <v>16</v>
      </c>
      <c r="B20" s="527" t="s">
        <v>234</v>
      </c>
      <c r="C20" s="528" t="s">
        <v>235</v>
      </c>
      <c r="D20" s="529">
        <v>2400713.6100000003</v>
      </c>
      <c r="E20" s="551">
        <v>199480.37</v>
      </c>
      <c r="F20" s="546">
        <v>202508.28</v>
      </c>
      <c r="G20" s="547">
        <v>202508.28</v>
      </c>
      <c r="H20" s="548">
        <v>198960.42</v>
      </c>
      <c r="I20" s="547">
        <v>198960.42</v>
      </c>
      <c r="J20" s="542">
        <v>198960.42</v>
      </c>
      <c r="K20" s="549">
        <v>198960.42</v>
      </c>
      <c r="L20" s="549">
        <v>200075</v>
      </c>
      <c r="M20" s="550"/>
      <c r="N20" s="544"/>
      <c r="O20" s="531"/>
      <c r="Q20" s="544">
        <f t="shared" si="0"/>
        <v>1600413.61</v>
      </c>
      <c r="R20" s="544">
        <v>0</v>
      </c>
    </row>
    <row r="21" spans="1:18" x14ac:dyDescent="0.25">
      <c r="A21" s="528">
        <v>17</v>
      </c>
      <c r="B21" s="555" t="s">
        <v>236</v>
      </c>
      <c r="C21" s="556" t="s">
        <v>237</v>
      </c>
      <c r="D21" s="557"/>
      <c r="E21" s="551"/>
      <c r="F21" s="558">
        <v>0</v>
      </c>
      <c r="G21" s="554"/>
      <c r="H21" s="548"/>
      <c r="I21" s="547"/>
      <c r="J21" s="542"/>
      <c r="K21" s="549"/>
      <c r="L21" s="549"/>
      <c r="M21" s="550"/>
      <c r="N21" s="544"/>
      <c r="O21" s="531"/>
      <c r="Q21" s="544">
        <f t="shared" si="0"/>
        <v>0</v>
      </c>
      <c r="R21" s="544">
        <v>0</v>
      </c>
    </row>
    <row r="22" spans="1:18" x14ac:dyDescent="0.25">
      <c r="A22" s="528">
        <v>18</v>
      </c>
      <c r="B22" s="527" t="s">
        <v>238</v>
      </c>
      <c r="C22" s="528" t="s">
        <v>239</v>
      </c>
      <c r="D22" s="529">
        <v>1678658.22</v>
      </c>
      <c r="E22" s="551">
        <v>136646.84</v>
      </c>
      <c r="F22" s="546">
        <v>137857.37</v>
      </c>
      <c r="G22" s="547">
        <v>137857.37</v>
      </c>
      <c r="H22" s="548">
        <v>136608.79999999999</v>
      </c>
      <c r="I22" s="547">
        <v>136608.79999999999</v>
      </c>
      <c r="J22" s="542">
        <v>136608.79</v>
      </c>
      <c r="K22" s="549">
        <v>136608.79999999999</v>
      </c>
      <c r="L22" s="549">
        <v>143972.29</v>
      </c>
      <c r="M22" s="550"/>
      <c r="N22" s="544"/>
      <c r="O22" s="531"/>
      <c r="Q22" s="544">
        <f t="shared" si="0"/>
        <v>1102769.06</v>
      </c>
      <c r="R22" s="544">
        <v>0</v>
      </c>
    </row>
    <row r="23" spans="1:18" x14ac:dyDescent="0.25">
      <c r="A23" s="528">
        <v>19</v>
      </c>
      <c r="B23" s="527" t="s">
        <v>240</v>
      </c>
      <c r="C23" s="528" t="s">
        <v>241</v>
      </c>
      <c r="D23" s="529">
        <v>4667870.37</v>
      </c>
      <c r="E23" s="551">
        <v>363962.87</v>
      </c>
      <c r="F23" s="546">
        <v>368541.43</v>
      </c>
      <c r="G23" s="547">
        <v>368541.43</v>
      </c>
      <c r="H23" s="548">
        <v>366702.21</v>
      </c>
      <c r="I23" s="547">
        <v>366702.21</v>
      </c>
      <c r="J23" s="542">
        <v>366702.21</v>
      </c>
      <c r="K23" s="549">
        <v>366702.22</v>
      </c>
      <c r="L23" s="549">
        <v>420003.16</v>
      </c>
      <c r="M23" s="550"/>
      <c r="N23" s="544"/>
      <c r="O23" s="531"/>
      <c r="Q23" s="544">
        <f t="shared" si="0"/>
        <v>2987857.74</v>
      </c>
      <c r="R23" s="544">
        <v>0</v>
      </c>
    </row>
    <row r="24" spans="1:18" x14ac:dyDescent="0.25">
      <c r="A24" s="528">
        <v>20</v>
      </c>
      <c r="B24" s="527" t="s">
        <v>242</v>
      </c>
      <c r="C24" s="528" t="s">
        <v>243</v>
      </c>
      <c r="D24" s="529">
        <v>6341065.4500000002</v>
      </c>
      <c r="E24" s="551">
        <v>481353.82</v>
      </c>
      <c r="F24" s="546">
        <v>489623.72</v>
      </c>
      <c r="G24" s="547">
        <v>533385.66</v>
      </c>
      <c r="H24" s="548">
        <v>524600.61</v>
      </c>
      <c r="I24" s="547">
        <v>524600.61</v>
      </c>
      <c r="J24" s="542">
        <v>524600.6</v>
      </c>
      <c r="K24" s="549">
        <v>524600.61</v>
      </c>
      <c r="L24" s="549">
        <v>547659.96</v>
      </c>
      <c r="M24" s="550"/>
      <c r="N24" s="544"/>
      <c r="O24" s="531"/>
      <c r="Q24" s="544">
        <f t="shared" si="0"/>
        <v>4150425.59</v>
      </c>
      <c r="R24" s="544">
        <v>0</v>
      </c>
    </row>
    <row r="25" spans="1:18" x14ac:dyDescent="0.25">
      <c r="A25" s="528">
        <v>21</v>
      </c>
      <c r="B25" s="527" t="s">
        <v>244</v>
      </c>
      <c r="C25" s="528" t="s">
        <v>245</v>
      </c>
      <c r="D25" s="529">
        <v>848904.45000000007</v>
      </c>
      <c r="E25" s="551">
        <v>75370.149999999994</v>
      </c>
      <c r="F25" s="546">
        <v>76763.56</v>
      </c>
      <c r="G25" s="547">
        <v>76763.56</v>
      </c>
      <c r="H25" s="548">
        <v>78174.02</v>
      </c>
      <c r="I25" s="547">
        <v>78174.02</v>
      </c>
      <c r="J25" s="542">
        <v>78174.02</v>
      </c>
      <c r="K25" s="549">
        <v>78174.02</v>
      </c>
      <c r="L25" s="549">
        <v>61462.22</v>
      </c>
      <c r="M25" s="550"/>
      <c r="N25" s="544"/>
      <c r="O25" s="531"/>
      <c r="Q25" s="544">
        <f t="shared" si="0"/>
        <v>603055.56999999995</v>
      </c>
      <c r="R25" s="544">
        <v>0</v>
      </c>
    </row>
    <row r="26" spans="1:18" x14ac:dyDescent="0.25">
      <c r="A26" s="528">
        <v>22</v>
      </c>
      <c r="B26" s="527" t="s">
        <v>246</v>
      </c>
      <c r="C26" s="528" t="s">
        <v>247</v>
      </c>
      <c r="D26" s="529">
        <v>1128492.7</v>
      </c>
      <c r="E26" s="551">
        <v>93540.76</v>
      </c>
      <c r="F26" s="546">
        <v>94458.1</v>
      </c>
      <c r="G26" s="547">
        <v>94458.1</v>
      </c>
      <c r="H26" s="548">
        <v>100055.2</v>
      </c>
      <c r="I26" s="547">
        <v>100055.2</v>
      </c>
      <c r="J26" s="542">
        <v>100047.91</v>
      </c>
      <c r="K26" s="549">
        <v>100047.91</v>
      </c>
      <c r="L26" s="549">
        <v>89165.9</v>
      </c>
      <c r="M26" s="550"/>
      <c r="N26" s="544"/>
      <c r="O26" s="531"/>
      <c r="Q26" s="544">
        <f t="shared" si="0"/>
        <v>771829.08000000007</v>
      </c>
      <c r="R26" s="544">
        <v>0</v>
      </c>
    </row>
    <row r="27" spans="1:18" x14ac:dyDescent="0.25">
      <c r="A27" s="528">
        <v>23</v>
      </c>
      <c r="B27" s="527" t="s">
        <v>248</v>
      </c>
      <c r="C27" s="528" t="s">
        <v>249</v>
      </c>
      <c r="D27" s="529">
        <v>3242599.31</v>
      </c>
      <c r="E27" s="551">
        <v>291401.55</v>
      </c>
      <c r="F27" s="546">
        <v>296284.59999999998</v>
      </c>
      <c r="G27" s="547">
        <v>298028.7</v>
      </c>
      <c r="H27" s="548">
        <v>307696.18</v>
      </c>
      <c r="I27" s="547">
        <v>307696.18</v>
      </c>
      <c r="J27" s="542">
        <v>307696.17</v>
      </c>
      <c r="K27" s="549">
        <v>307696.18</v>
      </c>
      <c r="L27" s="549">
        <v>225219.95</v>
      </c>
      <c r="M27" s="550"/>
      <c r="N27" s="544"/>
      <c r="O27" s="531"/>
      <c r="Q27" s="544">
        <f t="shared" si="0"/>
        <v>2341719.5099999998</v>
      </c>
      <c r="R27" s="544">
        <v>0</v>
      </c>
    </row>
    <row r="28" spans="1:18" x14ac:dyDescent="0.25">
      <c r="A28" s="528">
        <v>24</v>
      </c>
      <c r="B28" s="527" t="s">
        <v>250</v>
      </c>
      <c r="C28" s="528" t="s">
        <v>251</v>
      </c>
      <c r="D28" s="529">
        <v>3483064.4500000007</v>
      </c>
      <c r="E28" s="551">
        <v>282765.64</v>
      </c>
      <c r="F28" s="546">
        <v>286550.08</v>
      </c>
      <c r="G28" s="547">
        <v>286550.08</v>
      </c>
      <c r="H28" s="548">
        <v>287180.12</v>
      </c>
      <c r="I28" s="547">
        <v>287180.12</v>
      </c>
      <c r="J28" s="542">
        <v>287180.12</v>
      </c>
      <c r="K28" s="549">
        <v>287180.12</v>
      </c>
      <c r="L28" s="549">
        <v>295695.63</v>
      </c>
      <c r="M28" s="550"/>
      <c r="N28" s="544"/>
      <c r="O28" s="531"/>
      <c r="Q28" s="544">
        <f t="shared" si="0"/>
        <v>2300281.91</v>
      </c>
      <c r="R28" s="544">
        <v>0</v>
      </c>
    </row>
    <row r="29" spans="1:18" x14ac:dyDescent="0.25">
      <c r="A29" s="528">
        <v>25</v>
      </c>
      <c r="B29" s="527" t="s">
        <v>252</v>
      </c>
      <c r="C29" s="528" t="s">
        <v>253</v>
      </c>
      <c r="D29" s="529">
        <v>4598098.2200000007</v>
      </c>
      <c r="E29" s="551">
        <v>318686.65000000002</v>
      </c>
      <c r="F29" s="546">
        <v>320269.78000000003</v>
      </c>
      <c r="G29" s="547">
        <v>322019.77</v>
      </c>
      <c r="H29" s="548">
        <v>365620.49</v>
      </c>
      <c r="I29" s="547">
        <v>365620.49</v>
      </c>
      <c r="J29" s="542">
        <v>365620.49</v>
      </c>
      <c r="K29" s="549">
        <v>365620.49</v>
      </c>
      <c r="L29" s="549">
        <v>434928.01</v>
      </c>
      <c r="M29" s="550"/>
      <c r="N29" s="544"/>
      <c r="O29" s="531"/>
      <c r="Q29" s="544">
        <f t="shared" si="0"/>
        <v>2858386.17</v>
      </c>
      <c r="R29" s="544">
        <v>0</v>
      </c>
    </row>
    <row r="30" spans="1:18" x14ac:dyDescent="0.25">
      <c r="A30" s="528">
        <v>26</v>
      </c>
      <c r="B30" s="527" t="s">
        <v>254</v>
      </c>
      <c r="C30" s="528" t="s">
        <v>255</v>
      </c>
      <c r="D30" s="529">
        <v>8799933.790000001</v>
      </c>
      <c r="E30" s="551">
        <v>727291.13</v>
      </c>
      <c r="F30" s="546">
        <v>737684.93</v>
      </c>
      <c r="G30" s="547">
        <v>737684.93</v>
      </c>
      <c r="H30" s="548">
        <v>725549.97</v>
      </c>
      <c r="I30" s="547">
        <v>725549.97</v>
      </c>
      <c r="J30" s="542">
        <v>725549.97</v>
      </c>
      <c r="K30" s="549">
        <v>725549.97</v>
      </c>
      <c r="L30" s="549">
        <v>739014.58</v>
      </c>
      <c r="M30" s="550"/>
      <c r="N30" s="544"/>
      <c r="O30" s="531"/>
      <c r="Q30" s="544">
        <f t="shared" si="0"/>
        <v>5843875.4499999993</v>
      </c>
      <c r="R30" s="544">
        <v>0</v>
      </c>
    </row>
    <row r="31" spans="1:18" x14ac:dyDescent="0.25">
      <c r="A31" s="528">
        <v>27</v>
      </c>
      <c r="B31" s="527">
        <v>3441</v>
      </c>
      <c r="C31" s="528" t="s">
        <v>256</v>
      </c>
      <c r="D31" s="529">
        <v>4600833.6900000004</v>
      </c>
      <c r="E31" s="551">
        <v>365051.77</v>
      </c>
      <c r="F31" s="546">
        <v>372113.82</v>
      </c>
      <c r="G31" s="547">
        <v>380953.21</v>
      </c>
      <c r="H31" s="548">
        <v>387823.98</v>
      </c>
      <c r="I31" s="547">
        <v>387823.98</v>
      </c>
      <c r="J31" s="542">
        <v>387823.98</v>
      </c>
      <c r="K31" s="549">
        <v>387823.98</v>
      </c>
      <c r="L31" s="549">
        <v>386283.79</v>
      </c>
      <c r="M31" s="550"/>
      <c r="N31" s="544"/>
      <c r="O31" s="531"/>
      <c r="Q31" s="544">
        <f t="shared" si="0"/>
        <v>3055698.5100000002</v>
      </c>
      <c r="R31" s="544">
        <v>0</v>
      </c>
    </row>
    <row r="32" spans="1:18" x14ac:dyDescent="0.25">
      <c r="A32" s="528">
        <v>28</v>
      </c>
      <c r="B32" s="527">
        <v>3924</v>
      </c>
      <c r="C32" s="528" t="s">
        <v>257</v>
      </c>
      <c r="D32" s="529">
        <v>3473130.48</v>
      </c>
      <c r="E32" s="551">
        <v>303122.37</v>
      </c>
      <c r="F32" s="546">
        <v>308213.52</v>
      </c>
      <c r="G32" s="547">
        <v>309424.3</v>
      </c>
      <c r="H32" s="548">
        <v>306743.77</v>
      </c>
      <c r="I32" s="547">
        <v>306743.77</v>
      </c>
      <c r="J32" s="542">
        <v>306743.77</v>
      </c>
      <c r="K32" s="549">
        <v>306743.77</v>
      </c>
      <c r="L32" s="549">
        <v>265079.03999999998</v>
      </c>
      <c r="M32" s="550"/>
      <c r="N32" s="544"/>
      <c r="O32" s="531"/>
      <c r="Q32" s="544">
        <f t="shared" si="0"/>
        <v>2412814.31</v>
      </c>
      <c r="R32" s="544">
        <v>0</v>
      </c>
    </row>
    <row r="33" spans="1:18" x14ac:dyDescent="0.25">
      <c r="A33" s="528">
        <v>29</v>
      </c>
      <c r="B33" s="527" t="s">
        <v>258</v>
      </c>
      <c r="C33" s="528" t="s">
        <v>259</v>
      </c>
      <c r="D33" s="529">
        <v>2015605.19</v>
      </c>
      <c r="E33" s="551">
        <v>166503.70000000001</v>
      </c>
      <c r="F33" s="546">
        <v>168521.9</v>
      </c>
      <c r="G33" s="547">
        <v>168521.9</v>
      </c>
      <c r="H33" s="548">
        <v>168880.64000000001</v>
      </c>
      <c r="I33" s="547">
        <v>168880.64000000001</v>
      </c>
      <c r="J33" s="542">
        <v>168880.64000000001</v>
      </c>
      <c r="K33" s="549">
        <v>168880.64000000001</v>
      </c>
      <c r="L33" s="549">
        <v>167307.03</v>
      </c>
      <c r="M33" s="550"/>
      <c r="N33" s="544"/>
      <c r="O33" s="531"/>
      <c r="Q33" s="544">
        <f t="shared" si="0"/>
        <v>1346377.09</v>
      </c>
      <c r="R33" s="544">
        <v>0</v>
      </c>
    </row>
    <row r="34" spans="1:18" x14ac:dyDescent="0.25">
      <c r="A34" s="528">
        <v>30</v>
      </c>
      <c r="B34" s="559" t="s">
        <v>260</v>
      </c>
      <c r="C34" s="560" t="s">
        <v>261</v>
      </c>
      <c r="D34" s="561"/>
      <c r="E34" s="562"/>
      <c r="F34" s="563">
        <v>0</v>
      </c>
      <c r="G34" s="561"/>
      <c r="H34" s="564"/>
      <c r="I34" s="561"/>
      <c r="J34" s="542"/>
      <c r="K34" s="549"/>
      <c r="L34" s="549"/>
      <c r="M34" s="550"/>
      <c r="N34" s="544"/>
      <c r="O34" s="531"/>
      <c r="Q34" s="544">
        <f t="shared" si="0"/>
        <v>0</v>
      </c>
      <c r="R34" s="544">
        <v>0</v>
      </c>
    </row>
    <row r="35" spans="1:18" x14ac:dyDescent="0.25">
      <c r="A35" s="528">
        <v>31</v>
      </c>
      <c r="B35" s="527" t="s">
        <v>262</v>
      </c>
      <c r="C35" s="528" t="s">
        <v>425</v>
      </c>
      <c r="D35" s="529">
        <v>5004347.7100000009</v>
      </c>
      <c r="E35" s="551">
        <v>418200.93</v>
      </c>
      <c r="F35" s="546">
        <v>425546.45</v>
      </c>
      <c r="G35" s="547">
        <v>426358.86</v>
      </c>
      <c r="H35" s="548">
        <v>468192.65</v>
      </c>
      <c r="I35" s="547">
        <v>468192.65</v>
      </c>
      <c r="J35" s="542">
        <v>468192.64</v>
      </c>
      <c r="K35" s="549">
        <v>468192.65</v>
      </c>
      <c r="L35" s="549">
        <v>372294.18</v>
      </c>
      <c r="M35" s="550"/>
      <c r="N35" s="544"/>
      <c r="O35" s="531"/>
      <c r="Q35" s="544">
        <f t="shared" si="0"/>
        <v>3515171.0100000002</v>
      </c>
      <c r="R35" s="544">
        <v>0</v>
      </c>
    </row>
    <row r="36" spans="1:18" x14ac:dyDescent="0.25">
      <c r="A36" s="528">
        <v>32</v>
      </c>
      <c r="B36" s="527" t="s">
        <v>264</v>
      </c>
      <c r="C36" s="528" t="s">
        <v>265</v>
      </c>
      <c r="D36" s="529">
        <v>5581342.1799999997</v>
      </c>
      <c r="E36" s="551">
        <v>486040.8</v>
      </c>
      <c r="F36" s="546">
        <v>493503.39</v>
      </c>
      <c r="G36" s="547">
        <v>493503.4</v>
      </c>
      <c r="H36" s="548">
        <v>492923.41</v>
      </c>
      <c r="I36" s="547">
        <v>492923.41</v>
      </c>
      <c r="J36" s="542">
        <v>492923.41</v>
      </c>
      <c r="K36" s="549">
        <v>492923.41</v>
      </c>
      <c r="L36" s="549">
        <v>427320.19</v>
      </c>
      <c r="M36" s="550"/>
      <c r="N36" s="544"/>
      <c r="O36" s="531"/>
      <c r="Q36" s="544">
        <f t="shared" si="0"/>
        <v>3872061.42</v>
      </c>
      <c r="R36" s="544">
        <v>0</v>
      </c>
    </row>
    <row r="37" spans="1:18" x14ac:dyDescent="0.25">
      <c r="A37" s="528">
        <v>33</v>
      </c>
      <c r="B37" s="527">
        <v>4002</v>
      </c>
      <c r="C37" s="528" t="s">
        <v>266</v>
      </c>
      <c r="D37" s="529">
        <v>7798625.0899999999</v>
      </c>
      <c r="E37" s="551">
        <v>707326.89</v>
      </c>
      <c r="F37" s="546">
        <v>715174.9</v>
      </c>
      <c r="G37" s="547">
        <v>715174.91</v>
      </c>
      <c r="H37" s="548">
        <v>708965.29</v>
      </c>
      <c r="I37" s="547">
        <v>708965.29</v>
      </c>
      <c r="J37" s="542">
        <v>708965.29</v>
      </c>
      <c r="K37" s="549">
        <v>708965.29</v>
      </c>
      <c r="L37" s="549">
        <v>565017.44999999995</v>
      </c>
      <c r="M37" s="550"/>
      <c r="N37" s="544"/>
      <c r="O37" s="531"/>
      <c r="Q37" s="544">
        <f t="shared" si="0"/>
        <v>5538555.3100000005</v>
      </c>
      <c r="R37" s="544">
        <v>0</v>
      </c>
    </row>
    <row r="38" spans="1:18" x14ac:dyDescent="0.25">
      <c r="A38" s="528">
        <v>34</v>
      </c>
      <c r="B38" s="527">
        <v>4012</v>
      </c>
      <c r="C38" s="528" t="s">
        <v>267</v>
      </c>
      <c r="D38" s="529">
        <v>4548581.4800000004</v>
      </c>
      <c r="E38" s="551">
        <v>401311.12</v>
      </c>
      <c r="F38" s="546">
        <v>409405.4</v>
      </c>
      <c r="G38" s="547">
        <v>417398.36</v>
      </c>
      <c r="H38" s="548">
        <v>416469.55</v>
      </c>
      <c r="I38" s="547">
        <v>416469.55</v>
      </c>
      <c r="J38" s="542">
        <v>416469.55</v>
      </c>
      <c r="K38" s="549">
        <v>416469.55</v>
      </c>
      <c r="L38" s="549">
        <v>330917.68</v>
      </c>
      <c r="M38" s="550"/>
      <c r="N38" s="544"/>
      <c r="O38" s="531"/>
      <c r="Q38" s="544">
        <f t="shared" si="0"/>
        <v>3224910.76</v>
      </c>
      <c r="R38" s="544">
        <v>0</v>
      </c>
    </row>
    <row r="39" spans="1:18" x14ac:dyDescent="0.25">
      <c r="A39" s="528">
        <v>35</v>
      </c>
      <c r="B39" s="527">
        <v>4013</v>
      </c>
      <c r="C39" s="528" t="s">
        <v>268</v>
      </c>
      <c r="D39" s="529">
        <v>9108707.6500000004</v>
      </c>
      <c r="E39" s="551">
        <v>667648.91</v>
      </c>
      <c r="F39" s="546">
        <v>677472.72</v>
      </c>
      <c r="G39" s="547">
        <v>795258.27</v>
      </c>
      <c r="H39" s="548">
        <v>786596.81</v>
      </c>
      <c r="I39" s="547">
        <v>786596.81</v>
      </c>
      <c r="J39" s="542">
        <v>786596.81</v>
      </c>
      <c r="K39" s="549">
        <v>786596.81</v>
      </c>
      <c r="L39" s="549">
        <v>764388.1</v>
      </c>
      <c r="M39" s="550"/>
      <c r="N39" s="544"/>
      <c r="O39" s="531"/>
      <c r="Q39" s="544">
        <f t="shared" si="0"/>
        <v>6051155.2400000002</v>
      </c>
      <c r="R39" s="544">
        <v>0</v>
      </c>
    </row>
    <row r="40" spans="1:18" x14ac:dyDescent="0.25">
      <c r="A40" s="528">
        <v>36</v>
      </c>
      <c r="B40" s="527">
        <v>4020</v>
      </c>
      <c r="C40" s="528" t="s">
        <v>269</v>
      </c>
      <c r="D40" s="529">
        <v>10909456.060000001</v>
      </c>
      <c r="E40" s="551">
        <v>892802.19</v>
      </c>
      <c r="F40" s="546">
        <v>906770.45</v>
      </c>
      <c r="G40" s="547">
        <v>906770.45</v>
      </c>
      <c r="H40" s="548">
        <v>899763.33</v>
      </c>
      <c r="I40" s="547">
        <v>899763.33</v>
      </c>
      <c r="J40" s="542">
        <v>899763.33</v>
      </c>
      <c r="K40" s="549">
        <v>899763.33</v>
      </c>
      <c r="L40" s="549">
        <v>920811.93</v>
      </c>
      <c r="M40" s="550"/>
      <c r="N40" s="544"/>
      <c r="O40" s="531"/>
      <c r="Q40" s="544">
        <f t="shared" si="0"/>
        <v>7226208.3399999999</v>
      </c>
      <c r="R40" s="544">
        <v>0</v>
      </c>
    </row>
    <row r="41" spans="1:18" x14ac:dyDescent="0.25">
      <c r="A41" s="528">
        <v>37</v>
      </c>
      <c r="B41" s="527">
        <v>4030</v>
      </c>
      <c r="C41" s="528" t="s">
        <v>270</v>
      </c>
      <c r="D41" s="529">
        <v>2107411.29</v>
      </c>
      <c r="E41" s="551">
        <v>216879.02</v>
      </c>
      <c r="F41" s="546">
        <v>218407.85</v>
      </c>
      <c r="G41" s="547">
        <v>218407.85</v>
      </c>
      <c r="H41" s="548">
        <v>217485.59</v>
      </c>
      <c r="I41" s="547">
        <v>217485.59</v>
      </c>
      <c r="J41" s="542">
        <v>217485.59</v>
      </c>
      <c r="K41" s="549">
        <v>217485.59</v>
      </c>
      <c r="L41" s="549">
        <v>116754.84</v>
      </c>
      <c r="M41" s="550"/>
      <c r="N41" s="544"/>
      <c r="O41" s="531"/>
      <c r="Q41" s="544">
        <f t="shared" si="0"/>
        <v>1640391.9200000002</v>
      </c>
      <c r="R41" s="544">
        <v>0</v>
      </c>
    </row>
    <row r="42" spans="1:18" x14ac:dyDescent="0.25">
      <c r="A42" s="528">
        <v>38</v>
      </c>
      <c r="B42" s="527">
        <v>4031</v>
      </c>
      <c r="C42" s="528" t="s">
        <v>271</v>
      </c>
      <c r="D42" s="529">
        <v>3418460.41</v>
      </c>
      <c r="E42" s="551">
        <v>322483.34000000003</v>
      </c>
      <c r="F42" s="546">
        <v>326575.68</v>
      </c>
      <c r="G42" s="547">
        <v>326575.68</v>
      </c>
      <c r="H42" s="548">
        <v>319995.15999999997</v>
      </c>
      <c r="I42" s="547">
        <v>319995.15999999997</v>
      </c>
      <c r="J42" s="542">
        <v>319995.15999999997</v>
      </c>
      <c r="K42" s="549">
        <v>319995.15999999997</v>
      </c>
      <c r="L42" s="549">
        <v>232569.01</v>
      </c>
      <c r="M42" s="550"/>
      <c r="N42" s="544"/>
      <c r="O42" s="531"/>
      <c r="Q42" s="544">
        <f t="shared" si="0"/>
        <v>2488184.3499999996</v>
      </c>
      <c r="R42" s="544">
        <v>0</v>
      </c>
    </row>
    <row r="43" spans="1:18" x14ac:dyDescent="0.25">
      <c r="A43" s="528">
        <v>39</v>
      </c>
      <c r="B43" s="527">
        <v>4041</v>
      </c>
      <c r="C43" s="528" t="s">
        <v>272</v>
      </c>
      <c r="D43" s="529">
        <v>788222.21</v>
      </c>
      <c r="E43" s="551">
        <v>63488.77</v>
      </c>
      <c r="F43" s="546">
        <v>64770.19</v>
      </c>
      <c r="G43" s="547">
        <v>64770.19</v>
      </c>
      <c r="H43" s="548">
        <v>64613.31</v>
      </c>
      <c r="I43" s="547">
        <v>64613.31</v>
      </c>
      <c r="J43" s="542">
        <v>64613.31</v>
      </c>
      <c r="K43" s="549">
        <v>64613.31</v>
      </c>
      <c r="L43" s="549">
        <v>67347.960000000006</v>
      </c>
      <c r="M43" s="550"/>
      <c r="N43" s="544"/>
      <c r="O43" s="531"/>
      <c r="Q43" s="544">
        <f t="shared" si="0"/>
        <v>518830.35000000003</v>
      </c>
      <c r="R43" s="544">
        <v>0</v>
      </c>
    </row>
    <row r="44" spans="1:18" x14ac:dyDescent="0.25">
      <c r="A44" s="528">
        <v>40</v>
      </c>
      <c r="B44" s="527">
        <v>4050</v>
      </c>
      <c r="C44" s="528" t="s">
        <v>273</v>
      </c>
      <c r="D44" s="529">
        <v>5501258.1799999997</v>
      </c>
      <c r="E44" s="551">
        <v>512294.34</v>
      </c>
      <c r="F44" s="546">
        <v>519597.92</v>
      </c>
      <c r="G44" s="547">
        <v>519597.92</v>
      </c>
      <c r="H44" s="548">
        <v>511250.04</v>
      </c>
      <c r="I44" s="547">
        <v>511250.04</v>
      </c>
      <c r="J44" s="542">
        <v>511250.04</v>
      </c>
      <c r="K44" s="549">
        <v>511250.04</v>
      </c>
      <c r="L44" s="549">
        <v>380953.57</v>
      </c>
      <c r="M44" s="550"/>
      <c r="N44" s="544"/>
      <c r="O44" s="531"/>
      <c r="Q44" s="544">
        <f t="shared" si="0"/>
        <v>3977443.9099999997</v>
      </c>
      <c r="R44" s="544">
        <v>0</v>
      </c>
    </row>
    <row r="45" spans="1:18" x14ac:dyDescent="0.25">
      <c r="A45" s="528">
        <v>41</v>
      </c>
      <c r="B45" s="527">
        <v>4051</v>
      </c>
      <c r="C45" s="528" t="s">
        <v>274</v>
      </c>
      <c r="D45" s="529">
        <v>5443596.5299999993</v>
      </c>
      <c r="E45" s="551">
        <v>541173.16</v>
      </c>
      <c r="F45" s="546">
        <v>548429.27</v>
      </c>
      <c r="G45" s="547">
        <v>548429.27</v>
      </c>
      <c r="H45" s="548">
        <v>533809.19999999995</v>
      </c>
      <c r="I45" s="547">
        <v>533809.19999999995</v>
      </c>
      <c r="J45" s="542">
        <v>533809.19999999995</v>
      </c>
      <c r="K45" s="549">
        <v>533809.19999999995</v>
      </c>
      <c r="L45" s="549">
        <v>334065.61</v>
      </c>
      <c r="M45" s="550"/>
      <c r="N45" s="544"/>
      <c r="O45" s="531"/>
      <c r="Q45" s="544">
        <f t="shared" si="0"/>
        <v>4107334.1100000008</v>
      </c>
      <c r="R45" s="544">
        <v>0</v>
      </c>
    </row>
    <row r="46" spans="1:18" x14ac:dyDescent="0.25">
      <c r="A46" s="528">
        <v>42</v>
      </c>
      <c r="B46" s="527">
        <v>4061</v>
      </c>
      <c r="C46" s="528" t="s">
        <v>275</v>
      </c>
      <c r="D46" s="529">
        <v>8106065.9100000001</v>
      </c>
      <c r="E46" s="551">
        <v>686342</v>
      </c>
      <c r="F46" s="546">
        <v>697323.13</v>
      </c>
      <c r="G46" s="547">
        <v>697323.13</v>
      </c>
      <c r="H46" s="548">
        <v>697798.89</v>
      </c>
      <c r="I46" s="547">
        <v>697798.89</v>
      </c>
      <c r="J46" s="542">
        <v>697798.89</v>
      </c>
      <c r="K46" s="549">
        <v>697798.89</v>
      </c>
      <c r="L46" s="549">
        <v>646776.42000000004</v>
      </c>
      <c r="M46" s="550"/>
      <c r="N46" s="544"/>
      <c r="O46" s="531"/>
      <c r="Q46" s="544">
        <f t="shared" si="0"/>
        <v>5518960.2400000002</v>
      </c>
      <c r="R46" s="544">
        <v>0</v>
      </c>
    </row>
    <row r="47" spans="1:18" x14ac:dyDescent="0.25">
      <c r="A47" s="528">
        <v>43</v>
      </c>
      <c r="B47" s="527">
        <v>4080</v>
      </c>
      <c r="C47" s="528" t="s">
        <v>276</v>
      </c>
      <c r="D47" s="565"/>
      <c r="E47" s="566">
        <v>166059.87</v>
      </c>
      <c r="F47" s="599">
        <v>-166059.87</v>
      </c>
      <c r="G47" s="547"/>
      <c r="H47" s="548"/>
      <c r="I47" s="547"/>
      <c r="J47" s="542"/>
      <c r="K47" s="549"/>
      <c r="L47" s="549"/>
      <c r="M47" s="550"/>
      <c r="N47" s="544"/>
      <c r="O47" s="531"/>
      <c r="Q47" s="544">
        <f t="shared" si="0"/>
        <v>0</v>
      </c>
      <c r="R47" s="544">
        <v>0</v>
      </c>
    </row>
    <row r="48" spans="1:18" x14ac:dyDescent="0.25">
      <c r="A48" s="528">
        <v>44</v>
      </c>
      <c r="B48" s="527">
        <v>4081</v>
      </c>
      <c r="C48" s="528" t="s">
        <v>277</v>
      </c>
      <c r="D48" s="529">
        <v>955767.66</v>
      </c>
      <c r="E48" s="551">
        <v>83555.86</v>
      </c>
      <c r="F48" s="546">
        <v>84667.61</v>
      </c>
      <c r="G48" s="547">
        <v>84667.61</v>
      </c>
      <c r="H48" s="548">
        <v>86139.09</v>
      </c>
      <c r="I48" s="547">
        <v>86139.09</v>
      </c>
      <c r="J48" s="542">
        <v>86139.09</v>
      </c>
      <c r="K48" s="549">
        <v>86139.09</v>
      </c>
      <c r="L48" s="549">
        <v>71664.039999999994</v>
      </c>
      <c r="M48" s="550"/>
      <c r="N48" s="544"/>
      <c r="O48" s="531"/>
      <c r="Q48" s="544">
        <f t="shared" si="0"/>
        <v>669111.48</v>
      </c>
      <c r="R48" s="544">
        <v>0</v>
      </c>
    </row>
    <row r="49" spans="1:18" x14ac:dyDescent="0.25">
      <c r="A49" s="528">
        <v>45</v>
      </c>
      <c r="B49" s="527">
        <v>4090</v>
      </c>
      <c r="C49" s="528" t="s">
        <v>278</v>
      </c>
      <c r="D49" s="529">
        <v>2505046.8800000004</v>
      </c>
      <c r="E49" s="551">
        <v>182095.15</v>
      </c>
      <c r="F49" s="546">
        <v>185341.43</v>
      </c>
      <c r="G49" s="547">
        <v>185341.43</v>
      </c>
      <c r="H49" s="548">
        <v>209719.73</v>
      </c>
      <c r="I49" s="547">
        <v>209719.73</v>
      </c>
      <c r="J49" s="542">
        <v>209719.73</v>
      </c>
      <c r="K49" s="549">
        <v>209719.73</v>
      </c>
      <c r="L49" s="549">
        <v>222677.99</v>
      </c>
      <c r="M49" s="550"/>
      <c r="N49" s="544"/>
      <c r="O49" s="531"/>
      <c r="Q49" s="544">
        <f>SUM(E49:P49)</f>
        <v>1614334.92</v>
      </c>
      <c r="R49" s="544">
        <v>0</v>
      </c>
    </row>
    <row r="50" spans="1:18" x14ac:dyDescent="0.25">
      <c r="A50" s="528">
        <v>46</v>
      </c>
      <c r="B50" s="527">
        <v>4091</v>
      </c>
      <c r="C50" s="528" t="s">
        <v>279</v>
      </c>
      <c r="D50" s="529">
        <v>3439493.9599999995</v>
      </c>
      <c r="E50" s="551">
        <v>285991.09999999998</v>
      </c>
      <c r="F50" s="546">
        <v>288895.8</v>
      </c>
      <c r="G50" s="547">
        <v>288895.8</v>
      </c>
      <c r="H50" s="548">
        <v>283969.88</v>
      </c>
      <c r="I50" s="547">
        <v>283969.88</v>
      </c>
      <c r="J50" s="542">
        <v>283969.88</v>
      </c>
      <c r="K50" s="549">
        <v>283969.88</v>
      </c>
      <c r="L50" s="549">
        <v>287966.34999999998</v>
      </c>
      <c r="M50" s="550"/>
      <c r="N50" s="544"/>
      <c r="O50" s="531"/>
      <c r="Q50" s="544">
        <f t="shared" si="0"/>
        <v>2287628.5699999998</v>
      </c>
      <c r="R50" s="544">
        <v>0</v>
      </c>
    </row>
    <row r="51" spans="1:18" x14ac:dyDescent="0.25">
      <c r="A51" s="528">
        <v>47</v>
      </c>
      <c r="B51" s="527">
        <v>4100</v>
      </c>
      <c r="C51" s="528" t="s">
        <v>280</v>
      </c>
      <c r="D51" s="529">
        <v>3870280.86</v>
      </c>
      <c r="E51" s="551">
        <v>312807.54399999999</v>
      </c>
      <c r="F51" s="546">
        <v>321124.13</v>
      </c>
      <c r="G51" s="547">
        <v>321124.13</v>
      </c>
      <c r="H51" s="548">
        <v>321124.13</v>
      </c>
      <c r="I51" s="547">
        <v>321189.65000000002</v>
      </c>
      <c r="J51" s="542">
        <v>322316.15000000002</v>
      </c>
      <c r="K51" s="549">
        <v>322228.78999999998</v>
      </c>
      <c r="L51" s="549">
        <v>325673.27</v>
      </c>
      <c r="M51" s="550"/>
      <c r="N51" s="544"/>
      <c r="O51" s="531"/>
      <c r="Q51" s="544">
        <f t="shared" si="0"/>
        <v>2567587.7939999998</v>
      </c>
      <c r="R51" s="544">
        <v>0</v>
      </c>
    </row>
    <row r="52" spans="1:18" x14ac:dyDescent="0.25">
      <c r="A52" s="528">
        <v>48</v>
      </c>
      <c r="B52" s="559">
        <v>4102</v>
      </c>
      <c r="C52" s="560" t="s">
        <v>281</v>
      </c>
      <c r="D52" s="561">
        <v>1565638.86</v>
      </c>
      <c r="E52" s="562">
        <v>95722.880000000005</v>
      </c>
      <c r="F52" s="563">
        <v>97565.26</v>
      </c>
      <c r="G52" s="561">
        <v>129838.42</v>
      </c>
      <c r="H52" s="564">
        <v>129838.42</v>
      </c>
      <c r="I52" s="561">
        <v>129838.42</v>
      </c>
      <c r="J52" s="542">
        <v>129838.41</v>
      </c>
      <c r="K52" s="549">
        <v>129838.42</v>
      </c>
      <c r="L52" s="549">
        <v>144631.73000000001</v>
      </c>
      <c r="M52" s="550"/>
      <c r="N52" s="544"/>
      <c r="O52" s="531"/>
      <c r="Q52" s="544">
        <f t="shared" si="0"/>
        <v>987111.96000000008</v>
      </c>
      <c r="R52" s="544">
        <v>0</v>
      </c>
    </row>
    <row r="53" spans="1:18" x14ac:dyDescent="0.25">
      <c r="A53" s="528">
        <v>49</v>
      </c>
      <c r="B53" s="527">
        <v>4103</v>
      </c>
      <c r="C53" s="528" t="s">
        <v>282</v>
      </c>
      <c r="D53" s="529">
        <v>8359432.9000000013</v>
      </c>
      <c r="E53" s="551">
        <v>660664.68999999994</v>
      </c>
      <c r="F53" s="546">
        <v>670046.88</v>
      </c>
      <c r="G53" s="547">
        <v>702200.36</v>
      </c>
      <c r="H53" s="548">
        <v>698845.87</v>
      </c>
      <c r="I53" s="547">
        <v>698845.87</v>
      </c>
      <c r="J53" s="546">
        <v>698845.86</v>
      </c>
      <c r="K53" s="549">
        <v>698845.87</v>
      </c>
      <c r="L53" s="549">
        <v>706227.5</v>
      </c>
      <c r="M53" s="550"/>
      <c r="N53" s="544"/>
      <c r="O53" s="550"/>
      <c r="P53" s="550"/>
      <c r="Q53" s="544">
        <f t="shared" si="0"/>
        <v>5534522.8999999994</v>
      </c>
      <c r="R53" s="544">
        <v>0</v>
      </c>
    </row>
    <row r="54" spans="1:18" x14ac:dyDescent="0.25">
      <c r="A54" s="528">
        <v>50</v>
      </c>
      <c r="B54" s="527">
        <v>4111</v>
      </c>
      <c r="C54" s="528" t="s">
        <v>283</v>
      </c>
      <c r="D54" s="529">
        <v>2599552.11</v>
      </c>
      <c r="E54" s="551">
        <v>200228.99</v>
      </c>
      <c r="F54" s="546">
        <v>202649.33</v>
      </c>
      <c r="G54" s="547">
        <v>205064.94</v>
      </c>
      <c r="H54" s="548">
        <v>205425.31</v>
      </c>
      <c r="I54" s="547">
        <v>205425.31</v>
      </c>
      <c r="J54" s="546">
        <v>205425.31</v>
      </c>
      <c r="K54" s="549">
        <v>205425.31</v>
      </c>
      <c r="L54" s="549">
        <v>233981.52</v>
      </c>
      <c r="M54" s="550"/>
      <c r="N54" s="544"/>
      <c r="O54" s="531"/>
      <c r="Q54" s="544">
        <f t="shared" si="0"/>
        <v>1663626.0200000003</v>
      </c>
      <c r="R54" s="544">
        <v>0</v>
      </c>
    </row>
    <row r="55" spans="1:18" x14ac:dyDescent="0.25">
      <c r="A55" s="528">
        <v>51</v>
      </c>
      <c r="B55" s="527">
        <v>4131</v>
      </c>
      <c r="C55" s="528" t="s">
        <v>284</v>
      </c>
      <c r="D55" s="529">
        <v>1000116.8900000002</v>
      </c>
      <c r="E55" s="551">
        <v>66112.399999999994</v>
      </c>
      <c r="F55" s="546">
        <v>67065.63</v>
      </c>
      <c r="G55" s="547">
        <v>67991.27</v>
      </c>
      <c r="H55" s="548">
        <v>67799.25</v>
      </c>
      <c r="I55" s="547">
        <v>67799.25</v>
      </c>
      <c r="J55" s="546">
        <v>67799.240000000005</v>
      </c>
      <c r="K55" s="549">
        <v>67799.25</v>
      </c>
      <c r="L55" s="549">
        <v>105550.12</v>
      </c>
      <c r="M55" s="550"/>
      <c r="N55" s="544"/>
      <c r="O55" s="531"/>
      <c r="Q55" s="544">
        <f t="shared" si="0"/>
        <v>577916.40999999992</v>
      </c>
      <c r="R55" s="544">
        <v>0</v>
      </c>
    </row>
    <row r="56" spans="1:18" x14ac:dyDescent="0.25">
      <c r="E56" s="545"/>
      <c r="J56" s="531"/>
      <c r="L56" s="531"/>
      <c r="R56" s="544">
        <f t="shared" ref="R56" si="1">SUM(E56:E56)</f>
        <v>0</v>
      </c>
    </row>
    <row r="57" spans="1:18" x14ac:dyDescent="0.25">
      <c r="D57" s="529">
        <f t="shared" ref="D57:I57" si="2">SUM(D5:D56)</f>
        <v>209277488.42000008</v>
      </c>
      <c r="E57" s="545">
        <f t="shared" si="2"/>
        <v>16906713.023999993</v>
      </c>
      <c r="F57" s="545">
        <f t="shared" si="2"/>
        <v>16825408.719999999</v>
      </c>
      <c r="G57" s="529">
        <f t="shared" si="2"/>
        <v>17480699.379999999</v>
      </c>
      <c r="H57" s="529">
        <f t="shared" si="2"/>
        <v>17767778.950000003</v>
      </c>
      <c r="I57" s="529">
        <f t="shared" si="2"/>
        <v>17751394.610000003</v>
      </c>
      <c r="J57" s="567">
        <f>SUM(J5:J56)</f>
        <v>17758036.229999997</v>
      </c>
      <c r="K57" s="567">
        <f>SUM(K5:K56)</f>
        <v>17759251.090000004</v>
      </c>
      <c r="L57" s="568">
        <f t="shared" ref="L57:P57" si="3">SUM(L5:L56)</f>
        <v>17405641.269999996</v>
      </c>
      <c r="M57" s="529">
        <f t="shared" si="3"/>
        <v>0</v>
      </c>
      <c r="N57" s="529">
        <f t="shared" si="3"/>
        <v>0</v>
      </c>
      <c r="O57" s="529">
        <f t="shared" si="3"/>
        <v>0</v>
      </c>
      <c r="P57" s="568">
        <f t="shared" si="3"/>
        <v>0</v>
      </c>
      <c r="Q57" s="529">
        <f>SUM(Q5:Q56)</f>
        <v>139385102.33399999</v>
      </c>
      <c r="R57" s="544">
        <f>SUM(E57:E57)</f>
        <v>16906713.023999993</v>
      </c>
    </row>
    <row r="59" spans="1:18" x14ac:dyDescent="0.25">
      <c r="B59" s="599">
        <v>166059.87</v>
      </c>
      <c r="C59" s="528" t="s">
        <v>426</v>
      </c>
      <c r="I59" s="569" t="s">
        <v>200</v>
      </c>
      <c r="J59" s="545">
        <f>'Annual Rev &amp; Fees'!L58</f>
        <v>209277488.42000008</v>
      </c>
      <c r="L59" s="570"/>
    </row>
    <row r="60" spans="1:18" x14ac:dyDescent="0.25">
      <c r="I60" s="569" t="s">
        <v>427</v>
      </c>
      <c r="J60" s="571">
        <f>D57-E57-F57-G57-H57-I57-J57-K57</f>
        <v>87028206.416000068</v>
      </c>
      <c r="L60" s="570"/>
    </row>
    <row r="61" spans="1:18" x14ac:dyDescent="0.25">
      <c r="I61" s="569" t="s">
        <v>428</v>
      </c>
      <c r="J61" s="572">
        <f>J60/5</f>
        <v>17405641.283200014</v>
      </c>
      <c r="K61" s="573"/>
      <c r="L61" s="570"/>
    </row>
    <row r="62" spans="1:18" x14ac:dyDescent="0.25">
      <c r="I62" s="569" t="s">
        <v>429</v>
      </c>
      <c r="J62" s="571">
        <f>L57</f>
        <v>17405641.269999996</v>
      </c>
      <c r="L62" s="570"/>
    </row>
    <row r="63" spans="1:18" x14ac:dyDescent="0.25">
      <c r="J63" s="572">
        <f>J61-J62</f>
        <v>1.3200018554925919E-2</v>
      </c>
      <c r="K63" s="530" t="s">
        <v>430</v>
      </c>
      <c r="L63" s="570"/>
    </row>
    <row r="64" spans="1:18" x14ac:dyDescent="0.25">
      <c r="J64" s="570"/>
      <c r="L64" s="570"/>
    </row>
    <row r="65" spans="1:18" x14ac:dyDescent="0.25">
      <c r="D65" s="557"/>
      <c r="J65" s="570"/>
      <c r="L65" s="570"/>
    </row>
    <row r="69" spans="1:18" x14ac:dyDescent="0.25">
      <c r="N69" s="532" t="s">
        <v>431</v>
      </c>
    </row>
    <row r="71" spans="1:18" ht="45" x14ac:dyDescent="0.25">
      <c r="A71" s="534" t="s">
        <v>52</v>
      </c>
      <c r="B71" s="535" t="s">
        <v>52</v>
      </c>
      <c r="C71" s="534" t="s">
        <v>52</v>
      </c>
      <c r="D71" s="536" t="s">
        <v>200</v>
      </c>
      <c r="E71" s="536" t="s">
        <v>412</v>
      </c>
      <c r="F71" s="535" t="s">
        <v>413</v>
      </c>
      <c r="G71" s="535" t="s">
        <v>414</v>
      </c>
      <c r="H71" s="535" t="s">
        <v>415</v>
      </c>
      <c r="I71" s="535" t="s">
        <v>416</v>
      </c>
      <c r="J71" s="535" t="s">
        <v>417</v>
      </c>
      <c r="K71" s="537" t="s">
        <v>418</v>
      </c>
      <c r="L71" s="535" t="s">
        <v>419</v>
      </c>
      <c r="M71" s="535" t="s">
        <v>420</v>
      </c>
      <c r="N71" s="535" t="s">
        <v>421</v>
      </c>
      <c r="O71" s="535" t="s">
        <v>422</v>
      </c>
      <c r="P71" s="538" t="s">
        <v>423</v>
      </c>
      <c r="Q71" s="535" t="s">
        <v>125</v>
      </c>
      <c r="R71" s="539" t="s">
        <v>424</v>
      </c>
    </row>
    <row r="72" spans="1:18" x14ac:dyDescent="0.25">
      <c r="A72" s="528">
        <v>1</v>
      </c>
      <c r="B72" s="540" t="s">
        <v>208</v>
      </c>
      <c r="C72" s="528" t="s">
        <v>209</v>
      </c>
      <c r="D72" s="541">
        <v>298028.77999999997</v>
      </c>
      <c r="E72" s="541">
        <v>24451.48</v>
      </c>
      <c r="F72" s="588">
        <v>24870.66</v>
      </c>
      <c r="G72" s="588">
        <v>24870.66</v>
      </c>
      <c r="H72" s="542">
        <v>24538.62</v>
      </c>
      <c r="I72" s="542">
        <v>24538.63</v>
      </c>
      <c r="J72" s="542">
        <v>24538.62</v>
      </c>
      <c r="K72" s="543">
        <v>24538.63</v>
      </c>
      <c r="L72" s="543"/>
      <c r="M72" s="542"/>
      <c r="N72" s="542"/>
      <c r="O72" s="542"/>
      <c r="P72" s="538"/>
      <c r="Q72" s="574">
        <f>SUM(E72:P72)</f>
        <v>172347.30000000002</v>
      </c>
      <c r="R72" s="544">
        <f>SUM(E72:K72)</f>
        <v>172347.30000000002</v>
      </c>
    </row>
    <row r="73" spans="1:18" x14ac:dyDescent="0.25">
      <c r="A73" s="528">
        <v>2</v>
      </c>
      <c r="B73" s="540" t="s">
        <v>551</v>
      </c>
      <c r="C73" s="528" t="s">
        <v>552</v>
      </c>
      <c r="D73" s="541"/>
      <c r="E73" s="541"/>
      <c r="F73" s="588"/>
      <c r="G73" s="588"/>
      <c r="H73" s="542">
        <v>43342.64</v>
      </c>
      <c r="I73" s="542">
        <v>43342.64</v>
      </c>
      <c r="J73" s="542">
        <v>43342.64</v>
      </c>
      <c r="K73" s="543">
        <v>43342.64</v>
      </c>
      <c r="L73" s="543"/>
      <c r="M73" s="542"/>
      <c r="N73" s="542"/>
      <c r="O73" s="542"/>
      <c r="P73" s="538"/>
      <c r="Q73" s="574">
        <f>SUM(E73:P73)</f>
        <v>173370.56</v>
      </c>
      <c r="R73" s="544">
        <f t="shared" ref="R73:R122" si="4">SUM(E73:K73)</f>
        <v>173370.56</v>
      </c>
    </row>
    <row r="74" spans="1:18" x14ac:dyDescent="0.25">
      <c r="A74" s="528">
        <v>3</v>
      </c>
      <c r="B74" s="540" t="s">
        <v>210</v>
      </c>
      <c r="C74" s="528" t="s">
        <v>211</v>
      </c>
      <c r="D74" s="541">
        <v>267259.57</v>
      </c>
      <c r="E74" s="541">
        <v>22293.06</v>
      </c>
      <c r="F74" s="588">
        <v>22269.68</v>
      </c>
      <c r="G74" s="588">
        <v>22269.68</v>
      </c>
      <c r="H74" s="542">
        <v>26670.77</v>
      </c>
      <c r="I74" s="542">
        <v>26670.78</v>
      </c>
      <c r="J74" s="542">
        <v>26737.89</v>
      </c>
      <c r="K74" s="543">
        <v>28707.39</v>
      </c>
      <c r="L74" s="543"/>
      <c r="M74" s="542"/>
      <c r="N74" s="542"/>
      <c r="O74" s="542"/>
      <c r="P74" s="538"/>
      <c r="Q74" s="574">
        <f>SUM(E74:P74)</f>
        <v>175619.25</v>
      </c>
      <c r="R74" s="544">
        <f t="shared" si="4"/>
        <v>175619.25</v>
      </c>
    </row>
    <row r="75" spans="1:18" x14ac:dyDescent="0.25">
      <c r="A75" s="528">
        <v>4</v>
      </c>
      <c r="B75" s="527" t="s">
        <v>212</v>
      </c>
      <c r="C75" s="528" t="s">
        <v>213</v>
      </c>
      <c r="D75" s="529">
        <v>5905730.7300000004</v>
      </c>
      <c r="E75" s="545">
        <v>485398.34</v>
      </c>
      <c r="F75" s="547">
        <v>492757.49</v>
      </c>
      <c r="G75" s="547">
        <v>662254.39</v>
      </c>
      <c r="H75" s="547">
        <v>675822.09</v>
      </c>
      <c r="I75" s="546">
        <v>659372.19999999995</v>
      </c>
      <c r="J75" s="546">
        <v>659372.19999999995</v>
      </c>
      <c r="K75" s="549">
        <v>659372.19999999995</v>
      </c>
      <c r="L75" s="550"/>
      <c r="M75" s="550"/>
      <c r="N75" s="550"/>
      <c r="O75" s="531"/>
      <c r="Q75" s="574">
        <f>SUM(E75:P75)</f>
        <v>4294348.91</v>
      </c>
      <c r="R75" s="544">
        <f t="shared" si="4"/>
        <v>4294348.91</v>
      </c>
    </row>
    <row r="76" spans="1:18" x14ac:dyDescent="0.25">
      <c r="A76" s="528">
        <v>5</v>
      </c>
      <c r="B76" s="527" t="s">
        <v>214</v>
      </c>
      <c r="C76" s="528" t="s">
        <v>215</v>
      </c>
      <c r="D76" s="529">
        <v>9687740.0200000014</v>
      </c>
      <c r="E76" s="551">
        <v>795164.86</v>
      </c>
      <c r="F76" s="547">
        <v>808415.92</v>
      </c>
      <c r="G76" s="547">
        <v>876352.53</v>
      </c>
      <c r="H76" s="547">
        <v>860836.4</v>
      </c>
      <c r="I76" s="546">
        <v>860836.4</v>
      </c>
      <c r="J76" s="546">
        <v>860836.4</v>
      </c>
      <c r="K76" s="549">
        <v>860836.4</v>
      </c>
      <c r="L76" s="550"/>
      <c r="M76" s="550"/>
      <c r="N76" s="550"/>
      <c r="O76" s="531"/>
      <c r="Q76" s="574">
        <f>SUM(E76:P76)</f>
        <v>5923278.9100000011</v>
      </c>
      <c r="R76" s="544">
        <f t="shared" si="4"/>
        <v>5923278.9100000011</v>
      </c>
    </row>
    <row r="77" spans="1:18" x14ac:dyDescent="0.25">
      <c r="A77" s="528">
        <v>6</v>
      </c>
      <c r="B77" s="527" t="s">
        <v>216</v>
      </c>
      <c r="C77" s="528" t="s">
        <v>217</v>
      </c>
      <c r="D77" s="529">
        <v>1350384.3499999999</v>
      </c>
      <c r="E77" s="551">
        <v>112200.54</v>
      </c>
      <c r="F77" s="547">
        <v>112562.16</v>
      </c>
      <c r="G77" s="547">
        <v>112694.39999999999</v>
      </c>
      <c r="H77" s="547">
        <v>109553.39</v>
      </c>
      <c r="I77" s="546">
        <v>109553.39</v>
      </c>
      <c r="J77" s="546">
        <v>109705.04</v>
      </c>
      <c r="K77" s="549">
        <v>109705.05</v>
      </c>
      <c r="L77" s="550"/>
      <c r="M77" s="550"/>
      <c r="N77" s="550"/>
      <c r="O77" s="531"/>
      <c r="Q77" s="574">
        <f t="shared" ref="Q77:Q122" si="5">SUM(E77:P77)</f>
        <v>775973.97000000009</v>
      </c>
      <c r="R77" s="544">
        <f t="shared" si="4"/>
        <v>775973.97000000009</v>
      </c>
    </row>
    <row r="78" spans="1:18" x14ac:dyDescent="0.25">
      <c r="A78" s="528">
        <v>7</v>
      </c>
      <c r="B78" s="527" t="s">
        <v>218</v>
      </c>
      <c r="C78" s="528" t="s">
        <v>314</v>
      </c>
      <c r="D78" s="557">
        <v>1583711.73</v>
      </c>
      <c r="E78" s="551">
        <v>128465.38</v>
      </c>
      <c r="F78" s="547">
        <v>132295.12</v>
      </c>
      <c r="G78" s="547">
        <v>132295.12</v>
      </c>
      <c r="H78" s="547">
        <v>136643.49</v>
      </c>
      <c r="I78" s="546">
        <v>136643.49</v>
      </c>
      <c r="J78" s="546">
        <v>137042.07</v>
      </c>
      <c r="K78" s="549">
        <v>136859.32</v>
      </c>
      <c r="L78" s="550"/>
      <c r="M78" s="550"/>
      <c r="N78" s="550"/>
      <c r="O78" s="531"/>
      <c r="Q78" s="574">
        <f t="shared" si="5"/>
        <v>940243.99</v>
      </c>
      <c r="R78" s="544">
        <f t="shared" si="4"/>
        <v>940243.99</v>
      </c>
    </row>
    <row r="79" spans="1:18" x14ac:dyDescent="0.25">
      <c r="A79" s="528">
        <v>8</v>
      </c>
      <c r="B79" s="527" t="s">
        <v>220</v>
      </c>
      <c r="C79" s="528" t="s">
        <v>221</v>
      </c>
      <c r="D79" s="529">
        <v>5346468.25</v>
      </c>
      <c r="E79" s="551">
        <v>440248.86</v>
      </c>
      <c r="F79" s="547">
        <v>446019.94</v>
      </c>
      <c r="G79" s="547">
        <v>446019.95</v>
      </c>
      <c r="H79" s="547">
        <v>454340.22</v>
      </c>
      <c r="I79" s="546">
        <v>454340.22</v>
      </c>
      <c r="J79" s="546">
        <v>455853.95</v>
      </c>
      <c r="K79" s="549">
        <v>455853.95</v>
      </c>
      <c r="L79" s="550"/>
      <c r="M79" s="550"/>
      <c r="N79" s="550"/>
      <c r="O79" s="531"/>
      <c r="Q79" s="574">
        <f t="shared" si="5"/>
        <v>3152677.0900000003</v>
      </c>
      <c r="R79" s="544">
        <f t="shared" si="4"/>
        <v>3152677.0900000003</v>
      </c>
    </row>
    <row r="80" spans="1:18" x14ac:dyDescent="0.25">
      <c r="A80" s="528">
        <v>9</v>
      </c>
      <c r="B80" s="527" t="s">
        <v>222</v>
      </c>
      <c r="C80" s="528" t="s">
        <v>223</v>
      </c>
      <c r="D80" s="529">
        <v>5255370.76</v>
      </c>
      <c r="E80" s="551">
        <v>433777.9</v>
      </c>
      <c r="F80" s="547">
        <v>438326.62</v>
      </c>
      <c r="G80" s="547">
        <v>438326.62</v>
      </c>
      <c r="H80" s="547">
        <v>441316.79</v>
      </c>
      <c r="I80" s="546">
        <v>441316.79</v>
      </c>
      <c r="J80" s="546">
        <v>441316.79</v>
      </c>
      <c r="K80" s="549">
        <v>441316.79</v>
      </c>
      <c r="L80" s="550"/>
      <c r="M80" s="550"/>
      <c r="N80" s="550"/>
      <c r="O80" s="531"/>
      <c r="Q80" s="574">
        <f t="shared" si="5"/>
        <v>3075698.3000000003</v>
      </c>
      <c r="R80" s="544">
        <f t="shared" si="4"/>
        <v>3075698.3000000003</v>
      </c>
    </row>
    <row r="81" spans="1:18" x14ac:dyDescent="0.25">
      <c r="A81" s="528">
        <v>10</v>
      </c>
      <c r="B81" s="527" t="s">
        <v>224</v>
      </c>
      <c r="C81" s="528" t="s">
        <v>225</v>
      </c>
      <c r="D81" s="529">
        <v>6152950.2399999993</v>
      </c>
      <c r="E81" s="551">
        <v>505265.93</v>
      </c>
      <c r="F81" s="547">
        <v>513425.85</v>
      </c>
      <c r="G81" s="547">
        <v>513425.85</v>
      </c>
      <c r="H81" s="547">
        <v>511868.89</v>
      </c>
      <c r="I81" s="546">
        <v>511868.89</v>
      </c>
      <c r="J81" s="546">
        <v>511868.89</v>
      </c>
      <c r="K81" s="549">
        <v>511868.9</v>
      </c>
      <c r="L81" s="550"/>
      <c r="M81" s="550"/>
      <c r="N81" s="550"/>
      <c r="O81" s="531"/>
      <c r="Q81" s="574">
        <f t="shared" si="5"/>
        <v>3579593.2</v>
      </c>
      <c r="R81" s="544">
        <f t="shared" si="4"/>
        <v>3579593.2</v>
      </c>
    </row>
    <row r="82" spans="1:18" x14ac:dyDescent="0.25">
      <c r="A82" s="528">
        <v>11</v>
      </c>
      <c r="B82" s="527" t="s">
        <v>226</v>
      </c>
      <c r="C82" s="528" t="s">
        <v>227</v>
      </c>
      <c r="D82" s="529">
        <v>10423112.100000001</v>
      </c>
      <c r="E82" s="551">
        <v>858865.25</v>
      </c>
      <c r="F82" s="547">
        <v>869504.11</v>
      </c>
      <c r="G82" s="547">
        <v>869504.11</v>
      </c>
      <c r="H82" s="547">
        <v>890806.34</v>
      </c>
      <c r="I82" s="546">
        <v>890806.34</v>
      </c>
      <c r="J82" s="546">
        <v>892399.18</v>
      </c>
      <c r="K82" s="549">
        <v>892467.27</v>
      </c>
      <c r="L82" s="550"/>
      <c r="M82" s="550"/>
      <c r="N82" s="550"/>
      <c r="O82" s="531"/>
      <c r="Q82" s="574">
        <f t="shared" si="5"/>
        <v>6164352.5999999996</v>
      </c>
      <c r="R82" s="544">
        <f t="shared" si="4"/>
        <v>6164352.5999999996</v>
      </c>
    </row>
    <row r="83" spans="1:18" x14ac:dyDescent="0.25">
      <c r="A83" s="528">
        <v>12</v>
      </c>
      <c r="B83" s="527" t="s">
        <v>228</v>
      </c>
      <c r="C83" s="528" t="s">
        <v>229</v>
      </c>
      <c r="D83" s="529">
        <v>5952516.4199999999</v>
      </c>
      <c r="E83" s="551">
        <v>484859.99</v>
      </c>
      <c r="F83" s="547">
        <v>497059.68</v>
      </c>
      <c r="G83" s="547">
        <v>497059.68</v>
      </c>
      <c r="H83" s="547">
        <v>504701.18</v>
      </c>
      <c r="I83" s="546">
        <v>504701.18</v>
      </c>
      <c r="J83" s="546">
        <v>506490.84</v>
      </c>
      <c r="K83" s="549">
        <v>505938.1</v>
      </c>
      <c r="L83" s="550"/>
      <c r="M83" s="550"/>
      <c r="N83" s="550"/>
      <c r="O83" s="531"/>
      <c r="Q83" s="574">
        <f t="shared" si="5"/>
        <v>3500810.65</v>
      </c>
      <c r="R83" s="544">
        <f t="shared" si="4"/>
        <v>3500810.65</v>
      </c>
    </row>
    <row r="84" spans="1:18" x14ac:dyDescent="0.25">
      <c r="A84" s="528">
        <v>13</v>
      </c>
      <c r="B84" s="527" t="s">
        <v>230</v>
      </c>
      <c r="C84" s="528" t="s">
        <v>231</v>
      </c>
      <c r="D84" s="529">
        <v>1095429.95</v>
      </c>
      <c r="E84" s="551">
        <v>90419.86</v>
      </c>
      <c r="F84" s="547">
        <v>91364.55</v>
      </c>
      <c r="G84" s="547">
        <v>91364.55</v>
      </c>
      <c r="H84" s="547">
        <v>93532.75</v>
      </c>
      <c r="I84" s="546">
        <v>93532.75</v>
      </c>
      <c r="J84" s="546">
        <v>93541.68</v>
      </c>
      <c r="K84" s="549">
        <v>93541.68</v>
      </c>
      <c r="L84" s="550"/>
      <c r="M84" s="550"/>
      <c r="N84" s="550"/>
      <c r="O84" s="531"/>
      <c r="Q84" s="574">
        <f t="shared" si="5"/>
        <v>647297.82000000007</v>
      </c>
      <c r="R84" s="544">
        <f t="shared" si="4"/>
        <v>647297.82000000007</v>
      </c>
    </row>
    <row r="85" spans="1:18" x14ac:dyDescent="0.25">
      <c r="A85" s="528">
        <v>14</v>
      </c>
      <c r="B85" s="527">
        <v>3362</v>
      </c>
      <c r="C85" s="528" t="s">
        <v>310</v>
      </c>
      <c r="E85" s="551"/>
      <c r="F85" s="547"/>
      <c r="G85" s="547"/>
      <c r="H85" s="547">
        <v>152593</v>
      </c>
      <c r="I85" s="546">
        <v>152593</v>
      </c>
      <c r="J85" s="546">
        <v>152593</v>
      </c>
      <c r="K85" s="549">
        <v>152593</v>
      </c>
      <c r="L85" s="550"/>
      <c r="M85" s="550"/>
      <c r="N85" s="550"/>
      <c r="O85" s="531"/>
      <c r="Q85" s="574">
        <f t="shared" si="5"/>
        <v>610372</v>
      </c>
      <c r="R85" s="544">
        <f t="shared" si="4"/>
        <v>610372</v>
      </c>
    </row>
    <row r="86" spans="1:18" x14ac:dyDescent="0.25">
      <c r="A86" s="528">
        <v>15</v>
      </c>
      <c r="B86" s="527" t="s">
        <v>232</v>
      </c>
      <c r="C86" s="528" t="s">
        <v>233</v>
      </c>
      <c r="D86" s="529">
        <v>9142489.2800000012</v>
      </c>
      <c r="E86" s="551">
        <v>750894</v>
      </c>
      <c r="F86" s="547">
        <v>762872.3</v>
      </c>
      <c r="G86" s="547">
        <v>762872.3</v>
      </c>
      <c r="H86" s="547">
        <v>765891.06</v>
      </c>
      <c r="I86" s="546">
        <v>765891.07</v>
      </c>
      <c r="J86" s="546">
        <v>765891.06</v>
      </c>
      <c r="K86" s="549">
        <v>765891.07</v>
      </c>
      <c r="L86" s="550"/>
      <c r="M86" s="550"/>
      <c r="N86" s="550"/>
      <c r="O86" s="531"/>
      <c r="Q86" s="574">
        <f t="shared" si="5"/>
        <v>5340202.8600000003</v>
      </c>
      <c r="R86" s="544">
        <f t="shared" si="4"/>
        <v>5340202.8600000003</v>
      </c>
    </row>
    <row r="87" spans="1:18" x14ac:dyDescent="0.25">
      <c r="A87" s="528">
        <v>16</v>
      </c>
      <c r="B87" s="527" t="s">
        <v>234</v>
      </c>
      <c r="C87" s="528" t="s">
        <v>235</v>
      </c>
      <c r="D87" s="529">
        <v>2427071.44</v>
      </c>
      <c r="E87" s="551">
        <v>199480.37</v>
      </c>
      <c r="F87" s="547">
        <v>202508.28</v>
      </c>
      <c r="G87" s="547">
        <v>202508.28</v>
      </c>
      <c r="H87" s="547">
        <v>198960.42</v>
      </c>
      <c r="I87" s="546">
        <v>198960.42</v>
      </c>
      <c r="J87" s="546">
        <v>198960.42</v>
      </c>
      <c r="K87" s="549">
        <v>198960.42</v>
      </c>
      <c r="L87" s="550"/>
      <c r="M87" s="550"/>
      <c r="N87" s="550"/>
      <c r="O87" s="531"/>
      <c r="Q87" s="574">
        <f t="shared" si="5"/>
        <v>1400338.61</v>
      </c>
      <c r="R87" s="544">
        <f t="shared" si="4"/>
        <v>1400338.61</v>
      </c>
    </row>
    <row r="88" spans="1:18" x14ac:dyDescent="0.25">
      <c r="A88" s="528">
        <v>17</v>
      </c>
      <c r="B88" s="527" t="s">
        <v>236</v>
      </c>
      <c r="C88" s="528" t="s">
        <v>237</v>
      </c>
      <c r="D88" s="557">
        <v>0</v>
      </c>
      <c r="E88" s="551"/>
      <c r="F88" s="547">
        <v>0</v>
      </c>
      <c r="G88" s="547"/>
      <c r="H88" s="547"/>
      <c r="I88" s="546"/>
      <c r="J88" s="546"/>
      <c r="K88" s="549"/>
      <c r="L88" s="550"/>
      <c r="M88" s="550"/>
      <c r="N88" s="550"/>
      <c r="O88" s="531"/>
      <c r="Q88" s="574">
        <f t="shared" si="5"/>
        <v>0</v>
      </c>
      <c r="R88" s="544">
        <f t="shared" si="4"/>
        <v>0</v>
      </c>
    </row>
    <row r="89" spans="1:18" x14ac:dyDescent="0.25">
      <c r="A89" s="528">
        <v>18</v>
      </c>
      <c r="B89" s="527" t="s">
        <v>238</v>
      </c>
      <c r="C89" s="528" t="s">
        <v>239</v>
      </c>
      <c r="D89" s="529">
        <v>1653077.94</v>
      </c>
      <c r="E89" s="551">
        <v>136646.84</v>
      </c>
      <c r="F89" s="547">
        <v>137857.37</v>
      </c>
      <c r="G89" s="547">
        <v>137857.37</v>
      </c>
      <c r="H89" s="547">
        <v>136608.79999999999</v>
      </c>
      <c r="I89" s="546">
        <v>136608.79999999999</v>
      </c>
      <c r="J89" s="546">
        <v>136608.79</v>
      </c>
      <c r="K89" s="549">
        <v>136608.79999999999</v>
      </c>
      <c r="L89" s="550"/>
      <c r="M89" s="550"/>
      <c r="N89" s="550"/>
      <c r="O89" s="531"/>
      <c r="Q89" s="574">
        <f t="shared" si="5"/>
        <v>958796.77</v>
      </c>
      <c r="R89" s="544">
        <f t="shared" si="4"/>
        <v>958796.77</v>
      </c>
    </row>
    <row r="90" spans="1:18" x14ac:dyDescent="0.25">
      <c r="A90" s="528">
        <v>19</v>
      </c>
      <c r="B90" s="527" t="s">
        <v>240</v>
      </c>
      <c r="C90" s="528" t="s">
        <v>241</v>
      </c>
      <c r="D90" s="529">
        <v>4417918.6399999997</v>
      </c>
      <c r="E90" s="551">
        <v>363962.87</v>
      </c>
      <c r="F90" s="547">
        <v>368541.43</v>
      </c>
      <c r="G90" s="547">
        <v>368541.43</v>
      </c>
      <c r="H90" s="547">
        <v>366702.21</v>
      </c>
      <c r="I90" s="546">
        <v>366702.21</v>
      </c>
      <c r="J90" s="546">
        <v>366702.21</v>
      </c>
      <c r="K90" s="549">
        <v>366702.22</v>
      </c>
      <c r="L90" s="550"/>
      <c r="M90" s="550"/>
      <c r="N90" s="550"/>
      <c r="O90" s="531"/>
      <c r="Q90" s="574">
        <f t="shared" si="5"/>
        <v>2567854.58</v>
      </c>
      <c r="R90" s="544">
        <f t="shared" si="4"/>
        <v>2567854.58</v>
      </c>
    </row>
    <row r="91" spans="1:18" x14ac:dyDescent="0.25">
      <c r="A91" s="528">
        <v>20</v>
      </c>
      <c r="B91" s="527" t="s">
        <v>242</v>
      </c>
      <c r="C91" s="528" t="s">
        <v>243</v>
      </c>
      <c r="D91" s="529">
        <v>5867214.7299999995</v>
      </c>
      <c r="E91" s="551">
        <v>481353.82</v>
      </c>
      <c r="F91" s="547">
        <v>489623.72</v>
      </c>
      <c r="G91" s="547">
        <v>533385.66</v>
      </c>
      <c r="H91" s="547">
        <v>524600.61</v>
      </c>
      <c r="I91" s="546">
        <v>524600.61</v>
      </c>
      <c r="J91" s="546">
        <v>524600.6</v>
      </c>
      <c r="K91" s="549">
        <v>524600.61</v>
      </c>
      <c r="L91" s="550"/>
      <c r="M91" s="550"/>
      <c r="N91" s="550"/>
      <c r="O91" s="531"/>
      <c r="Q91" s="574">
        <f t="shared" si="5"/>
        <v>3602765.63</v>
      </c>
      <c r="R91" s="544">
        <f t="shared" si="4"/>
        <v>3602765.63</v>
      </c>
    </row>
    <row r="92" spans="1:18" x14ac:dyDescent="0.25">
      <c r="A92" s="528">
        <v>21</v>
      </c>
      <c r="B92" s="527" t="s">
        <v>244</v>
      </c>
      <c r="C92" s="528" t="s">
        <v>245</v>
      </c>
      <c r="D92" s="529">
        <v>919769.33000000007</v>
      </c>
      <c r="E92" s="551">
        <v>75370.149999999994</v>
      </c>
      <c r="F92" s="547">
        <v>76763.56</v>
      </c>
      <c r="G92" s="547">
        <v>76763.56</v>
      </c>
      <c r="H92" s="547">
        <v>78174.02</v>
      </c>
      <c r="I92" s="546">
        <v>78174.02</v>
      </c>
      <c r="J92" s="546">
        <v>78174.02</v>
      </c>
      <c r="K92" s="549">
        <v>78174.02</v>
      </c>
      <c r="L92" s="550"/>
      <c r="M92" s="550"/>
      <c r="N92" s="550"/>
      <c r="O92" s="531"/>
      <c r="Q92" s="574">
        <f t="shared" si="5"/>
        <v>541593.35</v>
      </c>
      <c r="R92" s="544">
        <f t="shared" si="4"/>
        <v>541593.35</v>
      </c>
    </row>
    <row r="93" spans="1:18" x14ac:dyDescent="0.25">
      <c r="A93" s="528">
        <v>22</v>
      </c>
      <c r="B93" s="527" t="s">
        <v>246</v>
      </c>
      <c r="C93" s="528" t="s">
        <v>247</v>
      </c>
      <c r="D93" s="529">
        <v>1132579.8100000003</v>
      </c>
      <c r="E93" s="551">
        <v>93540.76</v>
      </c>
      <c r="F93" s="547">
        <v>94458.1</v>
      </c>
      <c r="G93" s="547">
        <v>94458.1</v>
      </c>
      <c r="H93" s="547">
        <v>100055.2</v>
      </c>
      <c r="I93" s="546">
        <v>100055.2</v>
      </c>
      <c r="J93" s="546">
        <v>100047.91</v>
      </c>
      <c r="K93" s="549">
        <v>100047.91</v>
      </c>
      <c r="L93" s="550"/>
      <c r="M93" s="550"/>
      <c r="N93" s="550"/>
      <c r="O93" s="531"/>
      <c r="Q93" s="574">
        <f t="shared" si="5"/>
        <v>682663.18</v>
      </c>
      <c r="R93" s="544">
        <f t="shared" si="4"/>
        <v>682663.18</v>
      </c>
    </row>
    <row r="94" spans="1:18" x14ac:dyDescent="0.25">
      <c r="A94" s="528">
        <v>23</v>
      </c>
      <c r="B94" s="527" t="s">
        <v>248</v>
      </c>
      <c r="C94" s="528" t="s">
        <v>249</v>
      </c>
      <c r="D94" s="529">
        <v>3550532.1600000006</v>
      </c>
      <c r="E94" s="551">
        <v>291401.55</v>
      </c>
      <c r="F94" s="547">
        <v>296284.59999999998</v>
      </c>
      <c r="G94" s="547">
        <v>298028.7</v>
      </c>
      <c r="H94" s="547">
        <v>307696.18</v>
      </c>
      <c r="I94" s="546">
        <v>307696.18</v>
      </c>
      <c r="J94" s="546">
        <v>307696.17</v>
      </c>
      <c r="K94" s="549">
        <v>307696.18</v>
      </c>
      <c r="L94" s="550"/>
      <c r="M94" s="550"/>
      <c r="N94" s="550"/>
      <c r="O94" s="531"/>
      <c r="Q94" s="574">
        <f t="shared" si="5"/>
        <v>2116499.5599999996</v>
      </c>
      <c r="R94" s="544">
        <f t="shared" si="4"/>
        <v>2116499.5599999996</v>
      </c>
    </row>
    <row r="95" spans="1:18" x14ac:dyDescent="0.25">
      <c r="A95" s="528">
        <v>24</v>
      </c>
      <c r="B95" s="527" t="s">
        <v>250</v>
      </c>
      <c r="C95" s="528" t="s">
        <v>251</v>
      </c>
      <c r="D95" s="529">
        <v>3434816.54</v>
      </c>
      <c r="E95" s="551">
        <v>282765.64</v>
      </c>
      <c r="F95" s="547">
        <v>286550.08</v>
      </c>
      <c r="G95" s="547">
        <v>286550.08</v>
      </c>
      <c r="H95" s="547">
        <v>287180.12</v>
      </c>
      <c r="I95" s="546">
        <v>287180.12</v>
      </c>
      <c r="J95" s="546">
        <v>287180.12</v>
      </c>
      <c r="K95" s="549">
        <v>287180.12</v>
      </c>
      <c r="L95" s="550"/>
      <c r="M95" s="550"/>
      <c r="N95" s="550"/>
      <c r="O95" s="531"/>
      <c r="Q95" s="574">
        <f t="shared" si="5"/>
        <v>2004586.2800000003</v>
      </c>
      <c r="R95" s="544">
        <f t="shared" si="4"/>
        <v>2004586.2800000003</v>
      </c>
    </row>
    <row r="96" spans="1:18" x14ac:dyDescent="0.25">
      <c r="A96" s="528">
        <v>25</v>
      </c>
      <c r="B96" s="527" t="s">
        <v>252</v>
      </c>
      <c r="C96" s="528" t="s">
        <v>253</v>
      </c>
      <c r="D96" s="529">
        <v>3841654.26</v>
      </c>
      <c r="E96" s="551">
        <v>318686.65000000002</v>
      </c>
      <c r="F96" s="547">
        <v>320269.78000000003</v>
      </c>
      <c r="G96" s="547">
        <v>322019.77</v>
      </c>
      <c r="H96" s="547">
        <v>365620.49</v>
      </c>
      <c r="I96" s="546">
        <v>365620.49</v>
      </c>
      <c r="J96" s="546">
        <v>365620.49</v>
      </c>
      <c r="K96" s="549">
        <v>365620.49</v>
      </c>
      <c r="L96" s="550"/>
      <c r="M96" s="550"/>
      <c r="N96" s="550"/>
      <c r="O96" s="531"/>
      <c r="Q96" s="574">
        <f t="shared" si="5"/>
        <v>2423458.16</v>
      </c>
      <c r="R96" s="544">
        <f t="shared" si="4"/>
        <v>2423458.16</v>
      </c>
    </row>
    <row r="97" spans="1:18" x14ac:dyDescent="0.25">
      <c r="A97" s="528">
        <v>26</v>
      </c>
      <c r="B97" s="527" t="s">
        <v>254</v>
      </c>
      <c r="C97" s="528" t="s">
        <v>255</v>
      </c>
      <c r="D97" s="529">
        <v>8841825.3200000003</v>
      </c>
      <c r="E97" s="551">
        <v>727291.13</v>
      </c>
      <c r="F97" s="547">
        <v>737684.93</v>
      </c>
      <c r="G97" s="547">
        <v>737684.93</v>
      </c>
      <c r="H97" s="547">
        <v>725549.97</v>
      </c>
      <c r="I97" s="546">
        <v>725549.97</v>
      </c>
      <c r="J97" s="546">
        <v>725549.97</v>
      </c>
      <c r="K97" s="549">
        <v>725549.97</v>
      </c>
      <c r="L97" s="550"/>
      <c r="M97" s="550"/>
      <c r="N97" s="550"/>
      <c r="O97" s="531"/>
      <c r="Q97" s="574">
        <f t="shared" si="5"/>
        <v>5104860.8699999992</v>
      </c>
      <c r="R97" s="544">
        <f t="shared" si="4"/>
        <v>5104860.8699999992</v>
      </c>
    </row>
    <row r="98" spans="1:18" x14ac:dyDescent="0.25">
      <c r="A98" s="528">
        <v>27</v>
      </c>
      <c r="B98" s="527">
        <v>3441</v>
      </c>
      <c r="C98" s="528" t="s">
        <v>256</v>
      </c>
      <c r="D98" s="529">
        <v>4458303.79</v>
      </c>
      <c r="E98" s="551">
        <v>365051.77</v>
      </c>
      <c r="F98" s="547">
        <v>372113.82</v>
      </c>
      <c r="G98" s="547">
        <v>380953.21</v>
      </c>
      <c r="H98" s="547">
        <v>387823.98</v>
      </c>
      <c r="I98" s="546">
        <v>387823.98</v>
      </c>
      <c r="J98" s="546">
        <v>387823.98</v>
      </c>
      <c r="K98" s="549">
        <v>387823.98</v>
      </c>
      <c r="L98" s="550"/>
      <c r="M98" s="550"/>
      <c r="N98" s="550"/>
      <c r="O98" s="531"/>
      <c r="Q98" s="574">
        <f t="shared" si="5"/>
        <v>2669414.7200000002</v>
      </c>
      <c r="R98" s="544">
        <f t="shared" si="4"/>
        <v>2669414.7200000002</v>
      </c>
    </row>
    <row r="99" spans="1:18" x14ac:dyDescent="0.25">
      <c r="A99" s="528">
        <v>28</v>
      </c>
      <c r="B99" s="527">
        <v>3924</v>
      </c>
      <c r="C99" s="528" t="s">
        <v>257</v>
      </c>
      <c r="D99" s="529">
        <v>3693471.08</v>
      </c>
      <c r="E99" s="551">
        <v>303122.37</v>
      </c>
      <c r="F99" s="547">
        <v>308213.52</v>
      </c>
      <c r="G99" s="547">
        <v>309424.3</v>
      </c>
      <c r="H99" s="547">
        <v>306743.77</v>
      </c>
      <c r="I99" s="546">
        <v>306743.77</v>
      </c>
      <c r="J99" s="546">
        <v>306743.77</v>
      </c>
      <c r="K99" s="549">
        <v>306743.77</v>
      </c>
      <c r="L99" s="550"/>
      <c r="M99" s="550"/>
      <c r="N99" s="550"/>
      <c r="O99" s="531"/>
      <c r="Q99" s="574">
        <f t="shared" si="5"/>
        <v>2147735.27</v>
      </c>
      <c r="R99" s="544">
        <f t="shared" si="4"/>
        <v>2147735.27</v>
      </c>
    </row>
    <row r="100" spans="1:18" x14ac:dyDescent="0.25">
      <c r="A100" s="528">
        <v>29</v>
      </c>
      <c r="B100" s="527" t="s">
        <v>258</v>
      </c>
      <c r="C100" s="528" t="s">
        <v>259</v>
      </c>
      <c r="D100" s="529">
        <v>2020244.56</v>
      </c>
      <c r="E100" s="551">
        <v>166503.70000000001</v>
      </c>
      <c r="F100" s="547">
        <v>168521.9</v>
      </c>
      <c r="G100" s="547">
        <v>168521.9</v>
      </c>
      <c r="H100" s="547">
        <v>168880.64000000001</v>
      </c>
      <c r="I100" s="546">
        <v>168880.64000000001</v>
      </c>
      <c r="J100" s="546">
        <v>168880.64000000001</v>
      </c>
      <c r="K100" s="549">
        <v>168880.64000000001</v>
      </c>
      <c r="L100" s="550"/>
      <c r="M100" s="550"/>
      <c r="N100" s="550"/>
      <c r="O100" s="531"/>
      <c r="Q100" s="574">
        <f t="shared" si="5"/>
        <v>1179070.06</v>
      </c>
      <c r="R100" s="544">
        <f t="shared" si="4"/>
        <v>1179070.06</v>
      </c>
    </row>
    <row r="101" spans="1:18" x14ac:dyDescent="0.25">
      <c r="A101" s="528">
        <v>30</v>
      </c>
      <c r="B101" s="527" t="s">
        <v>260</v>
      </c>
      <c r="C101" s="528" t="s">
        <v>261</v>
      </c>
      <c r="D101" s="561">
        <v>0</v>
      </c>
      <c r="E101" s="562"/>
      <c r="F101" s="547">
        <v>0</v>
      </c>
      <c r="G101" s="547"/>
      <c r="H101" s="547"/>
      <c r="I101" s="546"/>
      <c r="J101" s="546"/>
      <c r="K101" s="549"/>
      <c r="L101" s="550"/>
      <c r="M101" s="550"/>
      <c r="N101" s="550"/>
      <c r="O101" s="531"/>
      <c r="Q101" s="574">
        <f t="shared" si="5"/>
        <v>0</v>
      </c>
      <c r="R101" s="544">
        <f t="shared" si="4"/>
        <v>0</v>
      </c>
    </row>
    <row r="102" spans="1:18" x14ac:dyDescent="0.25">
      <c r="A102" s="528">
        <v>31</v>
      </c>
      <c r="B102" s="527" t="s">
        <v>262</v>
      </c>
      <c r="C102" s="528" t="s">
        <v>425</v>
      </c>
      <c r="D102" s="529">
        <v>5099211.84</v>
      </c>
      <c r="E102" s="551">
        <v>418200.93</v>
      </c>
      <c r="F102" s="547">
        <v>425546.45</v>
      </c>
      <c r="G102" s="547">
        <v>426358.86</v>
      </c>
      <c r="H102" s="547">
        <v>468192.65</v>
      </c>
      <c r="I102" s="546">
        <v>468192.65</v>
      </c>
      <c r="J102" s="546">
        <v>468192.64</v>
      </c>
      <c r="K102" s="549">
        <v>468192.65</v>
      </c>
      <c r="L102" s="550"/>
      <c r="M102" s="550"/>
      <c r="N102" s="550"/>
      <c r="O102" s="531"/>
      <c r="Q102" s="574">
        <f>SUM(E102:P102)</f>
        <v>3142876.83</v>
      </c>
      <c r="R102" s="544">
        <f t="shared" si="4"/>
        <v>3142876.83</v>
      </c>
    </row>
    <row r="103" spans="1:18" x14ac:dyDescent="0.25">
      <c r="A103" s="528">
        <v>32</v>
      </c>
      <c r="B103" s="527" t="s">
        <v>264</v>
      </c>
      <c r="C103" s="528" t="s">
        <v>265</v>
      </c>
      <c r="D103" s="529">
        <v>5914578.1399999997</v>
      </c>
      <c r="E103" s="551">
        <v>486040.8</v>
      </c>
      <c r="F103" s="547">
        <v>493503.39</v>
      </c>
      <c r="G103" s="547">
        <v>493503.4</v>
      </c>
      <c r="H103" s="547">
        <v>492923.41</v>
      </c>
      <c r="I103" s="546">
        <v>492923.41</v>
      </c>
      <c r="J103" s="546">
        <v>492923.41</v>
      </c>
      <c r="K103" s="549">
        <v>492923.41</v>
      </c>
      <c r="L103" s="550"/>
      <c r="M103" s="550"/>
      <c r="N103" s="550"/>
      <c r="O103" s="531"/>
      <c r="Q103" s="574">
        <f t="shared" si="5"/>
        <v>3444741.23</v>
      </c>
      <c r="R103" s="544">
        <f t="shared" si="4"/>
        <v>3444741.23</v>
      </c>
    </row>
    <row r="104" spans="1:18" x14ac:dyDescent="0.25">
      <c r="A104" s="528">
        <v>33</v>
      </c>
      <c r="B104" s="527">
        <v>4002</v>
      </c>
      <c r="C104" s="528" t="s">
        <v>266</v>
      </c>
      <c r="D104" s="529">
        <v>8574250.8399999999</v>
      </c>
      <c r="E104" s="551">
        <v>707326.89</v>
      </c>
      <c r="F104" s="547">
        <v>715174.9</v>
      </c>
      <c r="G104" s="547">
        <v>715174.91</v>
      </c>
      <c r="H104" s="547">
        <v>708965.29</v>
      </c>
      <c r="I104" s="546">
        <v>708965.29</v>
      </c>
      <c r="J104" s="546">
        <v>708965.29</v>
      </c>
      <c r="K104" s="549">
        <v>708965.29</v>
      </c>
      <c r="L104" s="550"/>
      <c r="M104" s="550"/>
      <c r="N104" s="550"/>
      <c r="O104" s="531"/>
      <c r="Q104" s="574">
        <f t="shared" si="5"/>
        <v>4973537.8600000003</v>
      </c>
      <c r="R104" s="544">
        <f t="shared" si="4"/>
        <v>4973537.8600000003</v>
      </c>
    </row>
    <row r="105" spans="1:18" x14ac:dyDescent="0.25">
      <c r="A105" s="528">
        <v>34</v>
      </c>
      <c r="B105" s="527">
        <v>4012</v>
      </c>
      <c r="C105" s="528" t="s">
        <v>267</v>
      </c>
      <c r="D105" s="529">
        <v>4904770.5200000005</v>
      </c>
      <c r="E105" s="551">
        <v>401311.12</v>
      </c>
      <c r="F105" s="547">
        <v>409405.4</v>
      </c>
      <c r="G105" s="547">
        <v>417398.36</v>
      </c>
      <c r="H105" s="547">
        <v>416469.55</v>
      </c>
      <c r="I105" s="546">
        <v>416469.55</v>
      </c>
      <c r="J105" s="546">
        <v>416469.55</v>
      </c>
      <c r="K105" s="549">
        <v>416469.55</v>
      </c>
      <c r="L105" s="550"/>
      <c r="M105" s="550"/>
      <c r="N105" s="550"/>
      <c r="O105" s="531"/>
      <c r="Q105" s="574">
        <f t="shared" si="5"/>
        <v>2893993.0799999996</v>
      </c>
      <c r="R105" s="544">
        <f t="shared" si="4"/>
        <v>2893993.0799999996</v>
      </c>
    </row>
    <row r="106" spans="1:18" x14ac:dyDescent="0.25">
      <c r="A106" s="528">
        <v>35</v>
      </c>
      <c r="B106" s="527">
        <v>4013</v>
      </c>
      <c r="C106" s="528" t="s">
        <v>268</v>
      </c>
      <c r="D106" s="529">
        <v>8119848.8800000008</v>
      </c>
      <c r="E106" s="551">
        <v>667648.91</v>
      </c>
      <c r="F106" s="547">
        <v>677472.72</v>
      </c>
      <c r="G106" s="547">
        <v>795258.27</v>
      </c>
      <c r="H106" s="547">
        <v>786596.81</v>
      </c>
      <c r="I106" s="546">
        <v>786596.81</v>
      </c>
      <c r="J106" s="546">
        <v>786596.81</v>
      </c>
      <c r="K106" s="549">
        <v>786596.81</v>
      </c>
      <c r="L106" s="550"/>
      <c r="M106" s="550"/>
      <c r="N106" s="550"/>
      <c r="O106" s="531"/>
      <c r="Q106" s="574">
        <f t="shared" si="5"/>
        <v>5286767.1400000006</v>
      </c>
      <c r="R106" s="544">
        <f t="shared" si="4"/>
        <v>5286767.1400000006</v>
      </c>
    </row>
    <row r="107" spans="1:18" x14ac:dyDescent="0.25">
      <c r="A107" s="528">
        <v>36</v>
      </c>
      <c r="B107" s="527">
        <v>4020</v>
      </c>
      <c r="C107" s="528" t="s">
        <v>269</v>
      </c>
      <c r="D107" s="529">
        <v>10867277.120000001</v>
      </c>
      <c r="E107" s="551">
        <v>892802.19</v>
      </c>
      <c r="F107" s="547">
        <v>906770.45</v>
      </c>
      <c r="G107" s="547">
        <v>906770.45</v>
      </c>
      <c r="H107" s="547">
        <v>899763.33</v>
      </c>
      <c r="I107" s="546">
        <v>899763.33</v>
      </c>
      <c r="J107" s="546">
        <v>899763.33</v>
      </c>
      <c r="K107" s="549">
        <v>899763.33</v>
      </c>
      <c r="L107" s="550"/>
      <c r="M107" s="550"/>
      <c r="N107" s="550"/>
      <c r="O107" s="531"/>
      <c r="Q107" s="574">
        <f t="shared" si="5"/>
        <v>6305396.4100000001</v>
      </c>
      <c r="R107" s="544">
        <f t="shared" si="4"/>
        <v>6305396.4100000001</v>
      </c>
    </row>
    <row r="108" spans="1:18" x14ac:dyDescent="0.25">
      <c r="A108" s="528">
        <v>37</v>
      </c>
      <c r="B108" s="527">
        <v>4030</v>
      </c>
      <c r="C108" s="528" t="s">
        <v>270</v>
      </c>
      <c r="D108" s="529">
        <v>2619365.38</v>
      </c>
      <c r="E108" s="551">
        <v>216879.02</v>
      </c>
      <c r="F108" s="547">
        <v>218407.85</v>
      </c>
      <c r="G108" s="547">
        <v>218407.85</v>
      </c>
      <c r="H108" s="547">
        <v>217485.59</v>
      </c>
      <c r="I108" s="546">
        <v>217485.59</v>
      </c>
      <c r="J108" s="546">
        <v>217485.59</v>
      </c>
      <c r="K108" s="549">
        <v>217485.59</v>
      </c>
      <c r="L108" s="550"/>
      <c r="M108" s="550"/>
      <c r="N108" s="550"/>
      <c r="O108" s="531"/>
      <c r="Q108" s="574">
        <f t="shared" si="5"/>
        <v>1523637.08</v>
      </c>
      <c r="R108" s="544">
        <f t="shared" si="4"/>
        <v>1523637.08</v>
      </c>
    </row>
    <row r="109" spans="1:18" x14ac:dyDescent="0.25">
      <c r="A109" s="528">
        <v>38</v>
      </c>
      <c r="B109" s="527">
        <v>4031</v>
      </c>
      <c r="C109" s="528" t="s">
        <v>271</v>
      </c>
      <c r="D109" s="529">
        <v>3914815.85</v>
      </c>
      <c r="E109" s="551">
        <v>322483.34000000003</v>
      </c>
      <c r="F109" s="547">
        <v>326575.68</v>
      </c>
      <c r="G109" s="547">
        <v>326575.68</v>
      </c>
      <c r="H109" s="547">
        <v>319995.15999999997</v>
      </c>
      <c r="I109" s="546">
        <v>319995.15999999997</v>
      </c>
      <c r="J109" s="546">
        <v>319995.15999999997</v>
      </c>
      <c r="K109" s="549">
        <v>319995.15999999997</v>
      </c>
      <c r="L109" s="550"/>
      <c r="M109" s="550"/>
      <c r="N109" s="550"/>
      <c r="O109" s="531"/>
      <c r="Q109" s="574">
        <f t="shared" si="5"/>
        <v>2255615.34</v>
      </c>
      <c r="R109" s="544">
        <f t="shared" si="4"/>
        <v>2255615.34</v>
      </c>
    </row>
    <row r="110" spans="1:18" x14ac:dyDescent="0.25">
      <c r="A110" s="528">
        <v>39</v>
      </c>
      <c r="B110" s="527">
        <v>4041</v>
      </c>
      <c r="C110" s="528" t="s">
        <v>272</v>
      </c>
      <c r="D110" s="529">
        <v>775960.87</v>
      </c>
      <c r="E110" s="551">
        <v>63488.77</v>
      </c>
      <c r="F110" s="547">
        <v>64770.19</v>
      </c>
      <c r="G110" s="547">
        <v>64770.19</v>
      </c>
      <c r="H110" s="547">
        <v>64613.31</v>
      </c>
      <c r="I110" s="546">
        <v>64613.31</v>
      </c>
      <c r="J110" s="546">
        <v>64613.31</v>
      </c>
      <c r="K110" s="549">
        <v>64613.31</v>
      </c>
      <c r="L110" s="550"/>
      <c r="M110" s="550"/>
      <c r="N110" s="550"/>
      <c r="O110" s="531"/>
      <c r="Q110" s="574">
        <f t="shared" si="5"/>
        <v>451482.39</v>
      </c>
      <c r="R110" s="544">
        <f t="shared" si="4"/>
        <v>451482.39</v>
      </c>
    </row>
    <row r="111" spans="1:18" x14ac:dyDescent="0.25">
      <c r="A111" s="528">
        <v>40</v>
      </c>
      <c r="B111" s="527">
        <v>4050</v>
      </c>
      <c r="C111" s="528" t="s">
        <v>273</v>
      </c>
      <c r="D111" s="529">
        <v>6227871.4299999988</v>
      </c>
      <c r="E111" s="551">
        <v>512294.34</v>
      </c>
      <c r="F111" s="547">
        <v>519597.92</v>
      </c>
      <c r="G111" s="547">
        <v>519597.92</v>
      </c>
      <c r="H111" s="547">
        <v>511250.04</v>
      </c>
      <c r="I111" s="546">
        <v>511250.04</v>
      </c>
      <c r="J111" s="546">
        <v>511250.04</v>
      </c>
      <c r="K111" s="549">
        <v>511250.04</v>
      </c>
      <c r="L111" s="550"/>
      <c r="M111" s="550"/>
      <c r="N111" s="550"/>
      <c r="O111" s="531"/>
      <c r="Q111" s="574">
        <f t="shared" si="5"/>
        <v>3596490.34</v>
      </c>
      <c r="R111" s="544">
        <f t="shared" si="4"/>
        <v>3596490.34</v>
      </c>
    </row>
    <row r="112" spans="1:18" x14ac:dyDescent="0.25">
      <c r="A112" s="528">
        <v>41</v>
      </c>
      <c r="B112" s="527">
        <v>4051</v>
      </c>
      <c r="C112" s="528" t="s">
        <v>274</v>
      </c>
      <c r="D112" s="529">
        <v>6573895.1500000013</v>
      </c>
      <c r="E112" s="551">
        <v>541173.16</v>
      </c>
      <c r="F112" s="547">
        <v>548429.27</v>
      </c>
      <c r="G112" s="547">
        <v>548429.27</v>
      </c>
      <c r="H112" s="547">
        <v>533809.19999999995</v>
      </c>
      <c r="I112" s="546">
        <v>533809.19999999995</v>
      </c>
      <c r="J112" s="546">
        <v>533809.19999999995</v>
      </c>
      <c r="K112" s="549">
        <v>533809.19999999995</v>
      </c>
      <c r="L112" s="550"/>
      <c r="M112" s="550"/>
      <c r="N112" s="550"/>
      <c r="O112" s="531"/>
      <c r="Q112" s="574">
        <f t="shared" si="5"/>
        <v>3773268.5000000009</v>
      </c>
      <c r="R112" s="544">
        <f t="shared" si="4"/>
        <v>3773268.5000000009</v>
      </c>
    </row>
    <row r="113" spans="1:18" x14ac:dyDescent="0.25">
      <c r="A113" s="528">
        <v>42</v>
      </c>
      <c r="B113" s="527">
        <v>4061</v>
      </c>
      <c r="C113" s="528" t="s">
        <v>275</v>
      </c>
      <c r="D113" s="529">
        <v>8356896.4500000002</v>
      </c>
      <c r="E113" s="551">
        <v>686342</v>
      </c>
      <c r="F113" s="547">
        <v>697323.13</v>
      </c>
      <c r="G113" s="547">
        <v>697323.13</v>
      </c>
      <c r="H113" s="547">
        <v>697798.89</v>
      </c>
      <c r="I113" s="546">
        <v>697798.89</v>
      </c>
      <c r="J113" s="546">
        <v>697798.89</v>
      </c>
      <c r="K113" s="549">
        <v>697798.89</v>
      </c>
      <c r="L113" s="550"/>
      <c r="M113" s="550"/>
      <c r="N113" s="550"/>
      <c r="O113" s="531"/>
      <c r="Q113" s="574">
        <f t="shared" si="5"/>
        <v>4872183.82</v>
      </c>
      <c r="R113" s="544">
        <f t="shared" si="4"/>
        <v>4872183.82</v>
      </c>
    </row>
    <row r="114" spans="1:18" x14ac:dyDescent="0.25">
      <c r="A114" s="528">
        <v>43</v>
      </c>
      <c r="B114" s="527">
        <v>4080</v>
      </c>
      <c r="C114" s="528" t="s">
        <v>276</v>
      </c>
      <c r="D114" s="529">
        <v>166059.87</v>
      </c>
      <c r="E114" s="562">
        <v>166059.87</v>
      </c>
      <c r="F114" s="547">
        <v>0</v>
      </c>
      <c r="G114" s="547"/>
      <c r="H114" s="547"/>
      <c r="I114" s="546"/>
      <c r="J114" s="546"/>
      <c r="K114" s="549"/>
      <c r="L114" s="550"/>
      <c r="M114" s="550"/>
      <c r="N114" s="550"/>
      <c r="O114" s="531"/>
      <c r="Q114" s="574">
        <f>SUM(E114:P114)</f>
        <v>166059.87</v>
      </c>
      <c r="R114" s="544">
        <f t="shared" si="4"/>
        <v>166059.87</v>
      </c>
    </row>
    <row r="115" spans="1:18" x14ac:dyDescent="0.25">
      <c r="A115" s="528">
        <v>44</v>
      </c>
      <c r="B115" s="527">
        <v>4081</v>
      </c>
      <c r="C115" s="528" t="s">
        <v>277</v>
      </c>
      <c r="D115" s="529">
        <v>1014899.57</v>
      </c>
      <c r="E115" s="551">
        <v>83555.86</v>
      </c>
      <c r="F115" s="547">
        <v>84667.61</v>
      </c>
      <c r="G115" s="547">
        <v>84667.61</v>
      </c>
      <c r="H115" s="547">
        <v>86139.09</v>
      </c>
      <c r="I115" s="546">
        <v>86139.09</v>
      </c>
      <c r="J115" s="546">
        <v>86139.09</v>
      </c>
      <c r="K115" s="549">
        <v>86139.09</v>
      </c>
      <c r="L115" s="550"/>
      <c r="M115" s="550"/>
      <c r="N115" s="550"/>
      <c r="O115" s="531"/>
      <c r="Q115" s="574">
        <f t="shared" si="5"/>
        <v>597447.43999999994</v>
      </c>
      <c r="R115" s="544">
        <f t="shared" si="4"/>
        <v>597447.43999999994</v>
      </c>
    </row>
    <row r="116" spans="1:18" x14ac:dyDescent="0.25">
      <c r="A116" s="528">
        <v>45</v>
      </c>
      <c r="B116" s="527">
        <v>4090</v>
      </c>
      <c r="C116" s="528" t="s">
        <v>278</v>
      </c>
      <c r="D116" s="529">
        <v>2220850.8499999996</v>
      </c>
      <c r="E116" s="551">
        <v>182095.15</v>
      </c>
      <c r="F116" s="547">
        <v>185341.43</v>
      </c>
      <c r="G116" s="547">
        <v>185341.43</v>
      </c>
      <c r="H116" s="547">
        <v>209719.73</v>
      </c>
      <c r="I116" s="546">
        <v>209719.73</v>
      </c>
      <c r="J116" s="546">
        <v>209719.73</v>
      </c>
      <c r="K116" s="549">
        <v>209719.73</v>
      </c>
      <c r="L116" s="550"/>
      <c r="M116" s="550"/>
      <c r="N116" s="550"/>
      <c r="O116" s="531"/>
      <c r="Q116" s="574">
        <f t="shared" si="5"/>
        <v>1391656.93</v>
      </c>
      <c r="R116" s="544">
        <f t="shared" si="4"/>
        <v>1391656.93</v>
      </c>
    </row>
    <row r="117" spans="1:18" x14ac:dyDescent="0.25">
      <c r="A117" s="528">
        <v>46</v>
      </c>
      <c r="B117" s="527">
        <v>4091</v>
      </c>
      <c r="C117" s="528" t="s">
        <v>279</v>
      </c>
      <c r="D117" s="529">
        <v>3463844.94</v>
      </c>
      <c r="E117" s="551">
        <v>285991.09999999998</v>
      </c>
      <c r="F117" s="547">
        <v>288895.8</v>
      </c>
      <c r="G117" s="547">
        <v>288895.8</v>
      </c>
      <c r="H117" s="547">
        <v>283969.88</v>
      </c>
      <c r="I117" s="546">
        <v>283969.88</v>
      </c>
      <c r="J117" s="546">
        <v>283969.88</v>
      </c>
      <c r="K117" s="549">
        <v>283969.88</v>
      </c>
      <c r="L117" s="550"/>
      <c r="M117" s="550"/>
      <c r="N117" s="550"/>
      <c r="O117" s="531"/>
      <c r="Q117" s="574">
        <f t="shared" si="5"/>
        <v>1999662.2199999997</v>
      </c>
      <c r="R117" s="544">
        <f t="shared" si="4"/>
        <v>1999662.2199999997</v>
      </c>
    </row>
    <row r="118" spans="1:18" x14ac:dyDescent="0.25">
      <c r="A118" s="528">
        <v>47</v>
      </c>
      <c r="B118" s="527">
        <v>4100</v>
      </c>
      <c r="C118" s="528" t="s">
        <v>280</v>
      </c>
      <c r="D118" s="529">
        <v>3845172.95</v>
      </c>
      <c r="E118" s="551">
        <v>312807.54399999999</v>
      </c>
      <c r="F118" s="547">
        <v>321124.13</v>
      </c>
      <c r="G118" s="547">
        <v>321124.13</v>
      </c>
      <c r="H118" s="547">
        <f>275467.04+45657.09</f>
        <v>321124.13</v>
      </c>
      <c r="I118" s="546">
        <v>321189.65000000002</v>
      </c>
      <c r="J118" s="546">
        <v>322316.15000000002</v>
      </c>
      <c r="K118" s="549">
        <v>322228.78999999998</v>
      </c>
      <c r="L118" s="550"/>
      <c r="M118" s="550"/>
      <c r="N118" s="550"/>
      <c r="O118" s="531"/>
      <c r="Q118" s="574">
        <f t="shared" si="5"/>
        <v>2241914.5239999997</v>
      </c>
      <c r="R118" s="544">
        <f t="shared" si="4"/>
        <v>2241914.5239999997</v>
      </c>
    </row>
    <row r="119" spans="1:18" x14ac:dyDescent="0.25">
      <c r="A119" s="528">
        <v>48</v>
      </c>
      <c r="B119" s="527">
        <v>4102</v>
      </c>
      <c r="C119" s="528" t="s">
        <v>281</v>
      </c>
      <c r="D119" s="561">
        <v>1168940.7700000003</v>
      </c>
      <c r="E119" s="562">
        <v>95722.880000000005</v>
      </c>
      <c r="F119" s="547">
        <v>97565.26</v>
      </c>
      <c r="G119" s="547">
        <v>129838.42</v>
      </c>
      <c r="H119" s="547">
        <v>129838.42</v>
      </c>
      <c r="I119" s="546">
        <v>129838.42</v>
      </c>
      <c r="J119" s="546">
        <v>129838.41</v>
      </c>
      <c r="K119" s="549">
        <v>129838.42</v>
      </c>
      <c r="L119" s="550">
        <v>0</v>
      </c>
      <c r="M119" s="550"/>
      <c r="N119" s="550"/>
      <c r="O119" s="531">
        <v>0</v>
      </c>
      <c r="P119" s="531">
        <v>0</v>
      </c>
      <c r="Q119" s="574">
        <f t="shared" si="5"/>
        <v>842480.2300000001</v>
      </c>
      <c r="R119" s="544">
        <f t="shared" si="4"/>
        <v>842480.2300000001</v>
      </c>
    </row>
    <row r="120" spans="1:18" x14ac:dyDescent="0.25">
      <c r="A120" s="528">
        <v>49</v>
      </c>
      <c r="B120" s="527">
        <v>4103</v>
      </c>
      <c r="C120" s="528" t="s">
        <v>282</v>
      </c>
      <c r="D120" s="529">
        <v>8031180.3499999996</v>
      </c>
      <c r="E120" s="551">
        <v>660664.68999999994</v>
      </c>
      <c r="F120" s="547">
        <v>670046.88</v>
      </c>
      <c r="G120" s="547">
        <v>702200.36</v>
      </c>
      <c r="H120" s="547">
        <v>698845.87</v>
      </c>
      <c r="I120" s="546">
        <v>698845.87</v>
      </c>
      <c r="J120" s="546">
        <v>698845.86</v>
      </c>
      <c r="K120" s="549">
        <v>698845.87</v>
      </c>
      <c r="L120" s="550"/>
      <c r="M120" s="550"/>
      <c r="N120" s="550"/>
      <c r="O120" s="531"/>
      <c r="Q120" s="544">
        <f t="shared" si="5"/>
        <v>4828295.3999999994</v>
      </c>
      <c r="R120" s="544">
        <f t="shared" si="4"/>
        <v>4828295.3999999994</v>
      </c>
    </row>
    <row r="121" spans="1:18" x14ac:dyDescent="0.25">
      <c r="A121" s="528">
        <v>50</v>
      </c>
      <c r="B121" s="527">
        <v>4111</v>
      </c>
      <c r="C121" s="528" t="s">
        <v>283</v>
      </c>
      <c r="D121" s="529">
        <v>2429371.5800000005</v>
      </c>
      <c r="E121" s="551">
        <v>200228.99</v>
      </c>
      <c r="F121" s="547">
        <v>202649.33</v>
      </c>
      <c r="G121" s="547">
        <v>205064.94</v>
      </c>
      <c r="H121" s="547">
        <v>205425.31</v>
      </c>
      <c r="I121" s="546">
        <v>205425.31</v>
      </c>
      <c r="J121" s="546">
        <v>205425.31</v>
      </c>
      <c r="K121" s="549">
        <v>205425.31</v>
      </c>
      <c r="L121" s="550"/>
      <c r="M121" s="550"/>
      <c r="N121" s="550"/>
      <c r="O121" s="531"/>
      <c r="Q121" s="544">
        <f t="shared" si="5"/>
        <v>1429644.5000000002</v>
      </c>
      <c r="R121" s="544">
        <f t="shared" si="4"/>
        <v>1429644.5000000002</v>
      </c>
    </row>
    <row r="122" spans="1:18" x14ac:dyDescent="0.25">
      <c r="A122" s="528">
        <v>51</v>
      </c>
      <c r="B122" s="527">
        <v>4131</v>
      </c>
      <c r="C122" s="528" t="s">
        <v>284</v>
      </c>
      <c r="D122" s="529">
        <v>803834.34000000008</v>
      </c>
      <c r="E122" s="551">
        <v>66112.399999999994</v>
      </c>
      <c r="F122" s="547">
        <v>67065.63</v>
      </c>
      <c r="G122" s="547">
        <v>67991.27</v>
      </c>
      <c r="H122" s="547">
        <v>67799.25</v>
      </c>
      <c r="I122" s="546">
        <v>67799.25</v>
      </c>
      <c r="J122" s="546">
        <v>67799.240000000005</v>
      </c>
      <c r="K122" s="549">
        <v>67799.25</v>
      </c>
      <c r="L122" s="550"/>
      <c r="M122" s="550"/>
      <c r="N122" s="550"/>
      <c r="O122" s="531"/>
      <c r="Q122" s="544">
        <f t="shared" si="5"/>
        <v>472366.29</v>
      </c>
      <c r="R122" s="544">
        <f t="shared" si="4"/>
        <v>472366.29</v>
      </c>
    </row>
    <row r="123" spans="1:18" x14ac:dyDescent="0.25">
      <c r="E123" s="545"/>
    </row>
    <row r="124" spans="1:18" x14ac:dyDescent="0.25">
      <c r="E124" s="545"/>
    </row>
    <row r="125" spans="1:18" x14ac:dyDescent="0.25">
      <c r="E125" s="545"/>
    </row>
    <row r="126" spans="1:18" x14ac:dyDescent="0.25">
      <c r="D126" s="529">
        <f>SUM(D72:D123)</f>
        <v>203812569.47000003</v>
      </c>
      <c r="E126" s="529">
        <f>SUM(E72:E123)</f>
        <v>16906713.023999993</v>
      </c>
      <c r="F126" s="529">
        <f>SUM(F75:F123)</f>
        <v>16944328.249999996</v>
      </c>
      <c r="G126" s="529">
        <f>SUM(G72:G123)</f>
        <v>17480699.379999999</v>
      </c>
      <c r="H126" s="529">
        <f>SUM(H72:H123)</f>
        <v>17767778.950000003</v>
      </c>
      <c r="I126" s="529">
        <f>SUM(I72:I123)</f>
        <v>17751394.610000003</v>
      </c>
      <c r="J126" s="529">
        <f t="shared" ref="J126:K126" si="6">SUM(J75:J123)</f>
        <v>17663417.080000002</v>
      </c>
      <c r="K126" s="567">
        <f t="shared" si="6"/>
        <v>17662662.43</v>
      </c>
      <c r="L126" s="529">
        <f>SUM(L72:L123)</f>
        <v>0</v>
      </c>
      <c r="M126" s="529">
        <f>SUM(M72:M123)</f>
        <v>0</v>
      </c>
      <c r="N126" s="529">
        <f>SUM(N72:N123)</f>
        <v>0</v>
      </c>
      <c r="O126" s="529">
        <f t="shared" ref="O126:P126" si="7">SUM(O72:O123)</f>
        <v>0</v>
      </c>
      <c r="P126" s="568">
        <f t="shared" si="7"/>
        <v>0</v>
      </c>
      <c r="Q126" s="529">
        <f>SUM(Q72:Q123)</f>
        <v>122415341.87400003</v>
      </c>
      <c r="R126" s="529">
        <f>SUM(R72:R123)</f>
        <v>122415341.87400003</v>
      </c>
    </row>
    <row r="128" spans="1:18" x14ac:dyDescent="0.25">
      <c r="E128" s="561">
        <f>E57-E126</f>
        <v>0</v>
      </c>
    </row>
    <row r="129" spans="5:5" x14ac:dyDescent="0.25">
      <c r="E129" s="545"/>
    </row>
  </sheetData>
  <pageMargins left="0.7" right="0.7" top="0.75" bottom="0.75" header="0.3" footer="0.3"/>
  <pageSetup scale="44" fitToHeight="0" orientation="landscape" r:id="rId1"/>
  <ignoredErrors>
    <ignoredError sqref="Q73:Q122 Q72" formulaRange="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8B8-2729-432C-8529-62A97B1A604B}">
  <dimension ref="A1:Z180"/>
  <sheetViews>
    <sheetView workbookViewId="0">
      <selection activeCell="I144" sqref="I144"/>
    </sheetView>
  </sheetViews>
  <sheetFormatPr defaultColWidth="9.140625" defaultRowHeight="15.75" x14ac:dyDescent="0.25"/>
  <cols>
    <col min="1" max="1" width="10.28515625" style="425" customWidth="1"/>
    <col min="2" max="2" width="30.28515625" style="377" bestFit="1" customWidth="1"/>
    <col min="3" max="3" width="14" style="377" customWidth="1"/>
    <col min="4" max="4" width="11.5703125" style="377" customWidth="1"/>
    <col min="5" max="5" width="14" style="377" customWidth="1"/>
    <col min="6" max="6" width="18.140625" style="377" customWidth="1"/>
    <col min="7" max="7" width="7.42578125" style="377" customWidth="1"/>
    <col min="8" max="8" width="15.7109375" style="377" customWidth="1"/>
    <col min="9" max="9" width="23.7109375" style="377" customWidth="1"/>
    <col min="10" max="10" width="12.7109375" style="377" bestFit="1" customWidth="1"/>
    <col min="11" max="11" width="16.85546875" style="377" bestFit="1" customWidth="1"/>
    <col min="12" max="12" width="15.7109375" style="377" bestFit="1" customWidth="1"/>
    <col min="13" max="16384" width="9.140625" style="377"/>
  </cols>
  <sheetData>
    <row r="1" spans="1:12" ht="16.5" thickBot="1" x14ac:dyDescent="0.3">
      <c r="A1" s="376"/>
      <c r="B1" s="815" t="s">
        <v>0</v>
      </c>
      <c r="C1" s="816"/>
      <c r="D1" s="816"/>
      <c r="E1" s="816"/>
      <c r="F1" s="816"/>
      <c r="G1" s="816"/>
      <c r="H1" s="816"/>
      <c r="I1" s="816"/>
    </row>
    <row r="2" spans="1:12" ht="21" x14ac:dyDescent="0.35">
      <c r="A2" s="378" t="s">
        <v>330</v>
      </c>
      <c r="B2" s="379"/>
      <c r="C2" s="379"/>
      <c r="D2" s="379"/>
      <c r="E2" s="379"/>
      <c r="F2" s="379"/>
      <c r="G2" s="379"/>
      <c r="H2" s="379"/>
      <c r="I2" s="379"/>
    </row>
    <row r="3" spans="1:12" x14ac:dyDescent="0.25">
      <c r="A3" s="822" t="s">
        <v>576</v>
      </c>
      <c r="B3" s="822"/>
      <c r="C3" s="822"/>
      <c r="D3" s="822"/>
      <c r="E3" s="822"/>
      <c r="F3" s="822"/>
      <c r="G3" s="822"/>
      <c r="H3" s="822"/>
      <c r="I3" s="822"/>
      <c r="J3" s="822"/>
    </row>
    <row r="4" spans="1:12" x14ac:dyDescent="0.25">
      <c r="A4" s="817" t="s">
        <v>2</v>
      </c>
      <c r="B4" s="817"/>
      <c r="C4" s="818" t="s">
        <v>179</v>
      </c>
      <c r="D4" s="818"/>
      <c r="E4" s="818"/>
      <c r="F4" s="381" t="s">
        <v>577</v>
      </c>
      <c r="G4" s="382"/>
      <c r="H4" s="382"/>
      <c r="I4" s="382"/>
    </row>
    <row r="5" spans="1:12" ht="12" customHeight="1" thickBot="1" x14ac:dyDescent="0.3">
      <c r="A5" s="383"/>
      <c r="B5" s="383"/>
      <c r="C5" s="384"/>
      <c r="D5" s="384"/>
      <c r="E5" s="384"/>
      <c r="F5" s="385"/>
      <c r="G5" s="385"/>
      <c r="H5" s="385"/>
      <c r="I5" s="385"/>
    </row>
    <row r="6" spans="1:12" ht="12" customHeight="1" x14ac:dyDescent="0.25">
      <c r="A6" s="386"/>
      <c r="B6" s="386"/>
      <c r="C6" s="387"/>
      <c r="D6" s="387"/>
      <c r="E6" s="387"/>
      <c r="F6" s="382"/>
      <c r="G6" s="382"/>
      <c r="H6" s="382"/>
      <c r="I6" s="382"/>
    </row>
    <row r="7" spans="1:12" x14ac:dyDescent="0.25">
      <c r="A7" s="377" t="s">
        <v>3</v>
      </c>
      <c r="B7" s="733"/>
      <c r="C7" s="733"/>
      <c r="D7" s="733"/>
      <c r="E7" s="733"/>
      <c r="F7" s="733"/>
      <c r="G7" s="733"/>
      <c r="H7" s="733"/>
      <c r="I7" s="733"/>
    </row>
    <row r="8" spans="1:12" x14ac:dyDescent="0.25">
      <c r="A8" s="388"/>
      <c r="B8" s="389" t="s">
        <v>331</v>
      </c>
      <c r="C8" s="390">
        <f>'[2]1461'!C8</f>
        <v>5372.6</v>
      </c>
      <c r="D8" s="391"/>
      <c r="E8" s="392"/>
      <c r="F8" s="388"/>
      <c r="G8" s="389" t="s">
        <v>332</v>
      </c>
      <c r="H8" s="393">
        <f>'[2]1461'!H8</f>
        <v>1.0355000000000001</v>
      </c>
      <c r="I8" s="394"/>
    </row>
    <row r="9" spans="1:12" x14ac:dyDescent="0.25">
      <c r="A9" s="388"/>
      <c r="B9" s="389"/>
      <c r="C9" s="390"/>
      <c r="D9" s="391"/>
      <c r="E9" s="392"/>
      <c r="F9" s="388"/>
      <c r="G9" s="389" t="s">
        <v>333</v>
      </c>
      <c r="H9" s="393">
        <f>'[2]1461'!H9</f>
        <v>1</v>
      </c>
      <c r="I9" s="394"/>
    </row>
    <row r="10" spans="1:12" x14ac:dyDescent="0.25">
      <c r="A10" s="395"/>
      <c r="B10" s="395"/>
      <c r="C10" s="396"/>
      <c r="D10" s="396"/>
      <c r="E10" s="396"/>
      <c r="F10" s="397"/>
      <c r="G10" s="397"/>
      <c r="H10" s="398"/>
      <c r="I10" s="399" t="str">
        <f>'[2]1461'!I10</f>
        <v>2025-26</v>
      </c>
    </row>
    <row r="11" spans="1:12" x14ac:dyDescent="0.25">
      <c r="A11" s="395"/>
      <c r="B11" s="395"/>
      <c r="C11" s="400" t="str">
        <f>'0040'!C9</f>
        <v>Oct 2025</v>
      </c>
      <c r="D11" s="457" t="str">
        <f>'0040'!D9</f>
        <v>Feb 2026</v>
      </c>
      <c r="E11" s="401" t="s">
        <v>125</v>
      </c>
      <c r="F11" s="819" t="s">
        <v>8</v>
      </c>
      <c r="G11" s="819"/>
      <c r="H11" s="398" t="s">
        <v>9</v>
      </c>
      <c r="I11" s="402" t="s">
        <v>10</v>
      </c>
    </row>
    <row r="12" spans="1:12" x14ac:dyDescent="0.25">
      <c r="A12" s="820" t="s">
        <v>8</v>
      </c>
      <c r="B12" s="820"/>
      <c r="C12" s="403" t="str">
        <f>'[2]1461'!C12</f>
        <v>FTE</v>
      </c>
      <c r="D12" s="403" t="str">
        <f>'[2]1461'!D12</f>
        <v>FTE</v>
      </c>
      <c r="E12" s="404" t="s">
        <v>54</v>
      </c>
      <c r="F12" s="821" t="s">
        <v>12</v>
      </c>
      <c r="G12" s="821"/>
      <c r="H12" s="405" t="s">
        <v>13</v>
      </c>
      <c r="I12" s="406" t="s">
        <v>14</v>
      </c>
    </row>
    <row r="13" spans="1:12" x14ac:dyDescent="0.25">
      <c r="A13" s="810" t="s">
        <v>15</v>
      </c>
      <c r="B13" s="810"/>
      <c r="C13" s="407"/>
      <c r="D13" s="407"/>
      <c r="E13" s="408" t="s">
        <v>16</v>
      </c>
      <c r="F13" s="811" t="s">
        <v>17</v>
      </c>
      <c r="G13" s="811"/>
      <c r="H13" s="409" t="s">
        <v>18</v>
      </c>
      <c r="I13" s="410" t="s">
        <v>19</v>
      </c>
    </row>
    <row r="14" spans="1:12" x14ac:dyDescent="0.25">
      <c r="A14" s="812" t="s">
        <v>20</v>
      </c>
      <c r="B14" s="812"/>
      <c r="C14" s="411">
        <f>SUM('0040:4131'!C12)</f>
        <v>1960.6700000000003</v>
      </c>
      <c r="D14" s="411">
        <f>SUM('0040:4131'!D12)</f>
        <v>0</v>
      </c>
      <c r="E14" s="418">
        <f>SUM('0040:4131'!E12)</f>
        <v>3921.3400000000006</v>
      </c>
      <c r="F14" s="813">
        <f>'1461'!G12:G12</f>
        <v>1.1080000000000001</v>
      </c>
      <c r="G14" s="813"/>
      <c r="H14" s="413">
        <f>SUM('0040:4131'!I12)</f>
        <v>4344.8446000000004</v>
      </c>
      <c r="I14" s="590">
        <f>SUM('0040:4131'!J12)</f>
        <v>24171792.589999996</v>
      </c>
      <c r="L14" s="478"/>
    </row>
    <row r="15" spans="1:12" x14ac:dyDescent="0.25">
      <c r="A15" s="814" t="s">
        <v>21</v>
      </c>
      <c r="B15" s="814"/>
      <c r="C15" s="415">
        <f>SUM('0040:4131'!C13)</f>
        <v>307.5</v>
      </c>
      <c r="D15" s="415">
        <f>SUM('0040:4131'!D13)</f>
        <v>0</v>
      </c>
      <c r="E15" s="412">
        <f>SUM('0040:4131'!E13)</f>
        <v>615</v>
      </c>
      <c r="F15" s="813">
        <f>'1461'!G13:G13</f>
        <v>1.1080000000000001</v>
      </c>
      <c r="G15" s="813"/>
      <c r="H15" s="413">
        <f>SUM('0040:4131'!I13)</f>
        <v>681.42000000000007</v>
      </c>
      <c r="I15" s="590">
        <f>SUM('0040:4131'!J13)</f>
        <v>3790962.4800000004</v>
      </c>
      <c r="L15" s="478"/>
    </row>
    <row r="16" spans="1:12" x14ac:dyDescent="0.25">
      <c r="A16" s="814" t="s">
        <v>22</v>
      </c>
      <c r="B16" s="814"/>
      <c r="C16" s="415">
        <f>SUM('0040:4131'!C14)</f>
        <v>3275.65</v>
      </c>
      <c r="D16" s="415">
        <f>SUM('0040:4131'!D14)</f>
        <v>0</v>
      </c>
      <c r="E16" s="412">
        <f>SUM('0040:4131'!E14)</f>
        <v>6551.3</v>
      </c>
      <c r="F16" s="813">
        <f>'1461'!G14:G14</f>
        <v>1</v>
      </c>
      <c r="G16" s="813"/>
      <c r="H16" s="413">
        <f>SUM('0040:4131'!I14)</f>
        <v>6551.3</v>
      </c>
      <c r="I16" s="590">
        <f>SUM('0040:4131'!J14)</f>
        <v>36447026.149999999</v>
      </c>
      <c r="L16" s="478"/>
    </row>
    <row r="17" spans="1:12" x14ac:dyDescent="0.25">
      <c r="A17" s="814" t="s">
        <v>23</v>
      </c>
      <c r="B17" s="814"/>
      <c r="C17" s="415">
        <f>SUM('0040:4131'!C15)</f>
        <v>645.86999999999989</v>
      </c>
      <c r="D17" s="415">
        <f>SUM('0040:4131'!D15)</f>
        <v>0</v>
      </c>
      <c r="E17" s="412">
        <f>SUM('0040:4131'!E15)</f>
        <v>1291.7399999999998</v>
      </c>
      <c r="F17" s="813">
        <f>'1461'!G15:G15</f>
        <v>1</v>
      </c>
      <c r="G17" s="813"/>
      <c r="H17" s="413">
        <f>SUM('0040:4131'!I15)</f>
        <v>1291.7399999999998</v>
      </c>
      <c r="I17" s="590">
        <f>SUM('0040:4131'!J15)</f>
        <v>7186372.3799999999</v>
      </c>
      <c r="L17" s="478"/>
    </row>
    <row r="18" spans="1:12" x14ac:dyDescent="0.25">
      <c r="A18" s="814" t="s">
        <v>24</v>
      </c>
      <c r="B18" s="814"/>
      <c r="C18" s="415">
        <f>SUM('0040:4131'!C16)</f>
        <v>2167.9199999999996</v>
      </c>
      <c r="D18" s="415">
        <f>SUM('0040:4131'!D16)</f>
        <v>0</v>
      </c>
      <c r="E18" s="412">
        <f>SUM('0040:4131'!E16)</f>
        <v>4335.8399999999992</v>
      </c>
      <c r="F18" s="813">
        <f>'1461'!G16:G16</f>
        <v>0.97199999999999998</v>
      </c>
      <c r="G18" s="813"/>
      <c r="H18" s="413">
        <f>SUM('0040:4131'!I16)</f>
        <v>4214.4366</v>
      </c>
      <c r="I18" s="590">
        <f>SUM('0040:4131'!J16)</f>
        <v>23446290.190000005</v>
      </c>
      <c r="L18" s="478"/>
    </row>
    <row r="19" spans="1:12" x14ac:dyDescent="0.25">
      <c r="A19" s="814" t="s">
        <v>25</v>
      </c>
      <c r="B19" s="814"/>
      <c r="C19" s="415">
        <f>SUM('0040:4131'!C17)</f>
        <v>654.85</v>
      </c>
      <c r="D19" s="415">
        <f>SUM('0040:4131'!D17)</f>
        <v>0</v>
      </c>
      <c r="E19" s="412">
        <f>SUM('0040:4131'!E17)</f>
        <v>1309.7</v>
      </c>
      <c r="F19" s="813">
        <f>'1461'!G17:G17</f>
        <v>0.97199999999999998</v>
      </c>
      <c r="G19" s="813"/>
      <c r="H19" s="413">
        <f>SUM('0040:4131'!I17)</f>
        <v>1273.0283999999997</v>
      </c>
      <c r="I19" s="590">
        <f>SUM('0040:4131'!J17)</f>
        <v>7082273.6499999985</v>
      </c>
      <c r="L19" s="478"/>
    </row>
    <row r="20" spans="1:12" x14ac:dyDescent="0.25">
      <c r="A20" s="814" t="s">
        <v>334</v>
      </c>
      <c r="B20" s="814"/>
      <c r="C20" s="415">
        <f>SUM('0040:4131'!C18)</f>
        <v>100.5</v>
      </c>
      <c r="D20" s="415">
        <f>SUM('0040:4131'!D18)</f>
        <v>0</v>
      </c>
      <c r="E20" s="412">
        <f>SUM('0040:4131'!E18)</f>
        <v>201</v>
      </c>
      <c r="F20" s="813">
        <f>'1461'!G18:G18</f>
        <v>3.609</v>
      </c>
      <c r="G20" s="813"/>
      <c r="H20" s="413">
        <f>SUM('0040:4131'!I18)</f>
        <v>725.40900000000011</v>
      </c>
      <c r="I20" s="590">
        <f>SUM('0040:4131'!J18)</f>
        <v>4035687.6900000004</v>
      </c>
      <c r="L20" s="478"/>
    </row>
    <row r="21" spans="1:12" x14ac:dyDescent="0.25">
      <c r="A21" s="814" t="s">
        <v>335</v>
      </c>
      <c r="B21" s="814"/>
      <c r="C21" s="415">
        <f>SUM('0040:4131'!C19)</f>
        <v>66.5</v>
      </c>
      <c r="D21" s="415">
        <f>SUM('0040:4131'!D19)</f>
        <v>0</v>
      </c>
      <c r="E21" s="412">
        <f>SUM('0040:4131'!E19)</f>
        <v>133</v>
      </c>
      <c r="F21" s="813">
        <f>'1461'!G19:G19</f>
        <v>3.609</v>
      </c>
      <c r="G21" s="813"/>
      <c r="H21" s="413">
        <f>SUM('0040:4131'!I19)</f>
        <v>479.99700000000001</v>
      </c>
      <c r="I21" s="590">
        <f>SUM('0040:4131'!J19)</f>
        <v>2670380.41</v>
      </c>
      <c r="L21" s="478"/>
    </row>
    <row r="22" spans="1:12" x14ac:dyDescent="0.25">
      <c r="A22" s="814" t="s">
        <v>336</v>
      </c>
      <c r="B22" s="814"/>
      <c r="C22" s="415">
        <f>SUM('0040:4131'!C20)</f>
        <v>74.849999999999994</v>
      </c>
      <c r="D22" s="415">
        <f>SUM('0040:4131'!D20)</f>
        <v>0</v>
      </c>
      <c r="E22" s="412">
        <f>SUM('0040:4131'!E20)</f>
        <v>149.69999999999999</v>
      </c>
      <c r="F22" s="813">
        <f>'1461'!G20:G20</f>
        <v>3.609</v>
      </c>
      <c r="G22" s="813"/>
      <c r="H22" s="413">
        <f>SUM('0040:4131'!I20)</f>
        <v>540.26729999999998</v>
      </c>
      <c r="I22" s="590">
        <f>SUM('0040:4131'!J20)</f>
        <v>3005683.8099999996</v>
      </c>
      <c r="L22" s="478"/>
    </row>
    <row r="23" spans="1:12" x14ac:dyDescent="0.25">
      <c r="A23" s="814" t="s">
        <v>337</v>
      </c>
      <c r="B23" s="814"/>
      <c r="C23" s="415">
        <f>SUM('0040:4131'!C21)</f>
        <v>52</v>
      </c>
      <c r="D23" s="415">
        <f>SUM('0040:4131'!D21)</f>
        <v>0</v>
      </c>
      <c r="E23" s="412">
        <f>SUM('0040:4131'!E21)</f>
        <v>104</v>
      </c>
      <c r="F23" s="813">
        <f>'1461'!G21:G21</f>
        <v>6.0640000000000001</v>
      </c>
      <c r="G23" s="813"/>
      <c r="H23" s="413">
        <f>SUM('0040:4131'!I21)</f>
        <v>630.65599999999995</v>
      </c>
      <c r="I23" s="590">
        <f>SUM('0040:4131'!J21)</f>
        <v>3508545.74</v>
      </c>
      <c r="L23" s="478"/>
    </row>
    <row r="24" spans="1:12" x14ac:dyDescent="0.25">
      <c r="A24" s="814" t="s">
        <v>338</v>
      </c>
      <c r="B24" s="814"/>
      <c r="C24" s="415">
        <f>SUM('0040:4131'!C22)</f>
        <v>57.5</v>
      </c>
      <c r="D24" s="415">
        <f>SUM('0040:4131'!D22)</f>
        <v>0</v>
      </c>
      <c r="E24" s="412">
        <f>SUM('0040:4131'!E22)</f>
        <v>115</v>
      </c>
      <c r="F24" s="813">
        <f>'1461'!G22:G22</f>
        <v>6.0640000000000001</v>
      </c>
      <c r="G24" s="813"/>
      <c r="H24" s="413">
        <f>SUM('0040:4131'!I22)</f>
        <v>697.3599999999999</v>
      </c>
      <c r="I24" s="590">
        <f>SUM('0040:4131'!J22)</f>
        <v>3879641.92</v>
      </c>
      <c r="L24" s="478"/>
    </row>
    <row r="25" spans="1:12" x14ac:dyDescent="0.25">
      <c r="A25" s="814" t="s">
        <v>339</v>
      </c>
      <c r="B25" s="814"/>
      <c r="C25" s="415">
        <f>SUM('0040:4131'!C23)</f>
        <v>45</v>
      </c>
      <c r="D25" s="415">
        <f>SUM('0040:4131'!D23)</f>
        <v>0</v>
      </c>
      <c r="E25" s="412">
        <f>SUM('0040:4131'!E23)</f>
        <v>90</v>
      </c>
      <c r="F25" s="813">
        <f>'1461'!G23:G23</f>
        <v>6.0640000000000001</v>
      </c>
      <c r="G25" s="813"/>
      <c r="H25" s="413">
        <f>SUM('0040:4131'!I23)</f>
        <v>545.76</v>
      </c>
      <c r="I25" s="590">
        <f>SUM('0040:4131'!J23)</f>
        <v>3036241.5</v>
      </c>
      <c r="L25" s="478"/>
    </row>
    <row r="26" spans="1:12" x14ac:dyDescent="0.25">
      <c r="A26" s="814" t="s">
        <v>340</v>
      </c>
      <c r="B26" s="814"/>
      <c r="C26" s="415">
        <f>SUM('0040:4131'!C24)</f>
        <v>555.79999999999995</v>
      </c>
      <c r="D26" s="415">
        <f>SUM('0040:4131'!D24)</f>
        <v>0</v>
      </c>
      <c r="E26" s="412">
        <f>SUM('0040:4131'!E24)</f>
        <v>1111.5999999999999</v>
      </c>
      <c r="F26" s="813">
        <f>'1461'!G24:G24</f>
        <v>1.165</v>
      </c>
      <c r="G26" s="813"/>
      <c r="H26" s="413">
        <f>SUM('0040:4131'!I24)</f>
        <v>1295.0139999999999</v>
      </c>
      <c r="I26" s="590">
        <f>SUM('0040:4131'!J24)</f>
        <v>7204586.7400000002</v>
      </c>
      <c r="L26" s="478"/>
    </row>
    <row r="27" spans="1:12" x14ac:dyDescent="0.25">
      <c r="A27" s="814" t="s">
        <v>341</v>
      </c>
      <c r="B27" s="814"/>
      <c r="C27" s="415">
        <f>SUM('0040:4131'!C25)</f>
        <v>286.98</v>
      </c>
      <c r="D27" s="415">
        <f>SUM('0040:4131'!D25)</f>
        <v>0</v>
      </c>
      <c r="E27" s="412">
        <f>SUM('0040:4131'!E25)</f>
        <v>573.96</v>
      </c>
      <c r="F27" s="813">
        <f>'1461'!G25:G25</f>
        <v>1.165</v>
      </c>
      <c r="G27" s="813"/>
      <c r="H27" s="413">
        <f>SUM('0040:4131'!I25)</f>
        <v>668.66339999999991</v>
      </c>
      <c r="I27" s="590">
        <f>SUM('0040:4131'!J25)</f>
        <v>3719993.34</v>
      </c>
      <c r="L27" s="478"/>
    </row>
    <row r="28" spans="1:12" x14ac:dyDescent="0.25">
      <c r="A28" s="814" t="s">
        <v>342</v>
      </c>
      <c r="B28" s="814"/>
      <c r="C28" s="415">
        <f>SUM('0040:4131'!C26)</f>
        <v>149.35</v>
      </c>
      <c r="D28" s="415">
        <f>SUM('0040:4131'!D26)</f>
        <v>0</v>
      </c>
      <c r="E28" s="412">
        <f>SUM('0040:4131'!E26)</f>
        <v>298.7</v>
      </c>
      <c r="F28" s="813">
        <f>'1461'!G26:G26</f>
        <v>1.165</v>
      </c>
      <c r="G28" s="813"/>
      <c r="H28" s="413">
        <f>SUM('0040:4131'!I26)</f>
        <v>347.98549999999994</v>
      </c>
      <c r="I28" s="590">
        <f>SUM('0040:4131'!J26)</f>
        <v>1935957.2399999998</v>
      </c>
      <c r="L28" s="478"/>
    </row>
    <row r="29" spans="1:12" x14ac:dyDescent="0.25">
      <c r="A29" s="814" t="s">
        <v>343</v>
      </c>
      <c r="B29" s="814"/>
      <c r="C29" s="415">
        <f>SUM('0040:4131'!C27)</f>
        <v>307.3</v>
      </c>
      <c r="D29" s="415">
        <f>SUM('0040:4131'!D27)</f>
        <v>0</v>
      </c>
      <c r="E29" s="412">
        <f>SUM('0040:4131'!E27)</f>
        <v>614.6</v>
      </c>
      <c r="F29" s="813">
        <f>'1461'!G27:G27</f>
        <v>1.081</v>
      </c>
      <c r="G29" s="813"/>
      <c r="H29" s="413">
        <f>SUM('0040:4131'!I27)</f>
        <v>664.38250000000016</v>
      </c>
      <c r="I29" s="590">
        <f>SUM('0040:4131'!J27)</f>
        <v>3696177.3000000003</v>
      </c>
      <c r="L29" s="478"/>
    </row>
    <row r="30" spans="1:12" x14ac:dyDescent="0.25">
      <c r="A30" s="823" t="s">
        <v>344</v>
      </c>
      <c r="B30" s="824"/>
      <c r="C30" s="417">
        <f>SUM(C14:C29)</f>
        <v>10708.239999999998</v>
      </c>
      <c r="D30" s="417">
        <f>SUM(D14:D29)</f>
        <v>0</v>
      </c>
      <c r="E30" s="418">
        <f>SUM(E14:E29)</f>
        <v>21416.479999999996</v>
      </c>
      <c r="F30" s="826"/>
      <c r="G30" s="826"/>
      <c r="H30" s="419">
        <f>SUM('0040:4131'!I28)</f>
        <v>24952.264299999995</v>
      </c>
      <c r="I30" s="591">
        <f>SUM('0040:4131'!J28)</f>
        <v>138817613.13</v>
      </c>
    </row>
    <row r="31" spans="1:12" x14ac:dyDescent="0.25">
      <c r="A31" s="380" t="s">
        <v>345</v>
      </c>
      <c r="B31" s="420"/>
      <c r="C31" s="415">
        <f>SUM('0040:4131'!C29)</f>
        <v>0</v>
      </c>
      <c r="D31" s="415">
        <f>SUM('0040:4131'!D29)</f>
        <v>0</v>
      </c>
      <c r="E31" s="412">
        <f>IF(D$30=0,C31*2,C31+D31)</f>
        <v>0</v>
      </c>
      <c r="F31" s="813">
        <f>'1461'!G29:G29</f>
        <v>0</v>
      </c>
      <c r="G31" s="813"/>
      <c r="H31" s="413">
        <f t="shared" ref="H31" si="0">ROUND(E31*F31,4)</f>
        <v>0</v>
      </c>
      <c r="I31" s="414">
        <f>[2]Virtual!E28</f>
        <v>0</v>
      </c>
    </row>
    <row r="32" spans="1:12" x14ac:dyDescent="0.25">
      <c r="A32" s="823" t="s">
        <v>346</v>
      </c>
      <c r="B32" s="824"/>
      <c r="C32" s="421">
        <f>SUM(C30:C31)</f>
        <v>10708.239999999998</v>
      </c>
      <c r="D32" s="421">
        <f>SUM(D30:D31)</f>
        <v>0</v>
      </c>
      <c r="E32" s="421">
        <f>SUM(E30:E31)</f>
        <v>21416.479999999996</v>
      </c>
      <c r="F32" s="422"/>
      <c r="G32" s="422"/>
      <c r="H32" s="413"/>
      <c r="I32" s="590">
        <f>SUM('0040:4131'!J30)</f>
        <v>0</v>
      </c>
    </row>
    <row r="33" spans="1:9" x14ac:dyDescent="0.25">
      <c r="A33" s="423"/>
      <c r="B33" s="423"/>
      <c r="C33" s="414"/>
      <c r="D33" s="414"/>
      <c r="E33" s="414"/>
      <c r="F33" s="422"/>
      <c r="G33" s="422"/>
      <c r="H33" s="413"/>
      <c r="I33" s="414"/>
    </row>
    <row r="34" spans="1:9" x14ac:dyDescent="0.25">
      <c r="A34" s="424" t="s">
        <v>37</v>
      </c>
      <c r="B34" s="423"/>
      <c r="C34" s="414"/>
      <c r="D34" s="414"/>
      <c r="E34" s="414"/>
      <c r="F34" s="422"/>
      <c r="G34" s="422"/>
      <c r="H34" s="413"/>
      <c r="I34" s="414"/>
    </row>
    <row r="35" spans="1:9" hidden="1" x14ac:dyDescent="0.25">
      <c r="A35" s="424"/>
      <c r="B35" s="423"/>
      <c r="C35" s="414"/>
      <c r="D35" s="414"/>
      <c r="E35" s="414"/>
      <c r="F35" s="422"/>
      <c r="G35" s="422"/>
      <c r="H35" s="413"/>
      <c r="I35" s="414"/>
    </row>
    <row r="36" spans="1:9" hidden="1" x14ac:dyDescent="0.25">
      <c r="A36" s="377"/>
      <c r="B36" s="425"/>
      <c r="C36" s="425"/>
      <c r="D36" s="425"/>
      <c r="E36" s="425"/>
      <c r="F36" s="425"/>
      <c r="G36" s="425"/>
      <c r="H36" s="425"/>
      <c r="I36" s="426" t="s">
        <v>347</v>
      </c>
    </row>
    <row r="37" spans="1:9" hidden="1" x14ac:dyDescent="0.25">
      <c r="A37" s="423"/>
      <c r="B37" s="423"/>
      <c r="C37" s="400" t="str">
        <f>C11</f>
        <v>Oct 2025</v>
      </c>
      <c r="D37" s="400" t="str">
        <f>D11</f>
        <v>Feb 2026</v>
      </c>
      <c r="E37" s="401" t="s">
        <v>125</v>
      </c>
      <c r="F37" s="422"/>
      <c r="G37" s="422"/>
      <c r="H37" s="427"/>
      <c r="I37" s="428" t="s">
        <v>10</v>
      </c>
    </row>
    <row r="38" spans="1:9" hidden="1" x14ac:dyDescent="0.25">
      <c r="A38" s="820" t="s">
        <v>348</v>
      </c>
      <c r="B38" s="820"/>
      <c r="C38" s="429" t="s">
        <v>54</v>
      </c>
      <c r="D38" s="429" t="s">
        <v>54</v>
      </c>
      <c r="E38" s="404" t="s">
        <v>54</v>
      </c>
      <c r="F38" s="430"/>
      <c r="G38" s="430"/>
      <c r="H38" s="430"/>
      <c r="I38" s="431" t="s">
        <v>349</v>
      </c>
    </row>
    <row r="39" spans="1:9" hidden="1" x14ac:dyDescent="0.25">
      <c r="A39" s="812" t="s">
        <v>93</v>
      </c>
      <c r="B39" s="812"/>
      <c r="C39" s="432">
        <f>SUM('[2]1461:4111'!C38)</f>
        <v>0</v>
      </c>
      <c r="D39" s="432">
        <f>SUM('[2]1461:4111'!D38)</f>
        <v>0</v>
      </c>
      <c r="E39" s="418">
        <f>SUM('[2]1461:4111'!E38)</f>
        <v>0</v>
      </c>
      <c r="F39" s="433"/>
      <c r="G39" s="433"/>
      <c r="H39" s="433"/>
      <c r="I39" s="417">
        <f>SUM('[2]1461:4111'!I38)</f>
        <v>0</v>
      </c>
    </row>
    <row r="40" spans="1:9" hidden="1" x14ac:dyDescent="0.25">
      <c r="A40" s="814" t="s">
        <v>94</v>
      </c>
      <c r="B40" s="814"/>
      <c r="C40" s="434">
        <f>SUM('[2]1461:4111'!C39)</f>
        <v>0</v>
      </c>
      <c r="D40" s="434">
        <f>SUM('[2]1461:4111'!D39)</f>
        <v>0</v>
      </c>
      <c r="E40" s="412">
        <f>SUM('[2]1461:4111'!E39)</f>
        <v>0</v>
      </c>
      <c r="F40" s="435"/>
      <c r="G40" s="435"/>
      <c r="H40" s="435"/>
      <c r="I40" s="414">
        <f>SUM('[2]1461:4111'!I39)</f>
        <v>0</v>
      </c>
    </row>
    <row r="41" spans="1:9" hidden="1" x14ac:dyDescent="0.25">
      <c r="A41" s="825" t="s">
        <v>95</v>
      </c>
      <c r="B41" s="825"/>
      <c r="C41" s="434">
        <f>SUM('[2]1461:4111'!C40)</f>
        <v>0</v>
      </c>
      <c r="D41" s="434">
        <f>SUM('[2]1461:4111'!D40)</f>
        <v>0</v>
      </c>
      <c r="E41" s="412">
        <f>SUM('[2]1461:4111'!E40)</f>
        <v>0</v>
      </c>
      <c r="F41" s="435"/>
      <c r="G41" s="435"/>
      <c r="H41" s="435"/>
      <c r="I41" s="414">
        <f>SUM('[2]1461:4111'!I40)</f>
        <v>0</v>
      </c>
    </row>
    <row r="42" spans="1:9" hidden="1" x14ac:dyDescent="0.25">
      <c r="A42" s="814" t="s">
        <v>96</v>
      </c>
      <c r="B42" s="814"/>
      <c r="C42" s="434">
        <f>SUM('[2]1461:4111'!C41)</f>
        <v>0</v>
      </c>
      <c r="D42" s="434">
        <f>SUM('[2]1461:4111'!D41)</f>
        <v>0</v>
      </c>
      <c r="E42" s="412">
        <f>SUM('[2]1461:4111'!E41)</f>
        <v>0</v>
      </c>
      <c r="F42" s="435"/>
      <c r="G42" s="435"/>
      <c r="H42" s="435"/>
      <c r="I42" s="414">
        <f>SUM('[2]1461:4111'!I41)</f>
        <v>0</v>
      </c>
    </row>
    <row r="43" spans="1:9" hidden="1" x14ac:dyDescent="0.25">
      <c r="A43" s="814" t="s">
        <v>97</v>
      </c>
      <c r="B43" s="814"/>
      <c r="C43" s="434" t="e">
        <f>SUM('[2]1461:4111'!C42)</f>
        <v>#REF!</v>
      </c>
      <c r="D43" s="434">
        <f>SUM('[2]1461:4111'!D42)</f>
        <v>0</v>
      </c>
      <c r="E43" s="412">
        <f>SUM('[2]1461:4111'!E42)</f>
        <v>0</v>
      </c>
      <c r="F43" s="435"/>
      <c r="G43" s="435"/>
      <c r="H43" s="435"/>
      <c r="I43" s="414">
        <f>SUM('[2]1461:4111'!I42)</f>
        <v>0</v>
      </c>
    </row>
    <row r="44" spans="1:9" hidden="1" x14ac:dyDescent="0.25">
      <c r="A44" s="814" t="s">
        <v>41</v>
      </c>
      <c r="B44" s="814"/>
      <c r="C44" s="436">
        <f>SUM('[2]1461:4111'!C43)</f>
        <v>0</v>
      </c>
      <c r="D44" s="436">
        <f>SUM('[2]1461:4111'!D43)</f>
        <v>0</v>
      </c>
      <c r="E44" s="437">
        <f>SUM('[2]1461:4111'!E43)</f>
        <v>0</v>
      </c>
      <c r="F44" s="435"/>
      <c r="G44" s="435"/>
      <c r="H44" s="435"/>
      <c r="I44" s="438">
        <f>SUM('[2]1461:4111'!I43)</f>
        <v>0</v>
      </c>
    </row>
    <row r="45" spans="1:9" hidden="1" x14ac:dyDescent="0.25">
      <c r="A45" s="377"/>
      <c r="B45" s="439" t="s">
        <v>350</v>
      </c>
      <c r="C45" s="421" t="e">
        <f>SUM(C39:C44)</f>
        <v>#REF!</v>
      </c>
      <c r="D45" s="421">
        <f>SUM(D39:D44)</f>
        <v>0</v>
      </c>
      <c r="E45" s="421">
        <f>SUM(E39:E44)</f>
        <v>0</v>
      </c>
      <c r="F45" s="440"/>
      <c r="G45" s="441"/>
      <c r="H45" s="442" t="s">
        <v>351</v>
      </c>
      <c r="I45" s="421">
        <f>SUM(I39:I44)</f>
        <v>0</v>
      </c>
    </row>
    <row r="46" spans="1:9" hidden="1" x14ac:dyDescent="0.25">
      <c r="A46" s="377"/>
      <c r="B46" s="439"/>
      <c r="C46" s="414"/>
      <c r="D46" s="414"/>
      <c r="E46" s="417"/>
      <c r="F46" s="440"/>
      <c r="G46" s="441"/>
      <c r="H46" s="442"/>
      <c r="I46" s="414"/>
    </row>
    <row r="47" spans="1:9" ht="16.5" hidden="1" thickBot="1" x14ac:dyDescent="0.3">
      <c r="A47" s="377"/>
      <c r="B47" s="439" t="s">
        <v>352</v>
      </c>
      <c r="E47" s="443">
        <f>H30+E45</f>
        <v>24952.264299999995</v>
      </c>
      <c r="F47" s="444"/>
      <c r="G47" s="441"/>
      <c r="H47" s="442" t="s">
        <v>353</v>
      </c>
      <c r="I47" s="438">
        <f>SUM(I45,I32)</f>
        <v>0</v>
      </c>
    </row>
    <row r="48" spans="1:9" hidden="1" x14ac:dyDescent="0.25">
      <c r="A48" s="423"/>
      <c r="B48" s="423"/>
      <c r="C48" s="423"/>
      <c r="D48" s="423"/>
      <c r="E48" s="423"/>
      <c r="F48" s="444"/>
      <c r="G48" s="422"/>
      <c r="H48" s="422"/>
      <c r="I48" s="414"/>
    </row>
    <row r="49" spans="1:11" x14ac:dyDescent="0.25">
      <c r="A49" s="423"/>
      <c r="B49" s="423"/>
      <c r="C49" s="423"/>
      <c r="D49" s="423"/>
      <c r="E49" s="423"/>
      <c r="F49" s="444"/>
      <c r="G49" s="422"/>
      <c r="H49" s="422"/>
      <c r="I49" s="414"/>
    </row>
    <row r="50" spans="1:11" x14ac:dyDescent="0.25">
      <c r="A50" s="380" t="s">
        <v>354</v>
      </c>
      <c r="B50" s="423"/>
      <c r="C50" s="423"/>
      <c r="D50" s="423"/>
      <c r="E50" s="423"/>
      <c r="F50" s="444"/>
      <c r="G50" s="422"/>
      <c r="H50" s="422"/>
      <c r="I50" s="414"/>
    </row>
    <row r="51" spans="1:11" s="446" customFormat="1" ht="9" customHeight="1" x14ac:dyDescent="0.25">
      <c r="A51" s="445" t="s">
        <v>355</v>
      </c>
      <c r="F51" s="447"/>
      <c r="G51" s="448"/>
      <c r="H51" s="448"/>
      <c r="I51" s="449"/>
    </row>
    <row r="52" spans="1:11" s="446" customFormat="1" ht="11.25" customHeight="1" x14ac:dyDescent="0.25">
      <c r="A52" s="450" t="s">
        <v>356</v>
      </c>
      <c r="F52" s="447"/>
      <c r="G52" s="448"/>
      <c r="H52" s="448"/>
      <c r="I52" s="449"/>
    </row>
    <row r="53" spans="1:11" x14ac:dyDescent="0.25">
      <c r="A53" s="451"/>
      <c r="B53" s="377" t="s">
        <v>357</v>
      </c>
      <c r="C53" s="423"/>
      <c r="D53" s="423"/>
      <c r="E53" s="452" t="s">
        <v>358</v>
      </c>
      <c r="F53" s="592">
        <f>SUM('0040:4131'!G36)</f>
        <v>138187490.73999998</v>
      </c>
      <c r="G53" s="454" t="s">
        <v>81</v>
      </c>
      <c r="H53" s="455">
        <v>6.6699999999999995E-2</v>
      </c>
      <c r="I53" s="593">
        <f>SUM('0040:4131'!J36)</f>
        <v>9217105.620000001</v>
      </c>
      <c r="K53" s="456">
        <f>F53*H53</f>
        <v>9217105.6323579978</v>
      </c>
    </row>
    <row r="54" spans="1:11" x14ac:dyDescent="0.25">
      <c r="A54" s="423"/>
      <c r="B54" s="380" t="s">
        <v>359</v>
      </c>
      <c r="C54" s="423"/>
      <c r="D54" s="423"/>
      <c r="E54" s="452" t="s">
        <v>358</v>
      </c>
      <c r="F54" s="592">
        <f>SUM('0040:4131'!G37)</f>
        <v>138187490.73999998</v>
      </c>
      <c r="G54" s="454" t="s">
        <v>81</v>
      </c>
      <c r="H54" s="455">
        <v>5.4000000000000003E-3</v>
      </c>
      <c r="I54" s="593">
        <f>SUM('0040:4131'!J37)</f>
        <v>746212.41999999993</v>
      </c>
      <c r="K54" s="456">
        <f>F54*0.0054</f>
        <v>746212.44999599992</v>
      </c>
    </row>
    <row r="55" spans="1:11" x14ac:dyDescent="0.25">
      <c r="A55" s="423"/>
      <c r="B55" s="380" t="s">
        <v>360</v>
      </c>
      <c r="C55" s="423"/>
      <c r="D55" s="423"/>
      <c r="E55" s="452"/>
      <c r="F55" s="453"/>
      <c r="G55" s="454"/>
      <c r="H55" s="455"/>
      <c r="I55" s="421">
        <f>SUM(I53:I54)</f>
        <v>9963318.040000001</v>
      </c>
    </row>
    <row r="56" spans="1:11" x14ac:dyDescent="0.25">
      <c r="A56" s="423"/>
      <c r="B56" s="423"/>
      <c r="C56" s="423"/>
      <c r="D56" s="423"/>
      <c r="E56" s="423"/>
      <c r="F56" s="444"/>
      <c r="G56" s="422"/>
      <c r="H56" s="422"/>
      <c r="I56" s="414"/>
    </row>
    <row r="57" spans="1:11" x14ac:dyDescent="0.25">
      <c r="A57" s="423"/>
      <c r="B57" s="423"/>
      <c r="C57" s="400" t="str">
        <f>C11</f>
        <v>Oct 2025</v>
      </c>
      <c r="D57" s="457" t="str">
        <f t="shared" ref="D57:D58" si="1">D11</f>
        <v>Feb 2026</v>
      </c>
      <c r="E57" s="401" t="s">
        <v>125</v>
      </c>
      <c r="F57" s="458" t="s">
        <v>361</v>
      </c>
      <c r="G57" s="454" t="s">
        <v>362</v>
      </c>
      <c r="H57" s="459" t="s">
        <v>363</v>
      </c>
      <c r="I57" s="414"/>
    </row>
    <row r="58" spans="1:11" x14ac:dyDescent="0.25">
      <c r="A58" s="460" t="s">
        <v>53</v>
      </c>
      <c r="B58" s="460"/>
      <c r="C58" s="429" t="str">
        <f t="shared" ref="C58" si="2">C12</f>
        <v>FTE</v>
      </c>
      <c r="D58" s="429" t="str">
        <f t="shared" si="1"/>
        <v>FTE</v>
      </c>
      <c r="E58" s="404" t="s">
        <v>54</v>
      </c>
      <c r="F58" s="461" t="s">
        <v>364</v>
      </c>
      <c r="G58" s="462" t="s">
        <v>364</v>
      </c>
      <c r="H58" s="463" t="s">
        <v>365</v>
      </c>
      <c r="I58" s="460"/>
    </row>
    <row r="59" spans="1:11" ht="15.75" customHeight="1" x14ac:dyDescent="0.25">
      <c r="A59" s="831" t="s">
        <v>366</v>
      </c>
      <c r="B59" s="831"/>
      <c r="C59" s="415">
        <f>SUM('0040:4131'!C41)</f>
        <v>248.32999999999998</v>
      </c>
      <c r="D59" s="415">
        <f>SUM('0040:4131'!D41)</f>
        <v>0</v>
      </c>
      <c r="E59" s="412">
        <f>SUM('0040:4131'!E41)</f>
        <v>496.65999999999997</v>
      </c>
      <c r="F59" s="464" t="s">
        <v>59</v>
      </c>
      <c r="G59" s="464">
        <v>251</v>
      </c>
      <c r="H59" s="465">
        <f>'0040'!I41</f>
        <v>1047</v>
      </c>
      <c r="I59" s="412">
        <f>SUM('0040:4131'!J41)</f>
        <v>520003.02</v>
      </c>
    </row>
    <row r="60" spans="1:11" x14ac:dyDescent="0.25">
      <c r="A60" s="832"/>
      <c r="B60" s="832"/>
      <c r="C60" s="415">
        <f>SUM('0040:4131'!C42)</f>
        <v>47.5</v>
      </c>
      <c r="D60" s="415">
        <f>SUM('0040:4131'!D42)</f>
        <v>0</v>
      </c>
      <c r="E60" s="412">
        <f>SUM('0040:4131'!E42)</f>
        <v>95</v>
      </c>
      <c r="F60" s="464" t="s">
        <v>59</v>
      </c>
      <c r="G60" s="464">
        <v>252</v>
      </c>
      <c r="H60" s="465">
        <f>'0040'!I42</f>
        <v>3380</v>
      </c>
      <c r="I60" s="412">
        <f>SUM('0040:4131'!J42)</f>
        <v>321100</v>
      </c>
    </row>
    <row r="61" spans="1:11" x14ac:dyDescent="0.25">
      <c r="A61" s="832"/>
      <c r="B61" s="832"/>
      <c r="C61" s="415">
        <f>SUM('0040:4131'!C43)</f>
        <v>11.67</v>
      </c>
      <c r="D61" s="415">
        <f>SUM('0040:4131'!D43)</f>
        <v>0</v>
      </c>
      <c r="E61" s="412">
        <f>SUM('0040:4131'!E43)</f>
        <v>23.34</v>
      </c>
      <c r="F61" s="464" t="s">
        <v>59</v>
      </c>
      <c r="G61" s="464">
        <v>253</v>
      </c>
      <c r="H61" s="465">
        <f>'0040'!I43</f>
        <v>6896</v>
      </c>
      <c r="I61" s="412">
        <f>SUM('0040:4131'!J43)</f>
        <v>160952.64000000001</v>
      </c>
    </row>
    <row r="62" spans="1:11" x14ac:dyDescent="0.25">
      <c r="A62" s="832"/>
      <c r="B62" s="832"/>
      <c r="C62" s="415">
        <f>SUM('0040:4131'!C44)</f>
        <v>561.48</v>
      </c>
      <c r="D62" s="415">
        <f>SUM('0040:4131'!D44)</f>
        <v>0</v>
      </c>
      <c r="E62" s="412">
        <f>SUM('0040:4131'!E44)</f>
        <v>1122.96</v>
      </c>
      <c r="F62" s="466" t="s">
        <v>60</v>
      </c>
      <c r="G62" s="464">
        <v>251</v>
      </c>
      <c r="H62" s="465">
        <f>'0040'!I44</f>
        <v>1173</v>
      </c>
      <c r="I62" s="412">
        <f>SUM('0040:4131'!J44)</f>
        <v>1317232.0799999996</v>
      </c>
    </row>
    <row r="63" spans="1:11" x14ac:dyDescent="0.25">
      <c r="A63" s="832"/>
      <c r="B63" s="832"/>
      <c r="C63" s="415">
        <f>SUM('0040:4131'!C45)</f>
        <v>70.38</v>
      </c>
      <c r="D63" s="415">
        <f>SUM('0040:4131'!D45)</f>
        <v>0</v>
      </c>
      <c r="E63" s="412">
        <f>SUM('0040:4131'!E45)</f>
        <v>140.76</v>
      </c>
      <c r="F63" s="466" t="s">
        <v>60</v>
      </c>
      <c r="G63" s="464">
        <v>252</v>
      </c>
      <c r="H63" s="465">
        <f>'0040'!I45</f>
        <v>3506</v>
      </c>
      <c r="I63" s="412">
        <f>SUM('0040:4131'!J45)</f>
        <v>493504.56</v>
      </c>
    </row>
    <row r="64" spans="1:11" x14ac:dyDescent="0.25">
      <c r="A64" s="832"/>
      <c r="B64" s="832"/>
      <c r="C64" s="415">
        <f>SUM('0040:4131'!C46)</f>
        <v>14.01</v>
      </c>
      <c r="D64" s="415">
        <f>SUM('0040:4131'!D46)</f>
        <v>0</v>
      </c>
      <c r="E64" s="412">
        <f>SUM('0040:4131'!E46)</f>
        <v>28.02</v>
      </c>
      <c r="F64" s="466" t="s">
        <v>60</v>
      </c>
      <c r="G64" s="464">
        <v>253</v>
      </c>
      <c r="H64" s="465">
        <f>'0040'!I46</f>
        <v>7023</v>
      </c>
      <c r="I64" s="412">
        <f>SUM('0040:4131'!J46)</f>
        <v>196784.46</v>
      </c>
    </row>
    <row r="65" spans="1:9" x14ac:dyDescent="0.25">
      <c r="A65" s="832"/>
      <c r="B65" s="832"/>
      <c r="C65" s="415">
        <f>SUM('0040:4131'!C47)</f>
        <v>465.38000000000011</v>
      </c>
      <c r="D65" s="415">
        <f>SUM('0040:4131'!D47)</f>
        <v>0</v>
      </c>
      <c r="E65" s="412">
        <f>SUM('0040:4131'!E47)</f>
        <v>930.76000000000022</v>
      </c>
      <c r="F65" s="466" t="s">
        <v>61</v>
      </c>
      <c r="G65" s="464">
        <v>251</v>
      </c>
      <c r="H65" s="465">
        <f>'0040'!I47</f>
        <v>835</v>
      </c>
      <c r="I65" s="412">
        <f>SUM('0040:4131'!J47)</f>
        <v>777184.60000000009</v>
      </c>
    </row>
    <row r="66" spans="1:9" x14ac:dyDescent="0.25">
      <c r="A66" s="832"/>
      <c r="B66" s="832"/>
      <c r="C66" s="415">
        <f>SUM('0040:4131'!C48)</f>
        <v>84.21</v>
      </c>
      <c r="D66" s="415">
        <f>SUM('0040:4131'!D48)</f>
        <v>0</v>
      </c>
      <c r="E66" s="412">
        <f>SUM('0040:4131'!E48)</f>
        <v>168.42</v>
      </c>
      <c r="F66" s="466" t="s">
        <v>61</v>
      </c>
      <c r="G66" s="464">
        <v>252</v>
      </c>
      <c r="H66" s="465">
        <f>'0040'!I48</f>
        <v>3168</v>
      </c>
      <c r="I66" s="412">
        <f>SUM('0040:4131'!J48)</f>
        <v>533554.55999999994</v>
      </c>
    </row>
    <row r="67" spans="1:9" x14ac:dyDescent="0.25">
      <c r="A67" s="832"/>
      <c r="B67" s="832"/>
      <c r="C67" s="415">
        <f>SUM('0040:4131'!C49)</f>
        <v>105.26</v>
      </c>
      <c r="D67" s="415">
        <f>SUM('0040:4131'!D49)</f>
        <v>0</v>
      </c>
      <c r="E67" s="412">
        <f>SUM('0040:4131'!E49)</f>
        <v>210.52</v>
      </c>
      <c r="F67" s="466" t="s">
        <v>61</v>
      </c>
      <c r="G67" s="464">
        <v>253</v>
      </c>
      <c r="H67" s="465">
        <f>'0040'!I49</f>
        <v>6685</v>
      </c>
      <c r="I67" s="412">
        <f>SUM('0040:4131'!J49)</f>
        <v>1407326.2</v>
      </c>
    </row>
    <row r="68" spans="1:9" x14ac:dyDescent="0.25">
      <c r="C68" s="421">
        <f>SUM(C59:C67)</f>
        <v>1608.22</v>
      </c>
      <c r="D68" s="421">
        <f>SUM(D59:D67)</f>
        <v>0</v>
      </c>
      <c r="E68" s="421">
        <f>SUM(E59:E67)</f>
        <v>3216.44</v>
      </c>
      <c r="F68" s="833" t="s">
        <v>63</v>
      </c>
      <c r="G68" s="833"/>
      <c r="H68" s="833"/>
      <c r="I68" s="421">
        <f>SUM(I59:I67)</f>
        <v>5727642.1200000001</v>
      </c>
    </row>
    <row r="69" spans="1:9" x14ac:dyDescent="0.25">
      <c r="A69" s="423"/>
      <c r="B69" s="423"/>
      <c r="C69" s="467"/>
      <c r="D69" s="423"/>
      <c r="E69" s="423"/>
      <c r="F69" s="444"/>
      <c r="G69" s="422"/>
      <c r="H69" s="422"/>
      <c r="I69" s="414"/>
    </row>
    <row r="70" spans="1:9" x14ac:dyDescent="0.25">
      <c r="A70" s="380" t="s">
        <v>367</v>
      </c>
    </row>
    <row r="71" spans="1:9" x14ac:dyDescent="0.25">
      <c r="A71" s="827" t="s">
        <v>368</v>
      </c>
      <c r="B71" s="814"/>
      <c r="C71" s="468">
        <f>SUM('0040:4131'!E53)</f>
        <v>20278.179999999997</v>
      </c>
      <c r="D71" s="828" t="s">
        <v>369</v>
      </c>
      <c r="E71" s="828"/>
      <c r="F71" s="828"/>
      <c r="G71" s="828"/>
      <c r="H71" s="469">
        <f>'0040'!I53</f>
        <v>207782.75</v>
      </c>
      <c r="I71" s="470"/>
    </row>
    <row r="72" spans="1:9" x14ac:dyDescent="0.25">
      <c r="B72" s="425"/>
      <c r="G72" s="471" t="s">
        <v>68</v>
      </c>
      <c r="H72" s="472">
        <f>ROUND(C71/H71,6)</f>
        <v>9.7592999999999999E-2</v>
      </c>
      <c r="I72" s="473"/>
    </row>
    <row r="73" spans="1:9" x14ac:dyDescent="0.25">
      <c r="A73" s="380" t="s">
        <v>370</v>
      </c>
    </row>
    <row r="74" spans="1:9" x14ac:dyDescent="0.25">
      <c r="A74" s="827" t="s">
        <v>371</v>
      </c>
      <c r="B74" s="814"/>
      <c r="C74" s="468">
        <f>SUM('0040:4131'!E56)</f>
        <v>23714.042099999999</v>
      </c>
      <c r="D74" s="828" t="s">
        <v>372</v>
      </c>
      <c r="E74" s="828"/>
      <c r="F74" s="828"/>
      <c r="G74" s="828"/>
      <c r="H74" s="469">
        <f>'0040'!I56</f>
        <v>221179.83999999997</v>
      </c>
      <c r="I74" s="412"/>
    </row>
    <row r="75" spans="1:9" x14ac:dyDescent="0.25">
      <c r="G75" s="471" t="s">
        <v>68</v>
      </c>
      <c r="H75" s="472">
        <f>ROUND(C74/H74,6)</f>
        <v>0.10721600000000001</v>
      </c>
      <c r="I75" s="472"/>
    </row>
    <row r="76" spans="1:9" x14ac:dyDescent="0.25">
      <c r="A76" s="474" t="s">
        <v>373</v>
      </c>
      <c r="B76" s="475"/>
      <c r="C76" s="475"/>
      <c r="D76" s="475"/>
      <c r="E76" s="475"/>
      <c r="F76" s="475"/>
      <c r="G76" s="475"/>
      <c r="H76" s="475"/>
      <c r="I76" s="475"/>
    </row>
    <row r="77" spans="1:9" x14ac:dyDescent="0.25">
      <c r="A77" s="827" t="s">
        <v>374</v>
      </c>
      <c r="B77" s="814"/>
      <c r="C77" s="468">
        <f>SUM('0040:4131'!E59)</f>
        <v>20278.179999999997</v>
      </c>
      <c r="D77" s="829" t="s">
        <v>375</v>
      </c>
      <c r="E77" s="829"/>
      <c r="F77" s="829"/>
      <c r="G77" s="829"/>
      <c r="H77" s="469">
        <f>'0040'!I59</f>
        <v>178931.75</v>
      </c>
      <c r="I77" s="470"/>
    </row>
    <row r="78" spans="1:9" x14ac:dyDescent="0.25">
      <c r="B78" s="425"/>
      <c r="G78" s="471" t="s">
        <v>68</v>
      </c>
      <c r="H78" s="472">
        <f>ROUND(C77/H77,6)</f>
        <v>0.113329</v>
      </c>
      <c r="I78" s="473"/>
    </row>
    <row r="79" spans="1:9" x14ac:dyDescent="0.25">
      <c r="A79" s="474" t="s">
        <v>376</v>
      </c>
      <c r="B79" s="475"/>
      <c r="C79" s="475"/>
      <c r="D79" s="475"/>
      <c r="E79" s="475"/>
      <c r="F79" s="475"/>
      <c r="G79" s="475"/>
      <c r="H79" s="475"/>
      <c r="I79" s="475"/>
    </row>
    <row r="80" spans="1:9" x14ac:dyDescent="0.25">
      <c r="A80" s="827" t="s">
        <v>374</v>
      </c>
      <c r="B80" s="814"/>
      <c r="C80" s="468">
        <f>SUM('0040:4131'!E62)</f>
        <v>20278.179999999997</v>
      </c>
      <c r="D80" s="830" t="s">
        <v>377</v>
      </c>
      <c r="E80" s="830"/>
      <c r="F80" s="830"/>
      <c r="G80" s="830"/>
      <c r="H80" s="469">
        <f>'0040'!I62</f>
        <v>207463.82</v>
      </c>
      <c r="I80" s="470"/>
    </row>
    <row r="81" spans="1:25" x14ac:dyDescent="0.25">
      <c r="B81" s="425"/>
      <c r="G81" s="471" t="s">
        <v>68</v>
      </c>
      <c r="H81" s="472">
        <f>ROUND(C80/H80,6)</f>
        <v>9.7742999999999997E-2</v>
      </c>
      <c r="I81" s="473"/>
    </row>
    <row r="82" spans="1:25" x14ac:dyDescent="0.25">
      <c r="A82" s="474" t="s">
        <v>378</v>
      </c>
      <c r="B82" s="475"/>
      <c r="C82" s="475"/>
      <c r="D82" s="475"/>
      <c r="E82" s="475"/>
      <c r="F82" s="475"/>
      <c r="G82" s="475"/>
      <c r="H82" s="475"/>
      <c r="I82" s="475"/>
    </row>
    <row r="83" spans="1:25" x14ac:dyDescent="0.25">
      <c r="A83" s="827" t="s">
        <v>379</v>
      </c>
      <c r="B83" s="814"/>
      <c r="C83" s="468">
        <f>SUM('0040:4131'!E65)</f>
        <v>20278.179999999997</v>
      </c>
      <c r="D83" s="829" t="s">
        <v>380</v>
      </c>
      <c r="E83" s="829"/>
      <c r="F83" s="829"/>
      <c r="G83" s="829"/>
      <c r="H83" s="469">
        <f>'0040'!I65</f>
        <v>178612.82</v>
      </c>
      <c r="I83" s="470"/>
    </row>
    <row r="84" spans="1:25" x14ac:dyDescent="0.25">
      <c r="B84" s="425"/>
      <c r="G84" s="471" t="s">
        <v>68</v>
      </c>
      <c r="H84" s="472">
        <f>ROUND(C83/H83,6)</f>
        <v>0.11353100000000001</v>
      </c>
      <c r="I84" s="473"/>
    </row>
    <row r="85" spans="1:25" x14ac:dyDescent="0.25">
      <c r="A85" s="375"/>
      <c r="G85" s="471"/>
      <c r="H85" s="472"/>
      <c r="I85" s="472"/>
    </row>
    <row r="86" spans="1:25" x14ac:dyDescent="0.25">
      <c r="A86" s="380" t="s">
        <v>381</v>
      </c>
      <c r="D86" s="425"/>
      <c r="E86" s="452" t="s">
        <v>80</v>
      </c>
      <c r="F86" s="594">
        <f>'0040'!G68</f>
        <v>45629593</v>
      </c>
      <c r="G86" s="464" t="s">
        <v>81</v>
      </c>
      <c r="H86" s="477">
        <f>H81</f>
        <v>9.7742999999999997E-2</v>
      </c>
      <c r="I86" s="414">
        <f>SUM('0040:4131'!J68)</f>
        <v>4710297.2500000009</v>
      </c>
      <c r="K86" s="478">
        <f>F86*H86</f>
        <v>4459973.3085989999</v>
      </c>
      <c r="L86" s="478">
        <f>I86-K86</f>
        <v>250323.94140100107</v>
      </c>
    </row>
    <row r="87" spans="1:25" x14ac:dyDescent="0.25">
      <c r="A87" s="479"/>
      <c r="D87" s="425"/>
      <c r="E87" s="452"/>
      <c r="F87" s="480"/>
      <c r="G87" s="464"/>
      <c r="H87" s="477"/>
      <c r="I87" s="414"/>
      <c r="K87" s="478"/>
      <c r="L87" s="478"/>
    </row>
    <row r="88" spans="1:25" x14ac:dyDescent="0.25">
      <c r="A88" s="838" t="s">
        <v>82</v>
      </c>
      <c r="B88" s="814"/>
      <c r="C88" s="814"/>
      <c r="D88" s="425"/>
      <c r="E88" s="452"/>
      <c r="F88" s="480"/>
      <c r="G88" s="464"/>
      <c r="H88" s="477"/>
      <c r="I88" s="414"/>
      <c r="K88" s="478"/>
      <c r="L88" s="478"/>
    </row>
    <row r="89" spans="1:25" ht="15.75" customHeight="1" x14ac:dyDescent="0.25">
      <c r="A89" s="838" t="s">
        <v>382</v>
      </c>
      <c r="B89" s="814"/>
      <c r="C89" s="814"/>
      <c r="D89" s="425"/>
      <c r="E89" s="452" t="s">
        <v>84</v>
      </c>
      <c r="F89" s="476">
        <f>'0040'!G70</f>
        <v>0</v>
      </c>
      <c r="G89" s="464" t="s">
        <v>81</v>
      </c>
      <c r="H89" s="477">
        <f>H72</f>
        <v>9.7592999999999999E-2</v>
      </c>
      <c r="I89" s="414">
        <f>SUM('[2]0040:4131'!I88)</f>
        <v>0</v>
      </c>
      <c r="K89" s="478"/>
      <c r="L89" s="478"/>
    </row>
    <row r="90" spans="1:25" ht="15.75" customHeight="1" x14ac:dyDescent="0.25">
      <c r="A90" s="481"/>
      <c r="B90" s="425"/>
      <c r="C90" s="425"/>
      <c r="D90" s="425"/>
      <c r="E90" s="452"/>
      <c r="F90" s="480"/>
      <c r="G90" s="464"/>
      <c r="H90" s="477"/>
      <c r="I90" s="414"/>
      <c r="K90" s="478"/>
      <c r="L90" s="478"/>
    </row>
    <row r="91" spans="1:25" x14ac:dyDescent="0.25">
      <c r="A91" s="380" t="s">
        <v>383</v>
      </c>
      <c r="D91" s="425"/>
      <c r="E91" s="452" t="s">
        <v>86</v>
      </c>
      <c r="F91" s="476">
        <f>'0040'!G71</f>
        <v>18934058</v>
      </c>
      <c r="G91" s="464" t="s">
        <v>81</v>
      </c>
      <c r="H91" s="477">
        <f>H84</f>
        <v>0.11353100000000001</v>
      </c>
      <c r="I91" s="414">
        <f>SUM('0040:4131'!J71)</f>
        <v>2270326.0899999994</v>
      </c>
      <c r="K91" s="478">
        <f t="shared" ref="K91:K93" si="3">F91*H91</f>
        <v>2149602.5387980002</v>
      </c>
      <c r="L91" s="478">
        <f t="shared" ref="L91:L93" si="4">I91-K91</f>
        <v>120723.55120199919</v>
      </c>
    </row>
    <row r="92" spans="1:25" x14ac:dyDescent="0.25">
      <c r="A92" s="479"/>
      <c r="D92" s="425"/>
      <c r="E92" s="452"/>
      <c r="F92" s="480"/>
      <c r="G92" s="464"/>
      <c r="H92" s="477"/>
      <c r="I92" s="414"/>
      <c r="K92" s="478">
        <f t="shared" si="3"/>
        <v>0</v>
      </c>
      <c r="L92" s="478">
        <f t="shared" si="4"/>
        <v>0</v>
      </c>
    </row>
    <row r="93" spans="1:25" x14ac:dyDescent="0.25">
      <c r="A93" s="380" t="s">
        <v>384</v>
      </c>
      <c r="D93" s="425"/>
      <c r="E93" s="452" t="s">
        <v>84</v>
      </c>
      <c r="F93" s="476">
        <f>'0040'!G72</f>
        <v>11300012</v>
      </c>
      <c r="G93" s="464" t="s">
        <v>81</v>
      </c>
      <c r="H93" s="477">
        <f>H78</f>
        <v>0.113329</v>
      </c>
      <c r="I93" s="414">
        <f>SUM('0040:4131'!J72)</f>
        <v>1352487.1800000004</v>
      </c>
      <c r="K93" s="478">
        <f t="shared" si="3"/>
        <v>1280619.0599479999</v>
      </c>
      <c r="L93" s="478">
        <f t="shared" si="4"/>
        <v>71868.120052000508</v>
      </c>
    </row>
    <row r="94" spans="1:25" x14ac:dyDescent="0.25">
      <c r="A94" s="380"/>
      <c r="D94" s="425"/>
      <c r="E94" s="452"/>
      <c r="F94" s="480"/>
      <c r="G94" s="464"/>
      <c r="H94" s="477"/>
      <c r="I94" s="414"/>
      <c r="K94" s="478"/>
      <c r="L94" s="478"/>
    </row>
    <row r="95" spans="1:25" s="2" customFormat="1" ht="24.75" customHeight="1" x14ac:dyDescent="0.25">
      <c r="A95" s="235" t="s">
        <v>89</v>
      </c>
      <c r="B95" s="235"/>
      <c r="C95" s="235"/>
      <c r="D95" s="235"/>
      <c r="E95" s="235"/>
      <c r="F95" s="248" t="s">
        <v>90</v>
      </c>
      <c r="G95" s="64"/>
      <c r="H95" s="223"/>
      <c r="I95" s="41"/>
      <c r="J95" s="30"/>
      <c r="R95" s="853" t="s">
        <v>91</v>
      </c>
      <c r="S95" s="853"/>
      <c r="T95" s="854" t="s">
        <v>166</v>
      </c>
      <c r="U95" s="855"/>
      <c r="V95" s="855"/>
      <c r="W95" s="855"/>
      <c r="X95" s="855"/>
      <c r="Y95" s="153"/>
    </row>
    <row r="96" spans="1:25" s="2" customFormat="1" ht="63" customHeight="1" x14ac:dyDescent="0.25">
      <c r="A96" s="856" t="s">
        <v>91</v>
      </c>
      <c r="B96" s="856"/>
      <c r="C96" s="229"/>
      <c r="D96" s="229"/>
      <c r="E96" s="857" t="s">
        <v>92</v>
      </c>
      <c r="F96" s="858"/>
      <c r="G96" s="858"/>
      <c r="H96" s="858"/>
      <c r="I96" s="858"/>
      <c r="J96" s="18"/>
      <c r="R96" s="859" t="s">
        <v>93</v>
      </c>
      <c r="S96" s="859"/>
      <c r="T96" s="197"/>
      <c r="U96" s="197"/>
      <c r="V96" s="197"/>
      <c r="W96" s="197"/>
      <c r="X96" s="197"/>
      <c r="Y96" s="197"/>
    </row>
    <row r="97" spans="1:26" s="2" customFormat="1" ht="22.5" customHeight="1" x14ac:dyDescent="0.25">
      <c r="A97" s="839" t="s">
        <v>93</v>
      </c>
      <c r="B97" s="839"/>
      <c r="C97" s="236"/>
      <c r="D97" s="236"/>
      <c r="E97" s="65"/>
      <c r="F97" s="65"/>
      <c r="G97" s="65"/>
      <c r="H97" s="65"/>
      <c r="I97" s="65"/>
      <c r="J97" s="595">
        <f>SUM('0040:4131'!J75)</f>
        <v>92</v>
      </c>
      <c r="L97" s="66"/>
      <c r="O97" s="248"/>
      <c r="P97" s="248"/>
      <c r="R97" s="859" t="s">
        <v>94</v>
      </c>
      <c r="S97" s="859"/>
      <c r="T97" s="197"/>
      <c r="U97" s="197"/>
      <c r="V97" s="197"/>
      <c r="W97" s="197"/>
      <c r="X97" s="197"/>
      <c r="Y97" s="197"/>
    </row>
    <row r="98" spans="1:26" s="2" customFormat="1" ht="18.75" customHeight="1" x14ac:dyDescent="0.25">
      <c r="A98" s="839" t="s">
        <v>94</v>
      </c>
      <c r="B98" s="839"/>
      <c r="C98" s="236"/>
      <c r="D98" s="236"/>
      <c r="E98" s="65"/>
      <c r="F98" s="65"/>
      <c r="G98" s="65"/>
      <c r="H98" s="65"/>
      <c r="I98" s="65"/>
      <c r="J98" s="595">
        <f>SUM('0040:4131'!J76)</f>
        <v>24.88</v>
      </c>
      <c r="L98" s="67"/>
      <c r="O98" s="248"/>
      <c r="P98" s="248"/>
      <c r="R98" s="863" t="s">
        <v>95</v>
      </c>
      <c r="S98" s="863"/>
      <c r="T98" s="198"/>
      <c r="U98" s="198"/>
      <c r="V98" s="198"/>
      <c r="W98" s="198"/>
      <c r="X98" s="198"/>
      <c r="Y98" s="197"/>
    </row>
    <row r="99" spans="1:26" s="2" customFormat="1" ht="18.75" customHeight="1" x14ac:dyDescent="0.25">
      <c r="A99" s="864" t="s">
        <v>95</v>
      </c>
      <c r="B99" s="864"/>
      <c r="C99" s="244"/>
      <c r="D99" s="244"/>
      <c r="E99" s="68"/>
      <c r="F99" s="68"/>
      <c r="G99" s="68"/>
      <c r="H99" s="68"/>
      <c r="I99" s="68"/>
      <c r="J99" s="595">
        <f>SUM('0040:4131'!J77)</f>
        <v>200.45999999999998</v>
      </c>
      <c r="L99" s="67"/>
      <c r="O99" s="248"/>
      <c r="P99" s="248"/>
      <c r="R99" s="257" t="s">
        <v>96</v>
      </c>
      <c r="S99" s="257"/>
      <c r="T99" s="197"/>
      <c r="U99" s="197"/>
      <c r="V99" s="197"/>
      <c r="W99" s="197"/>
      <c r="X99" s="197"/>
      <c r="Y99" s="197"/>
    </row>
    <row r="100" spans="1:26" s="2" customFormat="1" ht="20.25" customHeight="1" x14ac:dyDescent="0.25">
      <c r="A100" s="236" t="s">
        <v>96</v>
      </c>
      <c r="B100" s="236"/>
      <c r="C100" s="236"/>
      <c r="D100" s="236"/>
      <c r="E100" s="65"/>
      <c r="F100" s="65"/>
      <c r="G100" s="65"/>
      <c r="H100" s="65"/>
      <c r="I100" s="65"/>
      <c r="J100" s="595">
        <f>SUM('0040:4131'!J78)</f>
        <v>249.5</v>
      </c>
      <c r="K100" s="70"/>
      <c r="L100" s="70"/>
      <c r="M100" s="71"/>
      <c r="N100" s="70"/>
      <c r="O100" s="70"/>
      <c r="P100" s="70"/>
      <c r="Q100" s="70"/>
      <c r="R100" s="859" t="s">
        <v>97</v>
      </c>
      <c r="S100" s="859"/>
      <c r="T100" s="197"/>
      <c r="U100" s="197"/>
      <c r="V100" s="197"/>
      <c r="W100" s="197"/>
      <c r="X100" s="197"/>
      <c r="Y100" s="197"/>
      <c r="Z100" s="72"/>
    </row>
    <row r="101" spans="1:26" s="2" customFormat="1" ht="18.75" customHeight="1" x14ac:dyDescent="0.25">
      <c r="A101" s="839" t="s">
        <v>97</v>
      </c>
      <c r="B101" s="839"/>
      <c r="C101" s="236"/>
      <c r="D101" s="236"/>
      <c r="E101" s="65"/>
      <c r="F101" s="65"/>
      <c r="G101" s="65"/>
      <c r="H101" s="65"/>
      <c r="I101" s="65"/>
      <c r="J101" s="595">
        <f>SUM('0040:4131'!J79)</f>
        <v>30.75</v>
      </c>
      <c r="K101" s="70"/>
      <c r="L101" s="70"/>
      <c r="M101" s="71"/>
      <c r="N101" s="70"/>
      <c r="O101" s="70"/>
      <c r="P101" s="70"/>
      <c r="Q101" s="70"/>
      <c r="R101" s="865" t="s">
        <v>98</v>
      </c>
      <c r="S101" s="865"/>
      <c r="T101" s="200"/>
      <c r="U101" s="200"/>
      <c r="V101" s="200"/>
      <c r="W101" s="200"/>
      <c r="X101" s="200"/>
      <c r="Y101" s="197"/>
      <c r="Z101" s="72"/>
    </row>
    <row r="102" spans="1:26" s="2" customFormat="1" ht="17.25" customHeight="1" x14ac:dyDescent="0.25">
      <c r="A102" s="866" t="s">
        <v>98</v>
      </c>
      <c r="B102" s="866"/>
      <c r="C102" s="231"/>
      <c r="D102" s="231"/>
      <c r="E102" s="73"/>
      <c r="F102" s="73"/>
      <c r="G102" s="73"/>
      <c r="H102" s="73"/>
      <c r="I102" s="73"/>
      <c r="J102" s="595">
        <f>SUM('0040:4131'!J80)</f>
        <v>40.96</v>
      </c>
      <c r="K102" s="70"/>
      <c r="L102" s="70"/>
      <c r="M102" s="71"/>
      <c r="N102" s="70"/>
      <c r="O102" s="70"/>
      <c r="P102" s="70"/>
      <c r="Q102" s="70"/>
      <c r="R102" s="238"/>
      <c r="S102" s="238"/>
      <c r="T102" s="238"/>
      <c r="U102" s="238"/>
      <c r="V102" s="164"/>
      <c r="W102" s="260"/>
      <c r="X102" s="260" t="s">
        <v>99</v>
      </c>
      <c r="Y102" s="201">
        <f>SUM(Y96:Y101)</f>
        <v>0</v>
      </c>
      <c r="Z102" s="72"/>
    </row>
    <row r="103" spans="1:26" s="2" customFormat="1" ht="17.25" customHeight="1" x14ac:dyDescent="0.25">
      <c r="A103" s="233"/>
      <c r="B103" s="233"/>
      <c r="C103" s="233"/>
      <c r="D103" s="233"/>
      <c r="E103" s="233"/>
      <c r="F103" s="233"/>
      <c r="G103" s="31"/>
      <c r="H103" s="232"/>
      <c r="I103" s="232" t="s">
        <v>99</v>
      </c>
      <c r="J103" s="74">
        <f>SUM(J97:J102)</f>
        <v>638.54999999999995</v>
      </c>
      <c r="K103" s="70"/>
      <c r="L103" s="70"/>
      <c r="M103" s="71"/>
      <c r="N103" s="70"/>
      <c r="O103" s="70"/>
      <c r="P103" s="70"/>
      <c r="Q103" s="70"/>
      <c r="R103" s="238"/>
      <c r="S103" s="238"/>
      <c r="T103" s="238"/>
      <c r="U103" s="238"/>
      <c r="V103" s="164"/>
      <c r="W103" s="260"/>
      <c r="X103" s="260" t="s">
        <v>100</v>
      </c>
      <c r="Y103" s="201">
        <f>J104</f>
        <v>12903.05</v>
      </c>
      <c r="Z103" s="72"/>
    </row>
    <row r="104" spans="1:26" s="2" customFormat="1" ht="18.75" customHeight="1" x14ac:dyDescent="0.25">
      <c r="A104" s="233"/>
      <c r="B104" s="233"/>
      <c r="C104" s="233"/>
      <c r="D104" s="233"/>
      <c r="E104" s="233"/>
      <c r="F104" s="233"/>
      <c r="G104" s="31"/>
      <c r="H104" s="232"/>
      <c r="I104" s="232" t="s">
        <v>100</v>
      </c>
      <c r="J104" s="74">
        <f>'0040'!J82</f>
        <v>12903.05</v>
      </c>
      <c r="K104" s="70"/>
      <c r="L104" s="70"/>
      <c r="M104" s="71"/>
      <c r="N104" s="70"/>
      <c r="O104" s="70"/>
      <c r="P104" s="70"/>
      <c r="Q104" s="70"/>
      <c r="R104" s="238"/>
      <c r="S104" s="238"/>
      <c r="T104" s="238"/>
      <c r="U104" s="238"/>
      <c r="V104" s="164"/>
      <c r="W104" s="260"/>
      <c r="X104" s="260"/>
      <c r="Y104" s="202"/>
      <c r="Z104" s="72"/>
    </row>
    <row r="105" spans="1:26" s="2" customFormat="1" ht="15.75" customHeight="1" x14ac:dyDescent="0.25">
      <c r="A105" s="233"/>
      <c r="B105" s="233"/>
      <c r="C105" s="233"/>
      <c r="D105" s="233"/>
      <c r="E105" s="233"/>
      <c r="F105" s="233"/>
      <c r="G105" s="31"/>
      <c r="H105" s="232"/>
      <c r="I105" s="232"/>
      <c r="J105" s="75"/>
      <c r="K105" s="70"/>
      <c r="L105" s="70"/>
      <c r="M105" s="71"/>
      <c r="N105" s="70"/>
      <c r="O105" s="70"/>
      <c r="P105" s="70"/>
      <c r="Q105" s="70"/>
      <c r="R105" s="860" t="s">
        <v>101</v>
      </c>
      <c r="S105" s="860"/>
      <c r="T105" s="170"/>
      <c r="U105" s="170"/>
      <c r="V105" s="171">
        <f>F106</f>
        <v>58502790</v>
      </c>
      <c r="W105" s="239" t="s">
        <v>81</v>
      </c>
      <c r="X105" s="176">
        <f>IFERROR(ROUND(Y102/Y103,6),0)</f>
        <v>0</v>
      </c>
      <c r="Y105" s="266">
        <f>ROUND(V105*X105,2)</f>
        <v>0</v>
      </c>
      <c r="Z105" s="72"/>
    </row>
    <row r="106" spans="1:26" s="2" customFormat="1" ht="21" customHeight="1" x14ac:dyDescent="0.25">
      <c r="A106" s="861" t="s">
        <v>101</v>
      </c>
      <c r="B106" s="861"/>
      <c r="C106" s="230"/>
      <c r="D106" s="230"/>
      <c r="F106" s="476">
        <f>'0040'!G84</f>
        <v>58502790</v>
      </c>
      <c r="H106" s="223" t="s">
        <v>81</v>
      </c>
      <c r="I106" s="41">
        <f>IFERROR(ROUND(J103/J104,6),0)</f>
        <v>4.9487999999999997E-2</v>
      </c>
      <c r="J106" s="62">
        <f>ROUND(F106*I106,2)</f>
        <v>2895186.07</v>
      </c>
      <c r="K106" s="70"/>
      <c r="L106" s="70"/>
      <c r="M106" s="71"/>
      <c r="N106" s="70"/>
      <c r="O106" s="70"/>
      <c r="P106" s="70"/>
      <c r="Q106" s="70"/>
      <c r="R106" s="862" t="s">
        <v>167</v>
      </c>
      <c r="S106" s="862"/>
      <c r="T106" s="862"/>
      <c r="U106" s="253"/>
      <c r="V106" s="274"/>
      <c r="W106" s="239"/>
      <c r="X106" s="176"/>
      <c r="Y106" s="266"/>
    </row>
    <row r="107" spans="1:26" x14ac:dyDescent="0.25">
      <c r="A107" s="380"/>
      <c r="D107" s="425"/>
      <c r="E107" s="452"/>
      <c r="F107" s="480"/>
      <c r="G107" s="464"/>
      <c r="H107" s="477"/>
      <c r="I107" s="414"/>
      <c r="K107" s="478"/>
      <c r="L107" s="478"/>
    </row>
    <row r="108" spans="1:26" x14ac:dyDescent="0.25">
      <c r="A108" s="827" t="s">
        <v>479</v>
      </c>
      <c r="B108" s="814"/>
      <c r="C108" s="814"/>
      <c r="D108" s="425"/>
      <c r="E108" s="452" t="s">
        <v>103</v>
      </c>
      <c r="F108" s="476">
        <f>'0040'!G85</f>
        <v>268816278</v>
      </c>
      <c r="G108" s="464" t="s">
        <v>81</v>
      </c>
      <c r="H108" s="477">
        <f>H75</f>
        <v>0.10721600000000001</v>
      </c>
      <c r="I108" s="414">
        <f>SUM('0040:4131'!J85)</f>
        <v>30325970.770000011</v>
      </c>
      <c r="K108" s="478">
        <f>F108*H108</f>
        <v>28821406.062048003</v>
      </c>
      <c r="L108" s="478">
        <f>I108-K108</f>
        <v>1504564.7079520077</v>
      </c>
    </row>
    <row r="109" spans="1:26" x14ac:dyDescent="0.25">
      <c r="A109" s="380"/>
      <c r="B109" s="425"/>
      <c r="C109" s="425"/>
      <c r="D109" s="425"/>
      <c r="E109" s="452"/>
      <c r="F109" s="480"/>
      <c r="G109" s="464"/>
      <c r="H109" s="477"/>
      <c r="I109" s="414"/>
    </row>
    <row r="110" spans="1:26" x14ac:dyDescent="0.25">
      <c r="A110" s="827" t="s">
        <v>480</v>
      </c>
      <c r="B110" s="814"/>
      <c r="C110" s="814"/>
      <c r="D110" s="425"/>
      <c r="E110" s="452" t="s">
        <v>103</v>
      </c>
      <c r="F110" s="476">
        <f>'[2]1461'!F96</f>
        <v>0</v>
      </c>
      <c r="G110" s="464" t="s">
        <v>81</v>
      </c>
      <c r="H110" s="477">
        <f>H75</f>
        <v>0.10721600000000001</v>
      </c>
      <c r="I110" s="414">
        <f>SUM('[2]0040:4131'!I96)</f>
        <v>0</v>
      </c>
    </row>
    <row r="111" spans="1:26" x14ac:dyDescent="0.25">
      <c r="A111" s="377"/>
    </row>
    <row r="112" spans="1:26" x14ac:dyDescent="0.25">
      <c r="A112" s="380" t="s">
        <v>481</v>
      </c>
      <c r="B112" s="425"/>
      <c r="C112" s="425"/>
      <c r="D112" s="425"/>
      <c r="E112" s="452" t="s">
        <v>84</v>
      </c>
      <c r="F112" s="476">
        <f>'[2]1461'!F98</f>
        <v>0</v>
      </c>
      <c r="G112" s="464" t="s">
        <v>81</v>
      </c>
      <c r="H112" s="477">
        <f>H72</f>
        <v>9.7592999999999999E-2</v>
      </c>
      <c r="I112" s="414">
        <f>SUM('[2]0040:4131'!I98)</f>
        <v>0</v>
      </c>
    </row>
    <row r="113" spans="1:9" x14ac:dyDescent="0.25">
      <c r="A113" s="380"/>
      <c r="B113" s="425"/>
      <c r="C113" s="425"/>
      <c r="D113" s="425"/>
      <c r="E113" s="452"/>
      <c r="F113" s="480"/>
      <c r="G113" s="464"/>
      <c r="H113" s="477"/>
      <c r="I113" s="414"/>
    </row>
    <row r="114" spans="1:9" x14ac:dyDescent="0.25">
      <c r="A114" s="380"/>
      <c r="B114" s="425"/>
      <c r="C114" s="425"/>
      <c r="D114" s="425"/>
      <c r="E114" s="452"/>
      <c r="F114" s="480"/>
      <c r="G114" s="464"/>
      <c r="H114" s="477"/>
      <c r="I114" s="414"/>
    </row>
    <row r="115" spans="1:9" x14ac:dyDescent="0.25">
      <c r="A115" s="479" t="s">
        <v>106</v>
      </c>
    </row>
    <row r="116" spans="1:9" x14ac:dyDescent="0.25">
      <c r="B116" s="425"/>
      <c r="C116" s="834" t="s">
        <v>9</v>
      </c>
      <c r="D116" s="834"/>
      <c r="E116" s="425"/>
      <c r="F116" s="466" t="s">
        <v>385</v>
      </c>
      <c r="G116" s="425"/>
      <c r="H116" s="425"/>
      <c r="I116" s="425"/>
    </row>
    <row r="117" spans="1:9" x14ac:dyDescent="0.25">
      <c r="A117" s="377"/>
      <c r="B117" s="483"/>
      <c r="C117" s="835" t="s">
        <v>386</v>
      </c>
      <c r="D117" s="835"/>
      <c r="E117" s="484" t="s">
        <v>387</v>
      </c>
      <c r="F117" s="485" t="s">
        <v>388</v>
      </c>
      <c r="G117" s="386"/>
      <c r="H117" s="386"/>
      <c r="I117" s="386"/>
    </row>
    <row r="118" spans="1:9" x14ac:dyDescent="0.25">
      <c r="A118" s="423"/>
      <c r="B118" s="439" t="s">
        <v>389</v>
      </c>
      <c r="C118" s="836">
        <f>SUM('0040:4131'!B90)</f>
        <v>7677.3436000000011</v>
      </c>
      <c r="D118" s="836" t="e">
        <f>SUM('[2]1461:4131'!D101)</f>
        <v>#REF!</v>
      </c>
      <c r="E118" s="458">
        <f>[2]Consolidated!$E$105</f>
        <v>1.0355000000000001</v>
      </c>
      <c r="F118" s="486">
        <f>'0040'!G90</f>
        <v>958.42</v>
      </c>
      <c r="G118" s="466" t="s">
        <v>68</v>
      </c>
      <c r="H118" s="414">
        <f>SUM('0040:4131'!I90)</f>
        <v>7619332.9100000011</v>
      </c>
      <c r="I118" s="427"/>
    </row>
    <row r="119" spans="1:9" x14ac:dyDescent="0.25">
      <c r="A119" s="487"/>
      <c r="B119" s="487" t="s">
        <v>390</v>
      </c>
      <c r="C119" s="836">
        <f>SUM('0040:4131'!B91)</f>
        <v>9689.0603999999985</v>
      </c>
      <c r="D119" s="836" t="e">
        <f>SUM('[2]1461:4131'!D102)</f>
        <v>#REF!</v>
      </c>
      <c r="E119" s="458">
        <f>[2]Consolidated!$E$106</f>
        <v>1.0355000000000001</v>
      </c>
      <c r="F119" s="486">
        <f>'0040'!G91</f>
        <v>915.09</v>
      </c>
      <c r="G119" s="466" t="s">
        <v>68</v>
      </c>
      <c r="H119" s="414">
        <f>SUM('0040:4131'!I91)</f>
        <v>9181118.1900000013</v>
      </c>
    </row>
    <row r="120" spans="1:9" ht="16.5" thickBot="1" x14ac:dyDescent="0.3">
      <c r="A120" s="439"/>
      <c r="B120" s="439" t="s">
        <v>391</v>
      </c>
      <c r="C120" s="837">
        <f>SUM('0040:4131'!B92)</f>
        <v>7585.8602999999994</v>
      </c>
      <c r="D120" s="837" t="e">
        <f>SUM('[2]1461:4131'!D103)</f>
        <v>#REF!</v>
      </c>
      <c r="E120" s="458">
        <f>[2]Consolidated!$E$107</f>
        <v>1.0355000000000001</v>
      </c>
      <c r="F120" s="486">
        <f>'0040'!G92</f>
        <v>917.3</v>
      </c>
      <c r="G120" s="466" t="s">
        <v>68</v>
      </c>
      <c r="H120" s="414">
        <f>SUM('0040:4131'!I92)</f>
        <v>7205536.71</v>
      </c>
    </row>
    <row r="121" spans="1:9" ht="16.5" thickTop="1" x14ac:dyDescent="0.25">
      <c r="A121" s="488"/>
      <c r="B121" s="489" t="s">
        <v>392</v>
      </c>
      <c r="C121" s="836">
        <f>SUM('0040:4131'!B93)</f>
        <v>24952.264299999995</v>
      </c>
      <c r="D121" s="836" t="e">
        <f>SUM('[2]1461:4131'!D104)</f>
        <v>#REF!</v>
      </c>
      <c r="E121" s="490"/>
      <c r="F121" s="490"/>
      <c r="G121" s="490"/>
      <c r="H121" s="491" t="s">
        <v>393</v>
      </c>
      <c r="I121" s="414">
        <f>SUM('0040:4131'!J93)</f>
        <v>24005987.810000002</v>
      </c>
    </row>
    <row r="122" spans="1:9" x14ac:dyDescent="0.25">
      <c r="A122" s="842" t="s">
        <v>113</v>
      </c>
      <c r="B122" s="842"/>
      <c r="C122" s="842"/>
      <c r="D122" s="842"/>
      <c r="E122" s="842"/>
      <c r="F122" s="842"/>
      <c r="G122" s="842"/>
      <c r="H122" s="842"/>
      <c r="I122" s="842"/>
    </row>
    <row r="123" spans="1:9" x14ac:dyDescent="0.25">
      <c r="A123" s="492"/>
      <c r="B123" s="492"/>
      <c r="C123" s="492"/>
      <c r="D123" s="492"/>
      <c r="E123" s="492"/>
      <c r="F123" s="492"/>
      <c r="G123" s="492"/>
      <c r="H123" s="492"/>
      <c r="I123" s="492"/>
    </row>
    <row r="124" spans="1:9" x14ac:dyDescent="0.25">
      <c r="A124" s="380" t="s">
        <v>114</v>
      </c>
      <c r="C124" s="452"/>
      <c r="D124" s="425"/>
      <c r="E124" s="452" t="s">
        <v>115</v>
      </c>
      <c r="F124" s="843"/>
      <c r="G124" s="843"/>
      <c r="H124" s="843"/>
      <c r="I124" s="843"/>
    </row>
    <row r="125" spans="1:9" x14ac:dyDescent="0.25">
      <c r="B125" s="425"/>
      <c r="C125" s="400" t="s">
        <v>570</v>
      </c>
      <c r="D125" s="457" t="s">
        <v>571</v>
      </c>
      <c r="E125" s="401" t="s">
        <v>394</v>
      </c>
      <c r="F125" s="452"/>
      <c r="G125" s="452"/>
      <c r="H125" s="452"/>
      <c r="I125" s="452"/>
    </row>
    <row r="126" spans="1:9" x14ac:dyDescent="0.25">
      <c r="B126" s="425"/>
      <c r="C126" s="429" t="s">
        <v>54</v>
      </c>
      <c r="D126" s="429" t="s">
        <v>54</v>
      </c>
      <c r="E126" s="404" t="s">
        <v>54</v>
      </c>
      <c r="F126" s="452"/>
      <c r="G126" s="452"/>
      <c r="H126" s="452"/>
      <c r="I126" s="452"/>
    </row>
    <row r="127" spans="1:9" x14ac:dyDescent="0.25">
      <c r="A127" s="829" t="s">
        <v>395</v>
      </c>
      <c r="B127" s="844"/>
      <c r="C127" s="415">
        <f>SUM('0040:4131'!C97)</f>
        <v>4100</v>
      </c>
      <c r="D127" s="415">
        <f>SUM('0040:4131'!D97)</f>
        <v>0</v>
      </c>
      <c r="E127" s="412">
        <f>SUM('0040:4131'!E97)</f>
        <v>4100</v>
      </c>
      <c r="F127" s="493" t="s">
        <v>117</v>
      </c>
      <c r="G127" s="494">
        <f>'0040'!I97</f>
        <v>586</v>
      </c>
      <c r="I127" s="414">
        <f>SUM('0040:4131'!J97)</f>
        <v>2402600</v>
      </c>
    </row>
    <row r="128" spans="1:9" x14ac:dyDescent="0.25">
      <c r="A128" s="829" t="s">
        <v>396</v>
      </c>
      <c r="B128" s="844"/>
      <c r="C128" s="415">
        <f>SUM('0040:4131'!C98)</f>
        <v>1</v>
      </c>
      <c r="D128" s="415">
        <f>SUM('0040:4131'!D98)</f>
        <v>0</v>
      </c>
      <c r="E128" s="412">
        <f>SUM('0040:4131'!E98)</f>
        <v>1</v>
      </c>
      <c r="F128" s="493" t="s">
        <v>117</v>
      </c>
      <c r="G128" s="494">
        <f>'0040'!I98</f>
        <v>1811</v>
      </c>
      <c r="I128" s="414">
        <f>SUM('0040:4131'!J98)</f>
        <v>1811</v>
      </c>
    </row>
    <row r="129" spans="1:10" hidden="1" x14ac:dyDescent="0.25">
      <c r="A129" s="495"/>
      <c r="B129" s="495"/>
      <c r="C129" s="496"/>
      <c r="D129" s="496"/>
      <c r="E129" s="496"/>
      <c r="F129" s="496"/>
      <c r="G129" s="497"/>
      <c r="H129" s="498"/>
      <c r="I129" s="414"/>
    </row>
    <row r="130" spans="1:10" x14ac:dyDescent="0.25">
      <c r="A130" s="495"/>
      <c r="B130" s="495"/>
      <c r="C130" s="496"/>
      <c r="D130" s="496"/>
      <c r="E130" s="496"/>
      <c r="F130" s="496"/>
      <c r="G130" s="497"/>
      <c r="H130" s="498"/>
      <c r="I130" s="414"/>
    </row>
    <row r="131" spans="1:10" ht="15.75" hidden="1" customHeight="1" x14ac:dyDescent="0.25">
      <c r="A131" s="827" t="s">
        <v>397</v>
      </c>
      <c r="B131" s="814"/>
      <c r="C131" s="814"/>
      <c r="D131" s="425"/>
      <c r="E131" s="466" t="s">
        <v>120</v>
      </c>
      <c r="F131" s="834"/>
      <c r="G131" s="834"/>
      <c r="H131" s="834"/>
      <c r="I131" s="834"/>
    </row>
    <row r="132" spans="1:10" hidden="1" x14ac:dyDescent="0.25">
      <c r="B132" s="425"/>
      <c r="C132" s="835" t="s">
        <v>122</v>
      </c>
      <c r="D132" s="835"/>
      <c r="E132" s="835"/>
      <c r="F132" s="464"/>
      <c r="G132" s="464"/>
      <c r="H132" s="466" t="s">
        <v>398</v>
      </c>
      <c r="I132" s="464"/>
    </row>
    <row r="133" spans="1:10" hidden="1" x14ac:dyDescent="0.25">
      <c r="B133" s="425"/>
      <c r="C133" s="400" t="str">
        <f>C125</f>
        <v>Oct 2025</v>
      </c>
      <c r="D133" s="400" t="str">
        <f>D125</f>
        <v>Feb 2026</v>
      </c>
      <c r="E133" s="499" t="s">
        <v>125</v>
      </c>
      <c r="F133" s="828" t="s">
        <v>399</v>
      </c>
      <c r="G133" s="834"/>
      <c r="H133" s="464" t="s">
        <v>400</v>
      </c>
      <c r="I133" s="464"/>
    </row>
    <row r="134" spans="1:10" ht="15.75" hidden="1" customHeight="1" x14ac:dyDescent="0.25">
      <c r="A134" s="835" t="s">
        <v>121</v>
      </c>
      <c r="B134" s="835"/>
      <c r="C134" s="404" t="s">
        <v>54</v>
      </c>
      <c r="D134" s="404" t="s">
        <v>54</v>
      </c>
      <c r="E134" s="462" t="s">
        <v>54</v>
      </c>
      <c r="F134" s="835" t="s">
        <v>385</v>
      </c>
      <c r="G134" s="835"/>
      <c r="H134" s="462" t="s">
        <v>385</v>
      </c>
      <c r="I134" s="462" t="s">
        <v>125</v>
      </c>
    </row>
    <row r="135" spans="1:10" ht="15.75" hidden="1" customHeight="1" x14ac:dyDescent="0.25">
      <c r="A135" s="840" t="s">
        <v>126</v>
      </c>
      <c r="B135" s="840"/>
      <c r="C135" s="411">
        <v>0</v>
      </c>
      <c r="D135" s="411">
        <v>0</v>
      </c>
      <c r="E135" s="418">
        <f>IF(D31=0,C135*2,C135+D135)</f>
        <v>0</v>
      </c>
      <c r="F135" s="841">
        <v>0</v>
      </c>
      <c r="G135" s="841"/>
      <c r="H135" s="500">
        <f>IF(C135=0,0,125)</f>
        <v>0</v>
      </c>
      <c r="I135" s="414">
        <f>ROUND((H135+F135)*E135,2)</f>
        <v>0</v>
      </c>
    </row>
    <row r="136" spans="1:10" ht="15.75" hidden="1" customHeight="1" x14ac:dyDescent="0.25">
      <c r="A136" s="824" t="s">
        <v>127</v>
      </c>
      <c r="B136" s="824"/>
      <c r="C136" s="415">
        <v>0</v>
      </c>
      <c r="D136" s="415">
        <v>0</v>
      </c>
      <c r="E136" s="412">
        <f>IF(D32=0,C136*2,C136+D136)</f>
        <v>0</v>
      </c>
      <c r="F136" s="847">
        <f>ROUND(F135/2,2)</f>
        <v>0</v>
      </c>
      <c r="G136" s="847"/>
      <c r="H136" s="500">
        <f>IF(C136=0,0,62.5)</f>
        <v>0</v>
      </c>
      <c r="I136" s="414">
        <f>ROUND((H136+F136)*E136,2)</f>
        <v>0</v>
      </c>
    </row>
    <row r="137" spans="1:10" ht="15.75" hidden="1" customHeight="1" x14ac:dyDescent="0.25">
      <c r="A137" s="824" t="s">
        <v>128</v>
      </c>
      <c r="B137" s="824"/>
      <c r="C137" s="415">
        <v>0</v>
      </c>
      <c r="D137" s="415">
        <v>0</v>
      </c>
      <c r="E137" s="412">
        <f>IF(D33=0,C137*2,C137+D137)</f>
        <v>0</v>
      </c>
      <c r="F137" s="848"/>
      <c r="G137" s="848"/>
      <c r="H137" s="501">
        <f>IF(H135&gt;0,436,0)</f>
        <v>0</v>
      </c>
      <c r="I137" s="414">
        <f>ROUND(H137*E137,2)</f>
        <v>0</v>
      </c>
    </row>
    <row r="138" spans="1:10" ht="16.5" hidden="1" customHeight="1" x14ac:dyDescent="0.25">
      <c r="A138" s="834" t="s">
        <v>125</v>
      </c>
      <c r="B138" s="834"/>
      <c r="C138" s="496"/>
      <c r="D138" s="496"/>
      <c r="E138" s="496"/>
      <c r="F138" s="496"/>
      <c r="G138" s="496"/>
      <c r="H138" s="496"/>
      <c r="I138" s="421">
        <f>SUM(I135:I137)</f>
        <v>0</v>
      </c>
    </row>
    <row r="139" spans="1:10" hidden="1" x14ac:dyDescent="0.25">
      <c r="A139" s="464"/>
      <c r="B139" s="464"/>
      <c r="C139" s="496"/>
      <c r="D139" s="496"/>
      <c r="E139" s="496"/>
      <c r="F139" s="496"/>
      <c r="G139" s="496"/>
      <c r="H139" s="496"/>
      <c r="I139" s="414"/>
    </row>
    <row r="140" spans="1:10" x14ac:dyDescent="0.25">
      <c r="A140" s="827" t="s">
        <v>482</v>
      </c>
      <c r="B140" s="814"/>
      <c r="C140" s="814"/>
      <c r="D140" s="425"/>
      <c r="E140" s="502" t="s">
        <v>130</v>
      </c>
      <c r="F140" s="849"/>
      <c r="G140" s="849"/>
      <c r="H140" s="849"/>
      <c r="I140" s="437">
        <f>SUM('[2]1461:4131'!I126)</f>
        <v>0</v>
      </c>
    </row>
    <row r="141" spans="1:10" x14ac:dyDescent="0.25">
      <c r="B141" s="425"/>
      <c r="C141" s="425"/>
      <c r="D141" s="425"/>
      <c r="E141" s="502"/>
      <c r="F141" s="502"/>
      <c r="G141" s="502"/>
      <c r="H141" s="502"/>
      <c r="I141" s="412"/>
    </row>
    <row r="142" spans="1:10" x14ac:dyDescent="0.25">
      <c r="A142" s="833" t="s">
        <v>125</v>
      </c>
      <c r="B142" s="833"/>
      <c r="C142" s="833"/>
      <c r="D142" s="833"/>
      <c r="E142" s="833"/>
      <c r="F142" s="833"/>
      <c r="G142" s="833"/>
      <c r="H142" s="833"/>
      <c r="I142" s="438">
        <f>SUM('0040:4131'!J107)</f>
        <v>212509979.92999995</v>
      </c>
      <c r="J142" s="503"/>
    </row>
    <row r="143" spans="1:10" x14ac:dyDescent="0.25">
      <c r="A143" s="423"/>
      <c r="B143" s="423"/>
      <c r="C143" s="423"/>
      <c r="D143" s="423"/>
      <c r="E143" s="423"/>
      <c r="F143" s="423"/>
      <c r="G143" s="423"/>
      <c r="H143" s="423"/>
      <c r="I143" s="414"/>
      <c r="J143" s="503"/>
    </row>
    <row r="144" spans="1:10" x14ac:dyDescent="0.25">
      <c r="A144" s="380" t="s">
        <v>401</v>
      </c>
      <c r="B144" s="423"/>
      <c r="C144" s="423"/>
      <c r="D144" s="423"/>
      <c r="E144" s="423"/>
      <c r="F144" s="423"/>
      <c r="G144" s="423"/>
      <c r="H144" s="423"/>
      <c r="I144" s="438">
        <f>SUM('0040:4131'!J109)</f>
        <v>202546661.88999999</v>
      </c>
      <c r="J144" s="503"/>
    </row>
    <row r="145" spans="1:13" x14ac:dyDescent="0.25">
      <c r="A145" s="423"/>
      <c r="B145" s="423"/>
      <c r="C145" s="423"/>
      <c r="D145" s="423"/>
      <c r="E145" s="423"/>
      <c r="F145" s="423"/>
      <c r="G145" s="423"/>
      <c r="H145" s="423"/>
      <c r="I145" s="414"/>
      <c r="J145" s="503"/>
    </row>
    <row r="146" spans="1:13" x14ac:dyDescent="0.25">
      <c r="A146" s="827" t="s">
        <v>402</v>
      </c>
      <c r="B146" s="814"/>
      <c r="C146" s="814"/>
      <c r="D146" s="814"/>
      <c r="E146" s="814"/>
      <c r="F146" s="814"/>
      <c r="G146" s="814"/>
      <c r="H146" s="380" t="s">
        <v>132</v>
      </c>
      <c r="I146" s="504"/>
      <c r="J146" s="503"/>
    </row>
    <row r="147" spans="1:13" x14ac:dyDescent="0.25">
      <c r="A147" s="814" t="s">
        <v>135</v>
      </c>
      <c r="B147" s="814"/>
      <c r="C147" s="814"/>
      <c r="D147" s="814"/>
      <c r="E147" s="814"/>
      <c r="F147" s="814"/>
      <c r="G147" s="814"/>
      <c r="H147" s="505"/>
      <c r="I147" s="438">
        <f>SUM('0040:4131'!J111)</f>
        <v>10634379.549999999</v>
      </c>
    </row>
    <row r="148" spans="1:13" x14ac:dyDescent="0.25">
      <c r="B148" s="425"/>
      <c r="C148" s="425"/>
      <c r="D148" s="425"/>
      <c r="E148" s="425"/>
      <c r="F148" s="425"/>
      <c r="G148" s="425"/>
      <c r="H148" s="496"/>
      <c r="I148" s="414"/>
    </row>
    <row r="149" spans="1:13" x14ac:dyDescent="0.25">
      <c r="A149" s="377" t="s">
        <v>181</v>
      </c>
      <c r="B149" s="425"/>
      <c r="C149" s="425"/>
      <c r="D149" s="425"/>
      <c r="E149" s="425"/>
      <c r="F149" s="425"/>
      <c r="G149" s="506"/>
      <c r="H149" s="507">
        <f>IF(H147=1,I147,I144)</f>
        <v>202546661.88999999</v>
      </c>
      <c r="I149" s="438">
        <f>SUM('0040:4131'!I114)</f>
        <v>178675226.80000001</v>
      </c>
    </row>
    <row r="150" spans="1:13" x14ac:dyDescent="0.25">
      <c r="B150" s="425"/>
      <c r="C150" s="425"/>
      <c r="D150" s="425"/>
      <c r="E150" s="425"/>
      <c r="F150" s="425"/>
      <c r="G150" s="425"/>
      <c r="H150" s="496"/>
      <c r="I150" s="414"/>
    </row>
    <row r="151" spans="1:13" x14ac:dyDescent="0.25">
      <c r="A151" s="508" t="s">
        <v>182</v>
      </c>
      <c r="B151" s="509"/>
      <c r="C151" s="509"/>
      <c r="D151" s="509"/>
      <c r="E151" s="509"/>
      <c r="F151" s="509"/>
      <c r="G151" s="509"/>
      <c r="H151" s="510"/>
      <c r="I151" s="511">
        <f>SUM('0040:4131'!J116)</f>
        <v>209277488.42000008</v>
      </c>
    </row>
    <row r="152" spans="1:13" x14ac:dyDescent="0.25">
      <c r="B152" s="425"/>
      <c r="C152" s="425"/>
      <c r="D152" s="425"/>
      <c r="E152" s="425"/>
      <c r="F152" s="425"/>
      <c r="G152" s="425"/>
      <c r="H152" s="496"/>
      <c r="I152" s="414"/>
    </row>
    <row r="153" spans="1:13" x14ac:dyDescent="0.25">
      <c r="A153" s="377" t="s">
        <v>183</v>
      </c>
      <c r="B153" s="425"/>
      <c r="C153" s="512"/>
      <c r="D153" s="425"/>
      <c r="F153" s="425"/>
      <c r="G153" s="425"/>
      <c r="H153" s="496"/>
      <c r="I153" s="513">
        <f>SUM('0040:4131'!J118)</f>
        <v>-122415341.87400003</v>
      </c>
      <c r="K153" s="478"/>
    </row>
    <row r="154" spans="1:13" x14ac:dyDescent="0.25">
      <c r="B154" s="425"/>
      <c r="C154" s="425"/>
      <c r="D154" s="425"/>
      <c r="E154" s="425"/>
      <c r="F154" s="425"/>
      <c r="G154" s="425"/>
      <c r="H154" s="496"/>
      <c r="I154" s="414"/>
    </row>
    <row r="155" spans="1:13" x14ac:dyDescent="0.25">
      <c r="A155" s="377" t="s">
        <v>184</v>
      </c>
      <c r="B155" s="425"/>
      <c r="C155" s="425"/>
      <c r="D155" s="425"/>
      <c r="E155" s="425"/>
      <c r="F155" s="425"/>
      <c r="G155" s="425"/>
      <c r="H155" s="496"/>
      <c r="I155" s="414">
        <f>SUM('0040:4131'!J114)</f>
        <v>-3232491.5100000007</v>
      </c>
    </row>
    <row r="156" spans="1:13" x14ac:dyDescent="0.25">
      <c r="A156" s="377"/>
      <c r="B156" s="425"/>
      <c r="C156" s="425"/>
      <c r="D156" s="425"/>
      <c r="E156" s="425"/>
      <c r="F156" s="425"/>
      <c r="G156" s="425"/>
      <c r="H156" s="496"/>
      <c r="I156" s="414"/>
    </row>
    <row r="157" spans="1:13" x14ac:dyDescent="0.25">
      <c r="A157" s="377" t="s">
        <v>185</v>
      </c>
      <c r="B157" s="425"/>
      <c r="C157" s="425"/>
      <c r="D157" s="425"/>
      <c r="E157" s="425"/>
      <c r="F157" s="425"/>
      <c r="G157" s="425"/>
      <c r="H157" s="496"/>
      <c r="I157" s="514">
        <f>'0040'!J122</f>
        <v>5</v>
      </c>
    </row>
    <row r="158" spans="1:13" x14ac:dyDescent="0.25">
      <c r="B158" s="425"/>
      <c r="C158" s="425"/>
      <c r="D158" s="425"/>
      <c r="E158" s="425"/>
      <c r="F158" s="425"/>
      <c r="G158" s="425"/>
      <c r="H158" s="496"/>
      <c r="I158" s="414"/>
    </row>
    <row r="159" spans="1:13" ht="16.5" thickBot="1" x14ac:dyDescent="0.3">
      <c r="A159" s="377" t="s">
        <v>186</v>
      </c>
      <c r="B159" s="425"/>
      <c r="C159" s="425"/>
      <c r="D159" s="425"/>
      <c r="E159" s="425"/>
      <c r="F159" s="425"/>
      <c r="G159" s="425"/>
      <c r="H159" s="496"/>
      <c r="I159" s="515">
        <f>SUM('0040:4131'!J124)</f>
        <v>17405641.269999996</v>
      </c>
      <c r="J159" s="478"/>
      <c r="K159" s="482"/>
      <c r="L159" s="482"/>
      <c r="M159" s="482"/>
    </row>
    <row r="160" spans="1:13" s="523" customFormat="1" ht="16.5" thickTop="1" x14ac:dyDescent="0.25">
      <c r="A160" s="516"/>
      <c r="B160" s="516"/>
      <c r="C160" s="517"/>
      <c r="D160" s="518"/>
      <c r="E160" s="519"/>
      <c r="F160" s="393"/>
      <c r="G160" s="520"/>
      <c r="H160" s="521"/>
      <c r="I160" s="522"/>
    </row>
    <row r="161" spans="1:8" x14ac:dyDescent="0.25">
      <c r="A161" s="845" t="s">
        <v>136</v>
      </c>
      <c r="B161" s="845"/>
      <c r="C161" s="845"/>
      <c r="D161" s="845"/>
      <c r="E161" s="845"/>
      <c r="F161" s="845"/>
      <c r="G161" s="845"/>
      <c r="H161" s="845"/>
    </row>
    <row r="162" spans="1:8" ht="26.25" customHeight="1" x14ac:dyDescent="0.25">
      <c r="A162" s="846" t="s">
        <v>403</v>
      </c>
      <c r="B162" s="846"/>
      <c r="C162" s="846"/>
      <c r="D162" s="846"/>
      <c r="E162" s="846"/>
      <c r="F162" s="846"/>
      <c r="G162" s="846"/>
      <c r="H162" s="846"/>
    </row>
    <row r="163" spans="1:8" x14ac:dyDescent="0.25">
      <c r="A163" s="845" t="s">
        <v>404</v>
      </c>
      <c r="B163" s="845"/>
      <c r="C163" s="845"/>
      <c r="D163" s="845"/>
      <c r="E163" s="845"/>
      <c r="F163" s="845"/>
      <c r="G163" s="845"/>
      <c r="H163" s="845"/>
    </row>
    <row r="164" spans="1:8" x14ac:dyDescent="0.25">
      <c r="A164" s="845" t="s">
        <v>405</v>
      </c>
      <c r="B164" s="845"/>
      <c r="C164" s="845"/>
      <c r="D164" s="845"/>
      <c r="E164" s="845"/>
      <c r="F164" s="845"/>
      <c r="G164" s="845"/>
      <c r="H164" s="845"/>
    </row>
    <row r="165" spans="1:8" x14ac:dyDescent="0.25">
      <c r="A165" s="845" t="s">
        <v>406</v>
      </c>
      <c r="B165" s="845"/>
      <c r="C165" s="845"/>
      <c r="D165" s="845"/>
      <c r="E165" s="845"/>
      <c r="F165" s="845"/>
      <c r="G165" s="845"/>
      <c r="H165" s="845"/>
    </row>
    <row r="166" spans="1:8" x14ac:dyDescent="0.25">
      <c r="A166" s="845" t="s">
        <v>407</v>
      </c>
      <c r="B166" s="845"/>
      <c r="C166" s="845"/>
      <c r="D166" s="845"/>
      <c r="E166" s="845"/>
      <c r="F166" s="845"/>
      <c r="G166" s="845"/>
      <c r="H166" s="845"/>
    </row>
    <row r="167" spans="1:8" x14ac:dyDescent="0.25">
      <c r="A167" s="845" t="s">
        <v>408</v>
      </c>
      <c r="B167" s="845"/>
      <c r="C167" s="845"/>
      <c r="D167" s="845"/>
      <c r="E167" s="845"/>
      <c r="F167" s="845"/>
      <c r="G167" s="845"/>
      <c r="H167" s="845"/>
    </row>
    <row r="168" spans="1:8" ht="26.25" customHeight="1" x14ac:dyDescent="0.25">
      <c r="A168" s="846" t="s">
        <v>409</v>
      </c>
      <c r="B168" s="846"/>
      <c r="C168" s="846"/>
      <c r="D168" s="846"/>
      <c r="E168" s="846"/>
      <c r="F168" s="846"/>
      <c r="G168" s="846"/>
      <c r="H168" s="846"/>
    </row>
    <row r="169" spans="1:8" ht="26.25" customHeight="1" x14ac:dyDescent="0.25">
      <c r="A169" s="846" t="s">
        <v>144</v>
      </c>
      <c r="B169" s="846"/>
      <c r="C169" s="846"/>
      <c r="D169" s="846"/>
      <c r="E169" s="846"/>
      <c r="F169" s="846"/>
      <c r="G169" s="846"/>
      <c r="H169" s="846"/>
    </row>
    <row r="170" spans="1:8" ht="26.25" customHeight="1" x14ac:dyDescent="0.25">
      <c r="A170" s="846" t="s">
        <v>410</v>
      </c>
      <c r="B170" s="846"/>
      <c r="C170" s="846"/>
      <c r="D170" s="846"/>
      <c r="E170" s="846"/>
      <c r="F170" s="846"/>
      <c r="G170" s="846"/>
      <c r="H170" s="846"/>
    </row>
    <row r="171" spans="1:8" ht="16.5" customHeight="1" x14ac:dyDescent="0.25">
      <c r="A171" s="524" t="s">
        <v>146</v>
      </c>
      <c r="B171" s="524"/>
      <c r="C171" s="524"/>
      <c r="D171" s="524"/>
      <c r="E171" s="524"/>
      <c r="F171" s="524"/>
      <c r="G171" s="524"/>
      <c r="H171" s="524"/>
    </row>
    <row r="172" spans="1:8" ht="26.25" customHeight="1" x14ac:dyDescent="0.25">
      <c r="A172" s="846" t="s">
        <v>147</v>
      </c>
      <c r="B172" s="846"/>
      <c r="C172" s="846"/>
      <c r="D172" s="846"/>
      <c r="E172" s="846"/>
      <c r="F172" s="846"/>
      <c r="G172" s="846"/>
      <c r="H172" s="846"/>
    </row>
    <row r="173" spans="1:8" ht="26.25" customHeight="1" x14ac:dyDescent="0.25">
      <c r="A173" s="846" t="s">
        <v>148</v>
      </c>
      <c r="B173" s="846"/>
      <c r="C173" s="846"/>
      <c r="D173" s="846"/>
      <c r="E173" s="846"/>
      <c r="F173" s="846"/>
      <c r="G173" s="846"/>
      <c r="H173" s="846"/>
    </row>
    <row r="174" spans="1:8" x14ac:dyDescent="0.25">
      <c r="A174" s="850" t="s">
        <v>149</v>
      </c>
      <c r="B174" s="846"/>
      <c r="C174" s="846"/>
      <c r="D174" s="846"/>
      <c r="E174" s="846"/>
      <c r="F174" s="846"/>
      <c r="G174" s="846"/>
      <c r="H174" s="846"/>
    </row>
    <row r="175" spans="1:8" ht="54.75" customHeight="1" x14ac:dyDescent="0.25">
      <c r="A175" s="851" t="s">
        <v>150</v>
      </c>
      <c r="B175" s="851"/>
      <c r="C175" s="851"/>
      <c r="D175" s="851"/>
      <c r="E175" s="851"/>
      <c r="F175" s="851"/>
      <c r="G175" s="851"/>
      <c r="H175" s="851"/>
    </row>
    <row r="176" spans="1:8" ht="42.75" customHeight="1" x14ac:dyDescent="0.25">
      <c r="A176" s="851" t="s">
        <v>151</v>
      </c>
      <c r="B176" s="851"/>
      <c r="C176" s="851"/>
      <c r="D176" s="851"/>
      <c r="E176" s="851"/>
      <c r="F176" s="851"/>
      <c r="G176" s="851"/>
      <c r="H176" s="851"/>
    </row>
    <row r="177" spans="1:8" x14ac:dyDescent="0.25">
      <c r="A177" s="525"/>
      <c r="B177" s="525"/>
      <c r="C177" s="525"/>
      <c r="D177" s="525"/>
      <c r="E177" s="525"/>
      <c r="F177" s="525"/>
      <c r="G177" s="525"/>
      <c r="H177" s="525"/>
    </row>
    <row r="178" spans="1:8" x14ac:dyDescent="0.25">
      <c r="A178" s="850" t="s">
        <v>152</v>
      </c>
      <c r="B178" s="850"/>
      <c r="C178" s="850"/>
      <c r="D178" s="850"/>
      <c r="E178" s="850"/>
      <c r="F178" s="850"/>
      <c r="G178" s="850"/>
      <c r="H178" s="850"/>
    </row>
    <row r="179" spans="1:8" ht="26.25" customHeight="1" x14ac:dyDescent="0.25">
      <c r="A179" s="851" t="s">
        <v>153</v>
      </c>
      <c r="B179" s="851"/>
      <c r="C179" s="851"/>
      <c r="D179" s="851"/>
      <c r="E179" s="851"/>
      <c r="F179" s="851"/>
      <c r="G179" s="851"/>
      <c r="H179" s="851"/>
    </row>
    <row r="180" spans="1:8" x14ac:dyDescent="0.25">
      <c r="A180" s="852" t="s">
        <v>154</v>
      </c>
      <c r="B180" s="852"/>
      <c r="C180" s="852"/>
      <c r="D180" s="852"/>
      <c r="E180" s="852"/>
      <c r="F180" s="852"/>
      <c r="G180" s="852"/>
      <c r="H180" s="852"/>
    </row>
  </sheetData>
  <mergeCells count="131">
    <mergeCell ref="R105:S105"/>
    <mergeCell ref="A106:B106"/>
    <mergeCell ref="R106:T106"/>
    <mergeCell ref="R98:S98"/>
    <mergeCell ref="A99:B99"/>
    <mergeCell ref="R100:S100"/>
    <mergeCell ref="A101:B101"/>
    <mergeCell ref="R101:S101"/>
    <mergeCell ref="A102:B102"/>
    <mergeCell ref="A178:H178"/>
    <mergeCell ref="A179:H179"/>
    <mergeCell ref="A180:H180"/>
    <mergeCell ref="R95:S95"/>
    <mergeCell ref="T95:X95"/>
    <mergeCell ref="A96:B96"/>
    <mergeCell ref="E96:I96"/>
    <mergeCell ref="R96:S96"/>
    <mergeCell ref="A97:B97"/>
    <mergeCell ref="R97:S97"/>
    <mergeCell ref="A170:H170"/>
    <mergeCell ref="A172:H172"/>
    <mergeCell ref="A173:H173"/>
    <mergeCell ref="A174:H174"/>
    <mergeCell ref="A175:H175"/>
    <mergeCell ref="A176:H176"/>
    <mergeCell ref="A164:H164"/>
    <mergeCell ref="A165:H165"/>
    <mergeCell ref="A166:H166"/>
    <mergeCell ref="A167:H167"/>
    <mergeCell ref="A168:H168"/>
    <mergeCell ref="A169:H169"/>
    <mergeCell ref="A142:H142"/>
    <mergeCell ref="A146:G146"/>
    <mergeCell ref="A147:G147"/>
    <mergeCell ref="A161:H161"/>
    <mergeCell ref="A162:H162"/>
    <mergeCell ref="A163:H163"/>
    <mergeCell ref="A136:B136"/>
    <mergeCell ref="F136:G136"/>
    <mergeCell ref="A137:B137"/>
    <mergeCell ref="F137:G137"/>
    <mergeCell ref="A138:B138"/>
    <mergeCell ref="A140:C140"/>
    <mergeCell ref="F140:H140"/>
    <mergeCell ref="C132:E132"/>
    <mergeCell ref="F133:G133"/>
    <mergeCell ref="A134:B134"/>
    <mergeCell ref="F134:G134"/>
    <mergeCell ref="A135:B135"/>
    <mergeCell ref="F135:G135"/>
    <mergeCell ref="A122:I122"/>
    <mergeCell ref="F124:I124"/>
    <mergeCell ref="A127:B127"/>
    <mergeCell ref="A128:B128"/>
    <mergeCell ref="A131:C131"/>
    <mergeCell ref="F131:I131"/>
    <mergeCell ref="C116:D116"/>
    <mergeCell ref="C117:D117"/>
    <mergeCell ref="C118:D118"/>
    <mergeCell ref="C119:D119"/>
    <mergeCell ref="C120:D120"/>
    <mergeCell ref="C121:D121"/>
    <mergeCell ref="A83:B83"/>
    <mergeCell ref="D83:G83"/>
    <mergeCell ref="A88:C88"/>
    <mergeCell ref="A89:C89"/>
    <mergeCell ref="A108:C108"/>
    <mergeCell ref="A110:C110"/>
    <mergeCell ref="A98:B98"/>
    <mergeCell ref="A74:B74"/>
    <mergeCell ref="D74:G74"/>
    <mergeCell ref="A77:B77"/>
    <mergeCell ref="D77:G77"/>
    <mergeCell ref="A80:B80"/>
    <mergeCell ref="D80:G80"/>
    <mergeCell ref="A42:B42"/>
    <mergeCell ref="A43:B43"/>
    <mergeCell ref="A44:B44"/>
    <mergeCell ref="A59:B67"/>
    <mergeCell ref="F68:H68"/>
    <mergeCell ref="A71:B71"/>
    <mergeCell ref="D71:G71"/>
    <mergeCell ref="F31:G31"/>
    <mergeCell ref="A32:B32"/>
    <mergeCell ref="A38:B38"/>
    <mergeCell ref="A39:B39"/>
    <mergeCell ref="A40:B40"/>
    <mergeCell ref="A41:B41"/>
    <mergeCell ref="A28:B28"/>
    <mergeCell ref="F28:G28"/>
    <mergeCell ref="A29:B29"/>
    <mergeCell ref="F29:G29"/>
    <mergeCell ref="A30:B30"/>
    <mergeCell ref="F30:G30"/>
    <mergeCell ref="A25:B25"/>
    <mergeCell ref="F25:G25"/>
    <mergeCell ref="A26:B26"/>
    <mergeCell ref="F26:G26"/>
    <mergeCell ref="A27:B27"/>
    <mergeCell ref="F27:G27"/>
    <mergeCell ref="A22:B22"/>
    <mergeCell ref="F22:G22"/>
    <mergeCell ref="A23:B23"/>
    <mergeCell ref="F23:G23"/>
    <mergeCell ref="A24:B24"/>
    <mergeCell ref="F24:G24"/>
    <mergeCell ref="A19:B19"/>
    <mergeCell ref="F19:G19"/>
    <mergeCell ref="A20:B20"/>
    <mergeCell ref="F20:G20"/>
    <mergeCell ref="A21:B21"/>
    <mergeCell ref="F21:G21"/>
    <mergeCell ref="A16:B16"/>
    <mergeCell ref="F16:G16"/>
    <mergeCell ref="A17:B17"/>
    <mergeCell ref="F17:G17"/>
    <mergeCell ref="A18:B18"/>
    <mergeCell ref="F18:G18"/>
    <mergeCell ref="A13:B13"/>
    <mergeCell ref="F13:G13"/>
    <mergeCell ref="A14:B14"/>
    <mergeCell ref="F14:G14"/>
    <mergeCell ref="A15:B15"/>
    <mergeCell ref="F15:G15"/>
    <mergeCell ref="B1:I1"/>
    <mergeCell ref="A4:B4"/>
    <mergeCell ref="C4:E4"/>
    <mergeCell ref="F11:G11"/>
    <mergeCell ref="A12:B12"/>
    <mergeCell ref="F12:G12"/>
    <mergeCell ref="A3:J3"/>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96A1-A4AE-4243-8173-962553824AFB}">
  <dimension ref="A1:Z207"/>
  <sheetViews>
    <sheetView topLeftCell="A23" workbookViewId="0">
      <selection activeCell="A52" sqref="A52:J52"/>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6.42578125" style="2" customWidth="1"/>
    <col min="8" max="8" width="19.2851562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104" t="s">
        <v>155</v>
      </c>
      <c r="B2" s="102"/>
      <c r="C2" s="102"/>
      <c r="D2" s="102"/>
      <c r="E2" s="100"/>
      <c r="F2" s="100"/>
      <c r="G2" s="100"/>
      <c r="H2" s="100"/>
      <c r="I2" s="100"/>
      <c r="J2" s="100"/>
      <c r="K2" s="6"/>
      <c r="L2" s="6"/>
      <c r="M2" s="6"/>
      <c r="N2" s="6"/>
      <c r="O2" s="6"/>
      <c r="P2" s="6"/>
      <c r="Q2" s="6"/>
      <c r="R2" s="875" t="str">
        <f>Revenue_Estimate_Worksheet_for___________Charter_School</f>
        <v>Revenue Estimate Worksheet: Palm Beach Preparatory Middle School 0040</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85"/>
      <c r="D4" s="225" t="s">
        <v>179</v>
      </c>
      <c r="E4" s="225"/>
      <c r="H4" s="281">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9"/>
      <c r="D6" s="9"/>
      <c r="E6" s="983">
        <v>5372.6</v>
      </c>
      <c r="F6" s="983"/>
      <c r="G6" s="984" t="s">
        <v>5</v>
      </c>
      <c r="H6" s="984"/>
      <c r="I6" s="283">
        <f>INDEX('[1]Detail 2025-26 FEFP Second'!$C$1:$C$65536,MATCH('0040'!$A$1,'[1]Detail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9"/>
      <c r="B7" s="9"/>
      <c r="C7" s="9"/>
      <c r="D7" s="9"/>
      <c r="E7" s="10"/>
      <c r="F7" s="10"/>
      <c r="G7" s="11" t="s">
        <v>6</v>
      </c>
      <c r="H7" s="11"/>
      <c r="I7" s="283">
        <f>INDEX('[1]Detail 2025-26 FEFP Second'!$D$1:$D$65536,MATCH('0040'!$A$1,'[1]Detail 2025-26 FEFP Second'!$A$1:$A$65536,0))</f>
        <v>1</v>
      </c>
      <c r="J7" s="12"/>
      <c r="M7" s="2"/>
      <c r="R7" s="144"/>
      <c r="S7" s="144"/>
      <c r="T7" s="145"/>
      <c r="U7" s="145"/>
      <c r="V7" s="146" t="s">
        <v>6</v>
      </c>
      <c r="W7" s="146"/>
      <c r="X7" s="147">
        <v>1</v>
      </c>
      <c r="Y7" s="147"/>
    </row>
    <row r="8" spans="1:25" ht="18" customHeight="1" x14ac:dyDescent="0.25">
      <c r="A8" s="9"/>
      <c r="B8" s="9"/>
      <c r="C8" s="9"/>
      <c r="D8" s="9"/>
      <c r="E8" s="13"/>
      <c r="F8" s="13"/>
      <c r="G8" s="14"/>
      <c r="H8" s="14"/>
      <c r="I8" s="15"/>
      <c r="J8" s="696" t="s">
        <v>7</v>
      </c>
      <c r="M8" s="2"/>
      <c r="R8" s="144"/>
      <c r="S8" s="144"/>
      <c r="T8" s="148"/>
      <c r="U8" s="148"/>
      <c r="V8" s="149"/>
      <c r="W8" s="149"/>
      <c r="X8" s="150"/>
      <c r="Y8" s="151" t="s">
        <v>7</v>
      </c>
    </row>
    <row r="9" spans="1:25" ht="15.75" customHeight="1" x14ac:dyDescent="0.25">
      <c r="A9" s="9"/>
      <c r="B9" s="9"/>
      <c r="C9" s="111" t="s">
        <v>570</v>
      </c>
      <c r="D9" s="112" t="s">
        <v>571</v>
      </c>
      <c r="E9" s="13"/>
      <c r="F9" s="13"/>
      <c r="G9" s="985" t="s">
        <v>8</v>
      </c>
      <c r="H9" s="985"/>
      <c r="I9" s="15" t="s">
        <v>9</v>
      </c>
      <c r="J9" s="16" t="s">
        <v>10</v>
      </c>
      <c r="M9" s="2"/>
      <c r="R9" s="144"/>
      <c r="S9" s="144"/>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115"/>
      <c r="D12" s="115"/>
      <c r="E12" s="980">
        <f t="shared" ref="E12:E27" si="0">IF($D$28=0,C12*2,C12+D12)</f>
        <v>0</v>
      </c>
      <c r="F12" s="980"/>
      <c r="G12" s="981">
        <v>1.1080000000000001</v>
      </c>
      <c r="H12" s="981"/>
      <c r="I12" s="22">
        <f>ROUND(E12*G12,4)</f>
        <v>0</v>
      </c>
      <c r="J12" s="127">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697"/>
      <c r="D13" s="697"/>
      <c r="E13" s="967">
        <f t="shared" si="0"/>
        <v>0</v>
      </c>
      <c r="F13" s="967"/>
      <c r="G13" s="968">
        <v>1.1080000000000001</v>
      </c>
      <c r="H13" s="968"/>
      <c r="I13" s="22">
        <f t="shared" ref="I13:I27" si="2">ROUND(E13*G13,4)</f>
        <v>0</v>
      </c>
      <c r="J13" s="127">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697">
        <v>6.75</v>
      </c>
      <c r="D14" s="697"/>
      <c r="E14" s="967">
        <f t="shared" si="0"/>
        <v>13.5</v>
      </c>
      <c r="F14" s="967"/>
      <c r="G14" s="968">
        <v>1</v>
      </c>
      <c r="H14" s="968"/>
      <c r="I14" s="22">
        <f t="shared" si="2"/>
        <v>13.5</v>
      </c>
      <c r="J14" s="127">
        <f>ROUND(ROUND(ROUND(I14*$E$6,4)*($I$6),2)*(MAX($I$7,1)),2)</f>
        <v>75104.92</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697">
        <v>3.5</v>
      </c>
      <c r="D15" s="697"/>
      <c r="E15" s="967">
        <f t="shared" si="0"/>
        <v>7</v>
      </c>
      <c r="F15" s="967"/>
      <c r="G15" s="968">
        <v>1</v>
      </c>
      <c r="H15" s="968"/>
      <c r="I15" s="22">
        <f t="shared" si="2"/>
        <v>7</v>
      </c>
      <c r="J15" s="127">
        <f t="shared" si="1"/>
        <v>38943.29</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697"/>
      <c r="D16" s="697"/>
      <c r="E16" s="967">
        <f t="shared" si="0"/>
        <v>0</v>
      </c>
      <c r="F16" s="967"/>
      <c r="G16" s="968">
        <v>0.97199999999999998</v>
      </c>
      <c r="H16" s="968"/>
      <c r="I16" s="22">
        <f t="shared" si="2"/>
        <v>0</v>
      </c>
      <c r="J16" s="127">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697"/>
      <c r="D17" s="697"/>
      <c r="E17" s="967">
        <f t="shared" si="0"/>
        <v>0</v>
      </c>
      <c r="F17" s="967"/>
      <c r="G17" s="968">
        <v>0.97199999999999998</v>
      </c>
      <c r="H17" s="968"/>
      <c r="I17" s="22">
        <f t="shared" si="2"/>
        <v>0</v>
      </c>
      <c r="J17" s="127">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697"/>
      <c r="D18" s="697"/>
      <c r="E18" s="967">
        <f t="shared" si="0"/>
        <v>0</v>
      </c>
      <c r="F18" s="967"/>
      <c r="G18" s="968">
        <v>3.609</v>
      </c>
      <c r="H18" s="968"/>
      <c r="I18" s="22">
        <f t="shared" si="2"/>
        <v>0</v>
      </c>
      <c r="J18" s="127">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697"/>
      <c r="D19" s="697"/>
      <c r="E19" s="967">
        <f t="shared" si="0"/>
        <v>0</v>
      </c>
      <c r="F19" s="967"/>
      <c r="G19" s="968">
        <v>3.609</v>
      </c>
      <c r="H19" s="968"/>
      <c r="I19" s="22">
        <f t="shared" si="2"/>
        <v>0</v>
      </c>
      <c r="J19" s="127">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697"/>
      <c r="D20" s="697"/>
      <c r="E20" s="967">
        <f t="shared" si="0"/>
        <v>0</v>
      </c>
      <c r="F20" s="967"/>
      <c r="G20" s="968">
        <v>3.609</v>
      </c>
      <c r="H20" s="968"/>
      <c r="I20" s="22">
        <f t="shared" si="2"/>
        <v>0</v>
      </c>
      <c r="J20" s="127">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697"/>
      <c r="D21" s="697"/>
      <c r="E21" s="967">
        <f t="shared" si="0"/>
        <v>0</v>
      </c>
      <c r="F21" s="967"/>
      <c r="G21" s="968">
        <v>6.0640000000000001</v>
      </c>
      <c r="H21" s="968"/>
      <c r="I21" s="22">
        <f t="shared" si="2"/>
        <v>0</v>
      </c>
      <c r="J21" s="127">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697"/>
      <c r="D22" s="697"/>
      <c r="E22" s="967">
        <f t="shared" si="0"/>
        <v>0</v>
      </c>
      <c r="F22" s="967"/>
      <c r="G22" s="968">
        <v>6.0640000000000001</v>
      </c>
      <c r="H22" s="968"/>
      <c r="I22" s="22">
        <f t="shared" si="2"/>
        <v>0</v>
      </c>
      <c r="J22" s="127">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697"/>
      <c r="D23" s="697"/>
      <c r="E23" s="967">
        <f t="shared" si="0"/>
        <v>0</v>
      </c>
      <c r="F23" s="967"/>
      <c r="G23" s="968">
        <v>6.0640000000000001</v>
      </c>
      <c r="H23" s="968"/>
      <c r="I23" s="22">
        <f t="shared" si="2"/>
        <v>0</v>
      </c>
      <c r="J23" s="127">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697"/>
      <c r="D24" s="697"/>
      <c r="E24" s="967">
        <f t="shared" si="0"/>
        <v>0</v>
      </c>
      <c r="F24" s="967"/>
      <c r="G24" s="968">
        <v>1.165</v>
      </c>
      <c r="H24" s="968"/>
      <c r="I24" s="22">
        <f t="shared" si="2"/>
        <v>0</v>
      </c>
      <c r="J24" s="127">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697">
        <v>1.25</v>
      </c>
      <c r="D25" s="697"/>
      <c r="E25" s="967">
        <f t="shared" si="0"/>
        <v>2.5</v>
      </c>
      <c r="F25" s="967"/>
      <c r="G25" s="968">
        <v>1.165</v>
      </c>
      <c r="H25" s="968"/>
      <c r="I25" s="22">
        <f t="shared" si="2"/>
        <v>2.9125000000000001</v>
      </c>
      <c r="J25" s="127">
        <f t="shared" si="1"/>
        <v>16203.19</v>
      </c>
      <c r="M25" s="2"/>
      <c r="R25" s="860" t="s">
        <v>33</v>
      </c>
      <c r="S25" s="860"/>
      <c r="T25" s="891">
        <f t="shared" si="3"/>
        <v>0</v>
      </c>
      <c r="U25" s="891"/>
      <c r="V25" s="896">
        <v>1</v>
      </c>
      <c r="W25" s="896"/>
      <c r="X25" s="156">
        <f t="shared" si="4"/>
        <v>0</v>
      </c>
      <c r="Y25" s="266">
        <f t="shared" si="6"/>
        <v>0</v>
      </c>
    </row>
    <row r="26" spans="1:25" x14ac:dyDescent="0.25">
      <c r="A26" s="861" t="s">
        <v>34</v>
      </c>
      <c r="B26" s="861"/>
      <c r="C26" s="116"/>
      <c r="D26" s="116"/>
      <c r="E26" s="967">
        <f t="shared" si="0"/>
        <v>0</v>
      </c>
      <c r="F26" s="967"/>
      <c r="G26" s="968">
        <v>1.165</v>
      </c>
      <c r="H26" s="968"/>
      <c r="I26" s="22">
        <f t="shared" si="2"/>
        <v>0</v>
      </c>
      <c r="J26" s="127">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118"/>
      <c r="D27" s="118"/>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698">
        <f>SUM(C12:C27)</f>
        <v>11.5</v>
      </c>
      <c r="D28" s="126">
        <f>SUM(D12:D27)</f>
        <v>0</v>
      </c>
      <c r="E28" s="966">
        <f>SUM(E12:E27)</f>
        <v>23</v>
      </c>
      <c r="F28" s="966"/>
      <c r="G28" s="961"/>
      <c r="H28" s="961"/>
      <c r="I28" s="23">
        <f>SUM(I12:I27)</f>
        <v>23.412500000000001</v>
      </c>
      <c r="J28" s="127">
        <f>SUM(J12:J27)</f>
        <v>130251.4</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101"/>
      <c r="D30" s="101"/>
      <c r="E30" s="857" t="s">
        <v>39</v>
      </c>
      <c r="F30" s="858"/>
      <c r="G30" s="858"/>
      <c r="H30" s="858"/>
      <c r="I30" s="858"/>
      <c r="J30" s="18" t="s">
        <v>40</v>
      </c>
      <c r="L30" s="25"/>
      <c r="M30" s="25"/>
      <c r="R30" s="160" t="s">
        <v>38</v>
      </c>
      <c r="S30" s="160"/>
      <c r="T30" s="854" t="s">
        <v>158</v>
      </c>
      <c r="U30" s="855"/>
      <c r="V30" s="855"/>
      <c r="W30" s="855"/>
      <c r="X30" s="855"/>
      <c r="Y30" s="153" t="s">
        <v>40</v>
      </c>
    </row>
    <row r="31" spans="1:25" ht="20.25" hidden="1" customHeight="1" x14ac:dyDescent="0.25">
      <c r="A31" s="839" t="s">
        <v>41</v>
      </c>
      <c r="B31" s="839"/>
      <c r="C31" s="69"/>
      <c r="D31" s="69"/>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v>0</v>
      </c>
      <c r="W32" s="909" t="s">
        <v>43</v>
      </c>
      <c r="X32" s="909"/>
      <c r="Y32" s="163">
        <f>SUM(Y31:Y31)</f>
        <v>0</v>
      </c>
    </row>
    <row r="33" spans="1:25" ht="20.25" hidden="1" customHeight="1" thickBot="1" x14ac:dyDescent="0.3">
      <c r="A33" s="912" t="s">
        <v>44</v>
      </c>
      <c r="B33" s="912"/>
      <c r="C33" s="912"/>
      <c r="D33" s="912"/>
      <c r="E33" s="912"/>
      <c r="F33" s="912"/>
      <c r="G33" s="31">
        <f>G32+I28</f>
        <v>23.412500000000001</v>
      </c>
      <c r="H33" s="961" t="s">
        <v>45</v>
      </c>
      <c r="I33" s="961"/>
      <c r="J33" s="32">
        <f>SUM(J32,J28)</f>
        <v>130251.4</v>
      </c>
      <c r="M33" s="2"/>
      <c r="R33" s="911" t="s">
        <v>44</v>
      </c>
      <c r="S33" s="911"/>
      <c r="T33" s="911"/>
      <c r="U33" s="911"/>
      <c r="V33" s="164">
        <f>V32+X28</f>
        <v>0</v>
      </c>
      <c r="W33" s="909" t="s">
        <v>45</v>
      </c>
      <c r="X33" s="909"/>
      <c r="Y33" s="165">
        <f>SUM(Y32,Y28)</f>
        <v>0</v>
      </c>
    </row>
    <row r="34" spans="1:25" ht="20.25" hidden="1" customHeight="1" x14ac:dyDescent="0.25">
      <c r="A34" s="33"/>
      <c r="B34" s="33"/>
      <c r="C34" s="33"/>
      <c r="D34" s="33"/>
      <c r="E34" s="33"/>
      <c r="F34" s="33"/>
      <c r="G34" s="31"/>
      <c r="H34" s="34"/>
      <c r="I34" s="34"/>
      <c r="J34" s="35"/>
      <c r="M34" s="2"/>
      <c r="R34" s="166"/>
      <c r="S34" s="166"/>
      <c r="T34" s="166"/>
      <c r="U34" s="166"/>
      <c r="V34" s="164"/>
      <c r="W34" s="167"/>
      <c r="X34" s="167"/>
      <c r="Y34" s="168"/>
    </row>
    <row r="35" spans="1:25" ht="66.75" customHeight="1" x14ac:dyDescent="0.25">
      <c r="A35" s="947" t="s">
        <v>46</v>
      </c>
      <c r="B35" s="947"/>
      <c r="C35" s="947"/>
      <c r="D35" s="947"/>
      <c r="E35" s="947"/>
      <c r="F35" s="947"/>
      <c r="G35" s="36"/>
      <c r="J35" s="267"/>
      <c r="M35" s="2"/>
      <c r="R35" s="900" t="s">
        <v>46</v>
      </c>
      <c r="S35" s="862"/>
      <c r="T35" s="862"/>
      <c r="U35" s="862"/>
      <c r="V35" s="169"/>
      <c r="W35" s="170"/>
      <c r="X35" s="170"/>
      <c r="Y35" s="268"/>
    </row>
    <row r="36" spans="1:25" ht="20.25" customHeight="1" x14ac:dyDescent="0.25">
      <c r="A36" s="861" t="s">
        <v>47</v>
      </c>
      <c r="B36" s="861"/>
      <c r="C36" s="861"/>
      <c r="D36" s="861"/>
      <c r="E36" s="861"/>
      <c r="F36" s="36" t="s">
        <v>48</v>
      </c>
      <c r="G36" s="132">
        <v>204869.52</v>
      </c>
      <c r="H36" s="37" t="s">
        <v>49</v>
      </c>
      <c r="I36" s="38">
        <v>6.6699999999999995E-2</v>
      </c>
      <c r="J36" s="131">
        <f>ROUND(G36*I36,2)</f>
        <v>13664.8</v>
      </c>
      <c r="K36" s="39"/>
      <c r="L36" s="33"/>
      <c r="M36" s="33"/>
      <c r="N36" s="33"/>
      <c r="O36" s="31"/>
      <c r="P36" s="34"/>
      <c r="Q36" s="34"/>
      <c r="R36" s="860" t="s">
        <v>47</v>
      </c>
      <c r="S36" s="860"/>
      <c r="T36" s="860"/>
      <c r="U36" s="169"/>
      <c r="V36" s="172">
        <f>Y28</f>
        <v>0</v>
      </c>
      <c r="W36" s="173" t="s">
        <v>49</v>
      </c>
      <c r="X36" s="174">
        <v>6.6699999999999995E-2</v>
      </c>
      <c r="Y36" s="266">
        <f>ROUND(V36*X36,2)</f>
        <v>0</v>
      </c>
    </row>
    <row r="37" spans="1:25" ht="20.25" customHeight="1" x14ac:dyDescent="0.25">
      <c r="A37" s="861" t="s">
        <v>50</v>
      </c>
      <c r="B37" s="861"/>
      <c r="C37" s="861"/>
      <c r="D37" s="861"/>
      <c r="E37" s="861"/>
      <c r="F37" s="36" t="s">
        <v>48</v>
      </c>
      <c r="G37" s="132">
        <v>204869.52</v>
      </c>
      <c r="H37" s="37" t="s">
        <v>49</v>
      </c>
      <c r="I37" s="38">
        <v>5.4000000000000003E-3</v>
      </c>
      <c r="J37" s="131">
        <f>ROUND(G37*I37,2)</f>
        <v>1106.3</v>
      </c>
      <c r="K37" s="39"/>
      <c r="L37" s="33"/>
      <c r="M37" s="33"/>
      <c r="N37" s="33"/>
      <c r="O37" s="31"/>
      <c r="P37" s="34"/>
      <c r="Q37" s="34"/>
      <c r="R37" s="860" t="s">
        <v>50</v>
      </c>
      <c r="S37" s="860"/>
      <c r="T37" s="860"/>
      <c r="U37" s="169"/>
      <c r="V37" s="172">
        <f>Y28</f>
        <v>0</v>
      </c>
      <c r="W37" s="173" t="s">
        <v>49</v>
      </c>
      <c r="X37" s="174">
        <v>5.4000000000000003E-3</v>
      </c>
      <c r="Y37" s="266">
        <f>ROUND(V37*X37,2)</f>
        <v>0</v>
      </c>
    </row>
    <row r="38" spans="1:25" ht="20.25" customHeight="1" x14ac:dyDescent="0.25">
      <c r="A38" s="898" t="s">
        <v>51</v>
      </c>
      <c r="B38" s="898"/>
      <c r="C38" s="898"/>
      <c r="D38" s="898"/>
      <c r="E38" s="898"/>
      <c r="F38" s="36" t="s">
        <v>52</v>
      </c>
      <c r="G38" s="40"/>
      <c r="H38" s="37"/>
      <c r="I38" s="41"/>
      <c r="J38" s="131">
        <f>SUM(J36:J37)</f>
        <v>14771.099999999999</v>
      </c>
      <c r="K38" s="39"/>
      <c r="L38" s="33"/>
      <c r="M38" s="33"/>
      <c r="N38" s="33"/>
      <c r="O38" s="31"/>
      <c r="P38" s="34"/>
      <c r="Q38" s="34"/>
      <c r="R38" s="862" t="s">
        <v>51</v>
      </c>
      <c r="S38" s="862"/>
      <c r="T38" s="862"/>
      <c r="U38" s="169" t="s">
        <v>52</v>
      </c>
      <c r="V38" s="175"/>
      <c r="W38" s="173"/>
      <c r="X38" s="176"/>
      <c r="Y38" s="157">
        <f>Y36+Y37</f>
        <v>0</v>
      </c>
    </row>
    <row r="39" spans="1:25" ht="20.25" customHeight="1" x14ac:dyDescent="0.25">
      <c r="B39" s="42"/>
      <c r="C39" s="42"/>
      <c r="D39" s="42"/>
      <c r="E39" s="42"/>
      <c r="F39" s="36"/>
      <c r="G39" s="40"/>
      <c r="H39" s="37"/>
      <c r="I39" s="41"/>
      <c r="J39" s="43"/>
      <c r="K39" s="39"/>
      <c r="L39" s="33"/>
      <c r="M39" s="33"/>
      <c r="N39" s="33"/>
      <c r="O39" s="31"/>
      <c r="P39" s="34"/>
      <c r="Q39" s="34"/>
      <c r="R39" s="177"/>
      <c r="S39" s="177"/>
      <c r="T39" s="177"/>
      <c r="U39" s="169"/>
      <c r="V39" s="175"/>
      <c r="W39" s="173"/>
      <c r="X39" s="176"/>
      <c r="Y39" s="178"/>
    </row>
    <row r="40" spans="1:25" ht="45.75" customHeight="1" x14ac:dyDescent="0.25">
      <c r="A40" s="957" t="s">
        <v>53</v>
      </c>
      <c r="B40" s="957"/>
      <c r="C40" s="117" t="s">
        <v>572</v>
      </c>
      <c r="D40" s="117" t="s">
        <v>573</v>
      </c>
      <c r="E40" s="958" t="s">
        <v>156</v>
      </c>
      <c r="F40" s="958"/>
      <c r="G40" s="44" t="s">
        <v>55</v>
      </c>
      <c r="H40" s="45" t="s">
        <v>56</v>
      </c>
      <c r="I40" s="700" t="s">
        <v>57</v>
      </c>
      <c r="J40" s="44"/>
      <c r="K40" s="39"/>
      <c r="L40" s="33"/>
      <c r="M40" s="33"/>
      <c r="N40" s="33"/>
      <c r="O40" s="31"/>
      <c r="P40" s="34"/>
      <c r="Q40" s="34"/>
      <c r="R40" s="901" t="s">
        <v>53</v>
      </c>
      <c r="S40" s="901"/>
      <c r="T40" s="902" t="s">
        <v>54</v>
      </c>
      <c r="U40" s="902"/>
      <c r="V40" s="179" t="s">
        <v>55</v>
      </c>
      <c r="W40" s="180" t="s">
        <v>56</v>
      </c>
      <c r="X40" s="181" t="s">
        <v>57</v>
      </c>
      <c r="Y40" s="179"/>
    </row>
    <row r="41" spans="1:25" ht="17.25" customHeight="1" x14ac:dyDescent="0.25">
      <c r="A41" s="959" t="s">
        <v>58</v>
      </c>
      <c r="B41" s="959"/>
      <c r="C41" s="119">
        <v>0</v>
      </c>
      <c r="D41" s="119"/>
      <c r="E41" s="954">
        <f t="shared" ref="E41:E49" si="7">IF($D$50=0,C41*2,C41+D41)</f>
        <v>0</v>
      </c>
      <c r="F41" s="954"/>
      <c r="G41" s="37" t="s">
        <v>59</v>
      </c>
      <c r="H41" s="37">
        <v>251</v>
      </c>
      <c r="I41" s="136">
        <f>INDEX('[1]111-112-113 ADDITIONAL FUND'!D$1:D$65536,MATCH($A$1,'[1]111-112-113 ADDITIONAL FUND'!A$1:A$65536))</f>
        <v>1047</v>
      </c>
      <c r="J41" s="46">
        <f t="shared" ref="J41:J49" si="8">ROUND(E41*I41,2)</f>
        <v>0</v>
      </c>
      <c r="L41" s="3"/>
      <c r="M41" s="2"/>
      <c r="Q41" s="4"/>
      <c r="R41" s="903" t="s">
        <v>159</v>
      </c>
      <c r="S41" s="903"/>
      <c r="T41" s="867"/>
      <c r="U41" s="867"/>
      <c r="V41" s="173" t="s">
        <v>59</v>
      </c>
      <c r="W41" s="173">
        <v>251</v>
      </c>
      <c r="X41" s="134">
        <f t="shared" ref="X41:X49" si="9">I41</f>
        <v>1047</v>
      </c>
      <c r="Y41" s="269">
        <f>ROUND(T41*X41,2)</f>
        <v>0</v>
      </c>
    </row>
    <row r="42" spans="1:25" x14ac:dyDescent="0.25">
      <c r="A42" s="960"/>
      <c r="B42" s="960"/>
      <c r="C42" s="120">
        <v>0</v>
      </c>
      <c r="D42" s="120"/>
      <c r="E42" s="954">
        <f t="shared" si="7"/>
        <v>0</v>
      </c>
      <c r="F42" s="954"/>
      <c r="G42" s="37" t="s">
        <v>59</v>
      </c>
      <c r="H42" s="37">
        <v>252</v>
      </c>
      <c r="I42" s="136">
        <f>INDEX('[1]111-112-113 ADDITIONAL FUND'!E$1:E$65536,MATCH($A$1,'[1]111-112-113 ADDITIONAL FUND'!A$1:A$65536))</f>
        <v>3380</v>
      </c>
      <c r="J42" s="46">
        <f t="shared" si="8"/>
        <v>0</v>
      </c>
      <c r="M42" s="2"/>
      <c r="R42" s="903"/>
      <c r="S42" s="903"/>
      <c r="T42" s="904"/>
      <c r="U42" s="904"/>
      <c r="V42" s="173" t="s">
        <v>59</v>
      </c>
      <c r="W42" s="173">
        <v>252</v>
      </c>
      <c r="X42" s="134">
        <f t="shared" si="9"/>
        <v>3380</v>
      </c>
      <c r="Y42" s="269">
        <f t="shared" ref="Y42:Y49" si="10">ROUND(T42*X42,2)</f>
        <v>0</v>
      </c>
    </row>
    <row r="43" spans="1:25" x14ac:dyDescent="0.25">
      <c r="A43" s="960"/>
      <c r="B43" s="960"/>
      <c r="C43" s="120">
        <v>0</v>
      </c>
      <c r="D43" s="120"/>
      <c r="E43" s="954">
        <f t="shared" si="7"/>
        <v>0</v>
      </c>
      <c r="F43" s="954"/>
      <c r="G43" s="37" t="s">
        <v>59</v>
      </c>
      <c r="H43" s="37">
        <v>253</v>
      </c>
      <c r="I43" s="136">
        <f>INDEX('[1]111-112-113 ADDITIONAL FUND'!F$1:F$65536,MATCH($A$1,'[1]111-112-113 ADDITIONAL FUND'!A$1:A$65536))</f>
        <v>6896</v>
      </c>
      <c r="J43" s="46">
        <f t="shared" si="8"/>
        <v>0</v>
      </c>
      <c r="M43" s="2"/>
      <c r="R43" s="903"/>
      <c r="S43" s="903"/>
      <c r="T43" s="905"/>
      <c r="U43" s="905"/>
      <c r="V43" s="173" t="s">
        <v>59</v>
      </c>
      <c r="W43" s="173">
        <v>253</v>
      </c>
      <c r="X43" s="134">
        <f t="shared" si="9"/>
        <v>6896</v>
      </c>
      <c r="Y43" s="269">
        <f t="shared" si="10"/>
        <v>0</v>
      </c>
    </row>
    <row r="44" spans="1:25" ht="20.25" customHeight="1" x14ac:dyDescent="0.25">
      <c r="A44" s="960"/>
      <c r="B44" s="960"/>
      <c r="C44" s="797">
        <v>3</v>
      </c>
      <c r="D44" s="133">
        <v>0</v>
      </c>
      <c r="E44" s="954">
        <f t="shared" si="7"/>
        <v>6</v>
      </c>
      <c r="F44" s="954"/>
      <c r="G44" s="47" t="s">
        <v>60</v>
      </c>
      <c r="H44" s="37">
        <v>251</v>
      </c>
      <c r="I44" s="136">
        <f>INDEX('[1]111-112-113 ADDITIONAL FUND'!G$1:G$65536,MATCH($A$1,'[1]111-112-113 ADDITIONAL FUND'!A$1:A$65536))</f>
        <v>1173</v>
      </c>
      <c r="J44" s="137">
        <f t="shared" si="8"/>
        <v>7038</v>
      </c>
      <c r="L44" s="3"/>
      <c r="M44" s="2"/>
      <c r="Q44" s="4"/>
      <c r="R44" s="903"/>
      <c r="S44" s="903"/>
      <c r="T44" s="905"/>
      <c r="U44" s="905"/>
      <c r="V44" s="182" t="s">
        <v>60</v>
      </c>
      <c r="W44" s="173">
        <v>251</v>
      </c>
      <c r="X44" s="134">
        <f t="shared" si="9"/>
        <v>1173</v>
      </c>
      <c r="Y44" s="269">
        <f t="shared" si="10"/>
        <v>0</v>
      </c>
    </row>
    <row r="45" spans="1:25" x14ac:dyDescent="0.25">
      <c r="A45" s="960"/>
      <c r="B45" s="960"/>
      <c r="C45" s="797">
        <v>0.5</v>
      </c>
      <c r="D45" s="120"/>
      <c r="E45" s="954">
        <f t="shared" si="7"/>
        <v>1</v>
      </c>
      <c r="F45" s="954"/>
      <c r="G45" s="47" t="s">
        <v>60</v>
      </c>
      <c r="H45" s="37">
        <v>252</v>
      </c>
      <c r="I45" s="136">
        <f>INDEX('[1]111-112-113 ADDITIONAL FUND'!H$1:H$65536,MATCH($A$1,'[1]111-112-113 ADDITIONAL FUND'!A$1:A$65536))</f>
        <v>3506</v>
      </c>
      <c r="J45" s="46">
        <f t="shared" si="8"/>
        <v>3506</v>
      </c>
      <c r="M45" s="2"/>
      <c r="R45" s="903"/>
      <c r="S45" s="903"/>
      <c r="T45" s="905"/>
      <c r="U45" s="905"/>
      <c r="V45" s="182" t="s">
        <v>60</v>
      </c>
      <c r="W45" s="173">
        <v>252</v>
      </c>
      <c r="X45" s="134">
        <f t="shared" si="9"/>
        <v>3506</v>
      </c>
      <c r="Y45" s="269">
        <f t="shared" si="10"/>
        <v>0</v>
      </c>
    </row>
    <row r="46" spans="1:25" x14ac:dyDescent="0.25">
      <c r="A46" s="960"/>
      <c r="B46" s="960"/>
      <c r="C46" s="120">
        <v>0</v>
      </c>
      <c r="D46" s="120"/>
      <c r="E46" s="954">
        <f t="shared" si="7"/>
        <v>0</v>
      </c>
      <c r="F46" s="954"/>
      <c r="G46" s="47" t="s">
        <v>60</v>
      </c>
      <c r="H46" s="37">
        <v>253</v>
      </c>
      <c r="I46" s="136">
        <f>INDEX('[1]111-112-113 ADDITIONAL FUND'!I$1:I$65536,MATCH($A$1,'[1]111-112-113 ADDITIONAL FUND'!A$1:A$65536))</f>
        <v>7023</v>
      </c>
      <c r="J46" s="46">
        <f t="shared" si="8"/>
        <v>0</v>
      </c>
      <c r="M46" s="2"/>
      <c r="R46" s="903"/>
      <c r="S46" s="903"/>
      <c r="T46" s="905"/>
      <c r="U46" s="905"/>
      <c r="V46" s="182" t="s">
        <v>60</v>
      </c>
      <c r="W46" s="173">
        <v>253</v>
      </c>
      <c r="X46" s="134">
        <f t="shared" si="9"/>
        <v>7023</v>
      </c>
      <c r="Y46" s="269">
        <f t="shared" si="10"/>
        <v>0</v>
      </c>
    </row>
    <row r="47" spans="1:25" ht="16.5" customHeight="1" x14ac:dyDescent="0.25">
      <c r="A47" s="960"/>
      <c r="B47" s="960"/>
      <c r="C47" s="120">
        <v>0</v>
      </c>
      <c r="D47" s="120">
        <v>0</v>
      </c>
      <c r="E47" s="954">
        <f t="shared" si="7"/>
        <v>0</v>
      </c>
      <c r="F47" s="954"/>
      <c r="G47" s="47" t="s">
        <v>61</v>
      </c>
      <c r="H47" s="37">
        <v>251</v>
      </c>
      <c r="I47" s="136">
        <f>INDEX('[1]111-112-113 ADDITIONAL FUND'!J$1:J$65536,MATCH($A$1,'[1]111-112-113 ADDITIONAL FUND'!A$1:A$65536))</f>
        <v>835</v>
      </c>
      <c r="J47" s="46">
        <f t="shared" si="8"/>
        <v>0</v>
      </c>
      <c r="M47" s="2"/>
      <c r="R47" s="903"/>
      <c r="S47" s="903"/>
      <c r="T47" s="905"/>
      <c r="U47" s="905"/>
      <c r="V47" s="182" t="s">
        <v>61</v>
      </c>
      <c r="W47" s="173">
        <v>251</v>
      </c>
      <c r="X47" s="134">
        <f t="shared" si="9"/>
        <v>835</v>
      </c>
      <c r="Y47" s="269">
        <f t="shared" si="10"/>
        <v>0</v>
      </c>
    </row>
    <row r="48" spans="1:25" ht="15.75" customHeight="1" x14ac:dyDescent="0.25">
      <c r="A48" s="960"/>
      <c r="B48" s="960"/>
      <c r="C48" s="120">
        <v>0</v>
      </c>
      <c r="D48" s="120">
        <v>0</v>
      </c>
      <c r="E48" s="954">
        <f t="shared" si="7"/>
        <v>0</v>
      </c>
      <c r="F48" s="954"/>
      <c r="G48" s="47" t="s">
        <v>61</v>
      </c>
      <c r="H48" s="37">
        <v>252</v>
      </c>
      <c r="I48" s="136">
        <f>INDEX('[1]111-112-113 ADDITIONAL FUND'!K$1:K$65536,MATCH($A$1,'[1]111-112-113 ADDITIONAL FUND'!A$1:A$65536))</f>
        <v>3168</v>
      </c>
      <c r="J48" s="46">
        <f t="shared" si="8"/>
        <v>0</v>
      </c>
      <c r="M48" s="2"/>
      <c r="R48" s="903"/>
      <c r="S48" s="903"/>
      <c r="T48" s="905"/>
      <c r="U48" s="905"/>
      <c r="V48" s="182" t="s">
        <v>61</v>
      </c>
      <c r="W48" s="173">
        <v>252</v>
      </c>
      <c r="X48" s="134">
        <f t="shared" si="9"/>
        <v>3168</v>
      </c>
      <c r="Y48" s="269">
        <f t="shared" si="10"/>
        <v>0</v>
      </c>
    </row>
    <row r="49" spans="1:25" ht="15.75" customHeight="1" thickBot="1" x14ac:dyDescent="0.3">
      <c r="A49" s="960"/>
      <c r="B49" s="960"/>
      <c r="C49" s="120">
        <v>0</v>
      </c>
      <c r="D49" s="120">
        <v>0</v>
      </c>
      <c r="E49" s="955">
        <f t="shared" si="7"/>
        <v>0</v>
      </c>
      <c r="F49" s="955"/>
      <c r="G49" s="47" t="s">
        <v>61</v>
      </c>
      <c r="H49" s="37">
        <v>253</v>
      </c>
      <c r="I49" s="136">
        <f>INDEX('[1]111-112-113 ADDITIONAL FUND'!L$1:L$65536,MATCH($A$1,'[1]111-112-113 ADDITIONAL FUND'!A$1:A$65536))</f>
        <v>6685</v>
      </c>
      <c r="J49" s="46">
        <f t="shared" si="8"/>
        <v>0</v>
      </c>
      <c r="M49" s="2"/>
      <c r="R49" s="903"/>
      <c r="S49" s="903"/>
      <c r="T49" s="913"/>
      <c r="U49" s="913"/>
      <c r="V49" s="182" t="s">
        <v>61</v>
      </c>
      <c r="W49" s="173">
        <v>253</v>
      </c>
      <c r="X49" s="134">
        <f t="shared" si="9"/>
        <v>6685</v>
      </c>
      <c r="Y49" s="269">
        <f t="shared" si="10"/>
        <v>0</v>
      </c>
    </row>
    <row r="50" spans="1:25" ht="15.75" customHeight="1" thickBot="1" x14ac:dyDescent="0.3">
      <c r="A50" s="912" t="s">
        <v>62</v>
      </c>
      <c r="B50" s="912"/>
      <c r="C50" s="585">
        <f>SUM(C41:C49)</f>
        <v>3.5</v>
      </c>
      <c r="D50" s="699">
        <f>SUM(D41:D49)</f>
        <v>0</v>
      </c>
      <c r="E50" s="956">
        <f>SUM(E41:E49)</f>
        <v>7</v>
      </c>
      <c r="F50" s="956"/>
      <c r="G50" s="912" t="s">
        <v>63</v>
      </c>
      <c r="H50" s="912"/>
      <c r="I50" s="912"/>
      <c r="J50" s="276">
        <f>SUM(J41:J49)</f>
        <v>10544</v>
      </c>
      <c r="M50" s="2"/>
      <c r="R50" s="911" t="s">
        <v>62</v>
      </c>
      <c r="S50" s="911"/>
      <c r="T50" s="914">
        <f>SUM(T42:T49)</f>
        <v>0</v>
      </c>
      <c r="U50" s="914"/>
      <c r="V50" s="911" t="s">
        <v>63</v>
      </c>
      <c r="W50" s="911"/>
      <c r="X50" s="911"/>
      <c r="Y50" s="270">
        <f>SUM(Y41:Y49)</f>
        <v>0</v>
      </c>
    </row>
    <row r="51" spans="1:25" ht="15.75" customHeight="1" x14ac:dyDescent="0.25">
      <c r="A51" s="33"/>
      <c r="B51" s="33"/>
      <c r="C51" s="33"/>
      <c r="D51" s="33"/>
      <c r="E51" s="34"/>
      <c r="F51" s="34"/>
      <c r="G51" s="33"/>
      <c r="H51" s="33"/>
      <c r="I51" s="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48">
        <f>E28</f>
        <v>23</v>
      </c>
      <c r="D53" s="49" t="s">
        <v>66</v>
      </c>
      <c r="G53" s="969" t="s">
        <v>67</v>
      </c>
      <c r="H53" s="969"/>
      <c r="I53" s="702">
        <v>207782.75</v>
      </c>
      <c r="J53" s="701"/>
      <c r="M53" s="2"/>
      <c r="R53" s="187"/>
      <c r="S53" s="188"/>
      <c r="T53" s="170"/>
      <c r="U53" s="170"/>
      <c r="V53" s="170"/>
      <c r="W53" s="189" t="s">
        <v>68</v>
      </c>
      <c r="X53" s="920">
        <f>ROUND(T52/X52,6)</f>
        <v>0</v>
      </c>
      <c r="Y53" s="920"/>
    </row>
    <row r="54" spans="1:25" ht="22.5" customHeight="1" x14ac:dyDescent="0.25">
      <c r="A54" s="51"/>
      <c r="B54" s="52"/>
      <c r="C54" s="52"/>
      <c r="D54" s="52"/>
      <c r="H54" s="53" t="s">
        <v>68</v>
      </c>
      <c r="I54" s="945">
        <f>IFERROR(ROUND(C53/I53,6),0)</f>
        <v>1.11E-4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Y33</f>
        <v>0</v>
      </c>
      <c r="U55" s="184" t="s">
        <v>66</v>
      </c>
      <c r="V55" s="185"/>
      <c r="W55" s="186" t="s">
        <v>71</v>
      </c>
      <c r="X55" s="919">
        <f>I56</f>
        <v>221179.83999999997</v>
      </c>
      <c r="Y55" s="919"/>
    </row>
    <row r="56" spans="1:25" ht="16.5" customHeight="1" x14ac:dyDescent="0.25">
      <c r="A56" s="899" t="s">
        <v>70</v>
      </c>
      <c r="B56" s="899"/>
      <c r="C56" s="48">
        <f>G33</f>
        <v>23.412500000000001</v>
      </c>
      <c r="D56" s="49" t="s">
        <v>66</v>
      </c>
      <c r="G56" s="969" t="s">
        <v>71</v>
      </c>
      <c r="H56" s="969"/>
      <c r="I56" s="702">
        <v>221179.83999999997</v>
      </c>
      <c r="J56" s="701"/>
      <c r="M56" s="2"/>
      <c r="R56" s="187"/>
      <c r="S56" s="170"/>
      <c r="T56" s="170"/>
      <c r="U56" s="170"/>
      <c r="V56" s="170"/>
      <c r="W56" s="189" t="s">
        <v>68</v>
      </c>
      <c r="X56" s="920">
        <f>ROUND(T55/X55,6)</f>
        <v>0</v>
      </c>
      <c r="Y56" s="920"/>
    </row>
    <row r="57" spans="1:25" ht="18.75" customHeight="1" x14ac:dyDescent="0.25">
      <c r="A57" s="51"/>
      <c r="H57" s="53" t="s">
        <v>68</v>
      </c>
      <c r="I57" s="945">
        <f>IFERROR(ROUND(C56/I56,6),0)</f>
        <v>1.06E-4</v>
      </c>
      <c r="J57" s="945"/>
      <c r="M57" s="2"/>
      <c r="P57" s="42"/>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48">
        <f>E28</f>
        <v>23</v>
      </c>
      <c r="D59" s="49" t="s">
        <v>66</v>
      </c>
      <c r="F59" s="969" t="s">
        <v>74</v>
      </c>
      <c r="G59" s="969"/>
      <c r="H59" s="969"/>
      <c r="I59" s="702">
        <v>178931.75</v>
      </c>
      <c r="J59" s="701"/>
      <c r="M59" s="2"/>
      <c r="R59" s="187"/>
      <c r="S59" s="170"/>
      <c r="T59" s="170"/>
      <c r="U59" s="170"/>
      <c r="V59" s="170"/>
      <c r="W59" s="189" t="s">
        <v>68</v>
      </c>
      <c r="X59" s="920">
        <f>ROUND(T58/X58,6)</f>
        <v>0</v>
      </c>
      <c r="Y59" s="920"/>
    </row>
    <row r="60" spans="1:25" ht="18" customHeight="1" x14ac:dyDescent="0.25">
      <c r="A60" s="51"/>
      <c r="H60" s="53" t="s">
        <v>68</v>
      </c>
      <c r="I60" s="945">
        <f>IFERROR(ROUND(C59/I59,6),0)</f>
        <v>1.2899999999999999E-4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x14ac:dyDescent="0.25">
      <c r="A62" s="899" t="s">
        <v>73</v>
      </c>
      <c r="B62" s="899"/>
      <c r="C62" s="48">
        <f>E28</f>
        <v>23</v>
      </c>
      <c r="D62" s="49" t="s">
        <v>66</v>
      </c>
      <c r="F62" s="969" t="s">
        <v>76</v>
      </c>
      <c r="G62" s="969"/>
      <c r="H62" s="969"/>
      <c r="I62" s="702">
        <v>207463.82</v>
      </c>
      <c r="J62" s="701"/>
      <c r="M62" s="2"/>
      <c r="R62" s="187"/>
      <c r="S62" s="170"/>
      <c r="T62" s="170"/>
      <c r="U62" s="170"/>
      <c r="V62" s="170"/>
      <c r="W62" s="189" t="s">
        <v>68</v>
      </c>
      <c r="X62" s="920">
        <f>ROUND(T61/X61,6)</f>
        <v>0</v>
      </c>
      <c r="Y62" s="920"/>
    </row>
    <row r="63" spans="1:25" ht="19.5" customHeight="1" x14ac:dyDescent="0.25">
      <c r="A63" s="51"/>
      <c r="H63" s="53" t="s">
        <v>68</v>
      </c>
      <c r="I63" s="945">
        <f>IFERROR(ROUND(C62/I62,6),0)</f>
        <v>1.11E-4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x14ac:dyDescent="0.25">
      <c r="A65" s="899" t="s">
        <v>73</v>
      </c>
      <c r="B65" s="899"/>
      <c r="C65" s="48">
        <f>E28</f>
        <v>23</v>
      </c>
      <c r="D65" s="970" t="s">
        <v>546</v>
      </c>
      <c r="E65" s="970"/>
      <c r="F65" s="970"/>
      <c r="G65" s="970"/>
      <c r="H65" s="970"/>
      <c r="I65" s="702">
        <v>178612.82</v>
      </c>
      <c r="J65" s="701"/>
      <c r="M65" s="2"/>
      <c r="R65" s="190"/>
      <c r="S65" s="170"/>
      <c r="T65" s="170"/>
      <c r="U65" s="170"/>
      <c r="V65" s="170"/>
      <c r="W65" s="189" t="s">
        <v>68</v>
      </c>
      <c r="X65" s="920">
        <f>ROUND(T64/X64,6)</f>
        <v>0</v>
      </c>
      <c r="Y65" s="920"/>
    </row>
    <row r="66" spans="1:26" ht="19.5" customHeight="1" x14ac:dyDescent="0.25">
      <c r="A66" s="51"/>
      <c r="H66" s="53" t="s">
        <v>68</v>
      </c>
      <c r="I66" s="945">
        <f>IFERROR(ROUND(C65/I65,6),0)</f>
        <v>1.2899999999999999E-4</v>
      </c>
      <c r="J66" s="945"/>
      <c r="M66" s="2"/>
      <c r="R66" s="187"/>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169"/>
      <c r="V67" s="193">
        <f>G68</f>
        <v>45629593</v>
      </c>
      <c r="W67" s="173" t="s">
        <v>81</v>
      </c>
      <c r="X67" s="176">
        <f>X62</f>
        <v>0</v>
      </c>
      <c r="Y67" s="271">
        <f>ROUND(V67*X67,2)</f>
        <v>0</v>
      </c>
    </row>
    <row r="68" spans="1:26" ht="30.75" customHeight="1" x14ac:dyDescent="0.25">
      <c r="A68" s="946" t="s">
        <v>79</v>
      </c>
      <c r="B68" s="946"/>
      <c r="C68" s="946"/>
      <c r="D68" s="946"/>
      <c r="E68" s="946"/>
      <c r="F68" s="36" t="s">
        <v>80</v>
      </c>
      <c r="G68" s="277">
        <v>45629593</v>
      </c>
      <c r="H68" s="37" t="s">
        <v>81</v>
      </c>
      <c r="I68" s="41">
        <f>I63</f>
        <v>1.11E-4</v>
      </c>
      <c r="J68" s="138">
        <f>ROUND(G68*I68,2)</f>
        <v>5064.88</v>
      </c>
      <c r="M68" s="2"/>
      <c r="R68" s="900" t="s">
        <v>82</v>
      </c>
      <c r="S68" s="900"/>
      <c r="T68" s="177"/>
      <c r="U68" s="169"/>
      <c r="V68" s="194"/>
      <c r="W68" s="173"/>
      <c r="X68" s="176"/>
      <c r="Y68" s="271"/>
    </row>
    <row r="69" spans="1:26" ht="30.75" customHeight="1" x14ac:dyDescent="0.25">
      <c r="A69" s="947" t="s">
        <v>82</v>
      </c>
      <c r="B69" s="947"/>
      <c r="C69" s="107"/>
      <c r="D69" s="107"/>
      <c r="E69" s="42"/>
      <c r="F69" s="36"/>
      <c r="G69" s="63"/>
      <c r="H69" s="37"/>
      <c r="I69" s="41"/>
      <c r="J69" s="62"/>
      <c r="M69" s="2"/>
      <c r="R69" s="923" t="s">
        <v>162</v>
      </c>
      <c r="S69" s="917"/>
      <c r="T69" s="917"/>
      <c r="U69" s="169"/>
      <c r="V69" s="195">
        <f>G70</f>
        <v>0</v>
      </c>
      <c r="W69" s="173" t="s">
        <v>81</v>
      </c>
      <c r="X69" s="176">
        <f>X53</f>
        <v>0</v>
      </c>
      <c r="Y69" s="266">
        <f t="shared" ref="Y69:Y71" si="11">ROUND(V69*X69,2)</f>
        <v>0</v>
      </c>
    </row>
    <row r="70" spans="1:26" ht="17.25" customHeight="1" x14ac:dyDescent="0.25">
      <c r="A70" s="948" t="s">
        <v>83</v>
      </c>
      <c r="B70" s="948"/>
      <c r="C70" s="948"/>
      <c r="D70" s="948"/>
      <c r="E70" s="948"/>
      <c r="F70" s="36" t="s">
        <v>84</v>
      </c>
      <c r="G70" s="277">
        <f>INDEX('[1]Detail 2025-26 FEFP Second'!L$1:L$65536,MATCH(A1,'[1]Detail 2025-26 FEFP Second'!A$1:A$65536))</f>
        <v>0</v>
      </c>
      <c r="H70" s="37" t="s">
        <v>81</v>
      </c>
      <c r="I70" s="41">
        <f>I54</f>
        <v>1.11E-4</v>
      </c>
      <c r="J70" s="138">
        <f>ROUND(G70*I70,2)</f>
        <v>0</v>
      </c>
      <c r="M70" s="2"/>
      <c r="R70" s="862" t="s">
        <v>163</v>
      </c>
      <c r="S70" s="862"/>
      <c r="T70" s="862"/>
      <c r="U70" s="169"/>
      <c r="V70" s="193">
        <f>G71</f>
        <v>18934058</v>
      </c>
      <c r="W70" s="173" t="s">
        <v>81</v>
      </c>
      <c r="X70" s="176">
        <f>X65</f>
        <v>0</v>
      </c>
      <c r="Y70" s="266">
        <f t="shared" si="11"/>
        <v>0</v>
      </c>
    </row>
    <row r="71" spans="1:26" ht="19.5" customHeight="1" x14ac:dyDescent="0.25">
      <c r="A71" s="898" t="s">
        <v>85</v>
      </c>
      <c r="B71" s="898"/>
      <c r="C71" s="898"/>
      <c r="D71" s="898"/>
      <c r="E71" s="898"/>
      <c r="F71" s="36" t="s">
        <v>86</v>
      </c>
      <c r="G71" s="277">
        <v>18934058</v>
      </c>
      <c r="H71" s="37" t="s">
        <v>81</v>
      </c>
      <c r="I71" s="41">
        <f>I66</f>
        <v>1.2899999999999999E-4</v>
      </c>
      <c r="J71" s="138">
        <f>ROUND(G71*I71,2)</f>
        <v>2442.4899999999998</v>
      </c>
      <c r="M71" s="2"/>
      <c r="R71" s="177" t="s">
        <v>164</v>
      </c>
      <c r="S71" s="177"/>
      <c r="T71" s="177"/>
      <c r="U71" s="169"/>
      <c r="V71" s="171">
        <f>G72</f>
        <v>11300012</v>
      </c>
      <c r="W71" s="173" t="s">
        <v>81</v>
      </c>
      <c r="X71" s="176">
        <f>X59</f>
        <v>0</v>
      </c>
      <c r="Y71" s="266">
        <f t="shared" si="11"/>
        <v>0</v>
      </c>
    </row>
    <row r="72" spans="1:26" ht="19.5" customHeight="1" x14ac:dyDescent="0.25">
      <c r="A72" s="42" t="s">
        <v>87</v>
      </c>
      <c r="B72" s="42"/>
      <c r="C72" s="42"/>
      <c r="D72" s="42"/>
      <c r="E72" s="42"/>
      <c r="F72" s="36" t="s">
        <v>88</v>
      </c>
      <c r="G72" s="277">
        <v>11300012</v>
      </c>
      <c r="H72" s="37" t="s">
        <v>81</v>
      </c>
      <c r="I72" s="41">
        <f>I60</f>
        <v>1.2899999999999999E-4</v>
      </c>
      <c r="J72" s="138">
        <f>ROUND(G72*I72,2)</f>
        <v>1457.7</v>
      </c>
      <c r="M72" s="2"/>
      <c r="R72" s="177" t="s">
        <v>165</v>
      </c>
      <c r="S72" s="177"/>
      <c r="T72" s="177"/>
      <c r="U72" s="169"/>
      <c r="V72" s="196"/>
      <c r="W72" s="173"/>
      <c r="X72" s="176"/>
      <c r="Y72" s="178"/>
    </row>
    <row r="73" spans="1:26" ht="24.75" customHeight="1" x14ac:dyDescent="0.25">
      <c r="A73" s="42" t="s">
        <v>89</v>
      </c>
      <c r="B73" s="42"/>
      <c r="C73" s="42"/>
      <c r="D73" s="42"/>
      <c r="E73" s="42"/>
      <c r="F73" s="36" t="s">
        <v>90</v>
      </c>
      <c r="G73" s="64"/>
      <c r="H73" s="37"/>
      <c r="I73" s="41"/>
      <c r="J73" s="30"/>
      <c r="M73" s="2"/>
      <c r="R73" s="853" t="s">
        <v>91</v>
      </c>
      <c r="S73" s="853"/>
      <c r="T73" s="854" t="s">
        <v>166</v>
      </c>
      <c r="U73" s="855"/>
      <c r="V73" s="855"/>
      <c r="W73" s="855"/>
      <c r="X73" s="855"/>
      <c r="Y73" s="153"/>
    </row>
    <row r="74" spans="1:26" ht="63" customHeight="1" x14ac:dyDescent="0.25">
      <c r="A74" s="856" t="s">
        <v>91</v>
      </c>
      <c r="B74" s="856"/>
      <c r="C74" s="101"/>
      <c r="D74" s="101"/>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69"/>
      <c r="D75" s="69"/>
      <c r="E75" s="65"/>
      <c r="F75" s="65"/>
      <c r="G75" s="65"/>
      <c r="H75" s="65"/>
      <c r="I75" s="65"/>
      <c r="J75" s="129"/>
      <c r="L75" s="66"/>
      <c r="M75" s="2"/>
      <c r="O75" s="36"/>
      <c r="P75" s="36"/>
      <c r="R75" s="859" t="s">
        <v>94</v>
      </c>
      <c r="S75" s="859"/>
      <c r="T75" s="197"/>
      <c r="U75" s="197"/>
      <c r="V75" s="197"/>
      <c r="W75" s="197"/>
      <c r="X75" s="197"/>
      <c r="Y75" s="197"/>
    </row>
    <row r="76" spans="1:26" ht="18.75" customHeight="1" x14ac:dyDescent="0.25">
      <c r="A76" s="839" t="s">
        <v>94</v>
      </c>
      <c r="B76" s="839"/>
      <c r="C76" s="69"/>
      <c r="D76" s="69"/>
      <c r="E76" s="65"/>
      <c r="F76" s="65"/>
      <c r="G76" s="65"/>
      <c r="H76" s="65"/>
      <c r="I76" s="65"/>
      <c r="J76" s="129"/>
      <c r="L76" s="67"/>
      <c r="M76" s="2"/>
      <c r="O76" s="36"/>
      <c r="P76" s="36"/>
      <c r="R76" s="863" t="s">
        <v>95</v>
      </c>
      <c r="S76" s="863"/>
      <c r="T76" s="198"/>
      <c r="U76" s="198"/>
      <c r="V76" s="198"/>
      <c r="W76" s="198"/>
      <c r="X76" s="198"/>
      <c r="Y76" s="197"/>
    </row>
    <row r="77" spans="1:26" ht="18.75" customHeight="1" x14ac:dyDescent="0.25">
      <c r="A77" s="864" t="s">
        <v>95</v>
      </c>
      <c r="B77" s="864"/>
      <c r="C77" s="108"/>
      <c r="D77" s="108"/>
      <c r="E77" s="68"/>
      <c r="F77" s="68"/>
      <c r="G77" s="68"/>
      <c r="H77" s="68"/>
      <c r="I77" s="68"/>
      <c r="J77" s="128"/>
      <c r="L77" s="67"/>
      <c r="M77" s="2"/>
      <c r="O77" s="36"/>
      <c r="P77" s="36"/>
      <c r="R77" s="199" t="s">
        <v>96</v>
      </c>
      <c r="S77" s="199"/>
      <c r="T77" s="197"/>
      <c r="U77" s="197"/>
      <c r="V77" s="197"/>
      <c r="W77" s="197"/>
      <c r="X77" s="197"/>
      <c r="Y77" s="197"/>
    </row>
    <row r="78" spans="1:26" ht="20.25" customHeight="1" x14ac:dyDescent="0.25">
      <c r="A78" s="69" t="s">
        <v>96</v>
      </c>
      <c r="B78" s="69"/>
      <c r="C78" s="69"/>
      <c r="D78" s="69"/>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69"/>
      <c r="D79" s="69"/>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105"/>
      <c r="D80" s="105"/>
      <c r="E80" s="73"/>
      <c r="F80" s="73"/>
      <c r="G80" s="73"/>
      <c r="H80" s="73"/>
      <c r="I80" s="73"/>
      <c r="J80" s="129"/>
      <c r="K80" s="70"/>
      <c r="L80" s="70"/>
      <c r="M80" s="71"/>
      <c r="N80" s="70"/>
      <c r="O80" s="70"/>
      <c r="P80" s="70"/>
      <c r="Q80" s="70"/>
      <c r="R80" s="166"/>
      <c r="S80" s="166"/>
      <c r="T80" s="166"/>
      <c r="U80" s="166"/>
      <c r="V80" s="164"/>
      <c r="W80" s="167"/>
      <c r="X80" s="167" t="s">
        <v>99</v>
      </c>
      <c r="Y80" s="201">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6"/>
      <c r="S81" s="166"/>
      <c r="T81" s="166"/>
      <c r="U81" s="166"/>
      <c r="V81" s="164"/>
      <c r="W81" s="167"/>
      <c r="X81" s="167" t="s">
        <v>100</v>
      </c>
      <c r="Y81" s="201">
        <f>J82</f>
        <v>12903.05</v>
      </c>
      <c r="Z81" s="72"/>
    </row>
    <row r="82" spans="1:26" ht="18.75" customHeight="1" x14ac:dyDescent="0.25">
      <c r="A82" s="33"/>
      <c r="B82" s="33"/>
      <c r="C82" s="33"/>
      <c r="D82" s="33"/>
      <c r="E82" s="33"/>
      <c r="F82" s="33"/>
      <c r="G82" s="31"/>
      <c r="H82" s="34"/>
      <c r="I82" s="34" t="s">
        <v>100</v>
      </c>
      <c r="J82" s="74">
        <v>12903.05</v>
      </c>
      <c r="K82" s="70"/>
      <c r="L82" s="70"/>
      <c r="M82" s="71"/>
      <c r="N82" s="70"/>
      <c r="O82" s="70"/>
      <c r="P82" s="70"/>
      <c r="Q82" s="70"/>
      <c r="R82" s="166"/>
      <c r="S82" s="166"/>
      <c r="T82" s="166"/>
      <c r="U82" s="166"/>
      <c r="V82" s="164"/>
      <c r="W82" s="167"/>
      <c r="X82" s="167"/>
      <c r="Y82" s="202"/>
      <c r="Z82" s="72"/>
    </row>
    <row r="83" spans="1:26" ht="15.75" customHeight="1" x14ac:dyDescent="0.25">
      <c r="A83" s="33"/>
      <c r="B83" s="33"/>
      <c r="C83" s="33"/>
      <c r="D83" s="33"/>
      <c r="E83" s="33"/>
      <c r="F83" s="33"/>
      <c r="G83" s="31"/>
      <c r="H83" s="34"/>
      <c r="I83" s="34"/>
      <c r="J83" s="75"/>
      <c r="K83" s="70"/>
      <c r="L83" s="70"/>
      <c r="M83" s="71"/>
      <c r="N83" s="70"/>
      <c r="O83" s="70"/>
      <c r="P83" s="70"/>
      <c r="Q83" s="70"/>
      <c r="R83" s="860" t="s">
        <v>101</v>
      </c>
      <c r="S83" s="860"/>
      <c r="T83" s="170"/>
      <c r="U83" s="170"/>
      <c r="V83" s="171">
        <f>G84</f>
        <v>58502790</v>
      </c>
      <c r="W83" s="173" t="s">
        <v>81</v>
      </c>
      <c r="X83" s="176">
        <f>IFERROR(ROUND(Y80/Y81,6),0)</f>
        <v>0</v>
      </c>
      <c r="Y83" s="266">
        <f>ROUND(V83*X83,2)</f>
        <v>0</v>
      </c>
      <c r="Z83" s="72"/>
    </row>
    <row r="84" spans="1:26" ht="21" customHeight="1" x14ac:dyDescent="0.25">
      <c r="A84" s="861" t="s">
        <v>101</v>
      </c>
      <c r="B84" s="861"/>
      <c r="C84" s="52"/>
      <c r="D84" s="52"/>
      <c r="G84" s="121">
        <v>58502790</v>
      </c>
      <c r="H84" s="37" t="s">
        <v>81</v>
      </c>
      <c r="I84" s="41">
        <f>IFERROR(ROUND(J81/J82,6),0)</f>
        <v>0</v>
      </c>
      <c r="J84" s="62">
        <f>ROUND(G84*I84,2)</f>
        <v>0</v>
      </c>
      <c r="K84" s="70"/>
      <c r="L84" s="70"/>
      <c r="M84" s="71"/>
      <c r="N84" s="70"/>
      <c r="O84" s="70"/>
      <c r="P84" s="70"/>
      <c r="Q84" s="70"/>
      <c r="R84" s="862" t="s">
        <v>167</v>
      </c>
      <c r="S84" s="862"/>
      <c r="T84" s="862"/>
      <c r="U84" s="169"/>
      <c r="V84" s="274"/>
      <c r="W84" s="173"/>
      <c r="X84" s="176"/>
      <c r="Y84" s="266"/>
    </row>
    <row r="85" spans="1:26" ht="17.25" customHeight="1" x14ac:dyDescent="0.25">
      <c r="A85" s="898" t="s">
        <v>102</v>
      </c>
      <c r="B85" s="898"/>
      <c r="C85" s="898"/>
      <c r="D85" s="898"/>
      <c r="E85" s="898"/>
      <c r="F85" s="36" t="s">
        <v>103</v>
      </c>
      <c r="G85" s="121">
        <v>268816278</v>
      </c>
      <c r="H85" s="37" t="s">
        <v>81</v>
      </c>
      <c r="I85" s="41">
        <f>I57</f>
        <v>1.06E-4</v>
      </c>
      <c r="J85" s="138">
        <f>ROUND(G85*I85,2)</f>
        <v>28494.53</v>
      </c>
      <c r="K85" s="70"/>
      <c r="L85" s="70"/>
      <c r="M85" s="71"/>
      <c r="N85" s="70"/>
      <c r="O85" s="70"/>
      <c r="P85" s="70"/>
      <c r="Q85" s="70"/>
      <c r="R85" s="862" t="s">
        <v>168</v>
      </c>
      <c r="S85" s="862"/>
      <c r="T85" s="862"/>
      <c r="U85" s="169"/>
      <c r="V85" s="171">
        <f>G85</f>
        <v>268816278</v>
      </c>
      <c r="W85" s="173" t="s">
        <v>81</v>
      </c>
      <c r="X85" s="176">
        <f>X56</f>
        <v>0</v>
      </c>
      <c r="Y85" s="266">
        <f t="shared" ref="Y85:Y87" si="12">ROUND(V85*X85,2)</f>
        <v>0</v>
      </c>
    </row>
    <row r="86" spans="1:26" ht="14.25" customHeight="1" x14ac:dyDescent="0.25">
      <c r="A86" s="898" t="s">
        <v>104</v>
      </c>
      <c r="B86" s="898"/>
      <c r="C86" s="898"/>
      <c r="D86" s="898"/>
      <c r="E86" s="898"/>
      <c r="F86" s="36" t="s">
        <v>103</v>
      </c>
      <c r="G86" s="139">
        <v>0</v>
      </c>
      <c r="H86" s="37" t="s">
        <v>81</v>
      </c>
      <c r="I86" s="41">
        <f>I57</f>
        <v>1.06E-4</v>
      </c>
      <c r="J86" s="138">
        <f>ROUND(G86*I86,2)</f>
        <v>0</v>
      </c>
      <c r="K86" s="70"/>
      <c r="L86" s="71"/>
      <c r="M86" s="76"/>
      <c r="N86" s="76"/>
      <c r="O86" s="76"/>
      <c r="P86" s="76"/>
      <c r="Q86" s="70"/>
      <c r="R86" s="862" t="s">
        <v>169</v>
      </c>
      <c r="S86" s="862"/>
      <c r="T86" s="862"/>
      <c r="U86" s="169"/>
      <c r="V86" s="203">
        <v>0</v>
      </c>
      <c r="W86" s="173" t="s">
        <v>81</v>
      </c>
      <c r="X86" s="176">
        <f>X56</f>
        <v>0</v>
      </c>
      <c r="Y86" s="266">
        <f t="shared" si="12"/>
        <v>0</v>
      </c>
    </row>
    <row r="87" spans="1:26" ht="18" customHeight="1" x14ac:dyDescent="0.25">
      <c r="A87" s="898" t="s">
        <v>105</v>
      </c>
      <c r="B87" s="898"/>
      <c r="C87" s="898"/>
      <c r="D87" s="898"/>
      <c r="E87" s="898"/>
      <c r="F87" s="36" t="s">
        <v>84</v>
      </c>
      <c r="G87" s="139">
        <v>0</v>
      </c>
      <c r="H87" s="37" t="s">
        <v>81</v>
      </c>
      <c r="I87" s="41">
        <f>I54</f>
        <v>1.11E-4</v>
      </c>
      <c r="J87" s="62">
        <f>ROUND(G87*I87,2)</f>
        <v>0</v>
      </c>
      <c r="K87" s="77"/>
      <c r="L87" s="70"/>
      <c r="M87" s="71"/>
      <c r="N87" s="70"/>
      <c r="O87" s="70"/>
      <c r="P87" s="70"/>
      <c r="Q87" s="70"/>
      <c r="R87" s="177" t="s">
        <v>170</v>
      </c>
      <c r="S87" s="177"/>
      <c r="T87" s="177"/>
      <c r="U87" s="169"/>
      <c r="V87" s="203">
        <v>0</v>
      </c>
      <c r="W87" s="173"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703" t="s">
        <v>109</v>
      </c>
      <c r="H89" s="703"/>
      <c r="I89" s="703"/>
      <c r="J89" s="703"/>
      <c r="K89" s="70"/>
      <c r="L89" s="70"/>
      <c r="M89" s="71"/>
      <c r="N89" s="70"/>
      <c r="O89" s="70"/>
      <c r="P89" s="70"/>
      <c r="Q89" s="70"/>
      <c r="R89" s="931" t="s">
        <v>107</v>
      </c>
      <c r="S89" s="931"/>
      <c r="T89" s="876" t="s">
        <v>172</v>
      </c>
      <c r="U89" s="932"/>
      <c r="V89" s="933" t="s">
        <v>109</v>
      </c>
      <c r="W89" s="933"/>
      <c r="X89" s="933"/>
      <c r="Y89" s="933"/>
    </row>
    <row r="90" spans="1:26" ht="18.75" customHeight="1" x14ac:dyDescent="0.25">
      <c r="A90" s="33" t="s">
        <v>110</v>
      </c>
      <c r="B90" s="80">
        <f>I12+I13+I18+I21+I24</f>
        <v>0</v>
      </c>
      <c r="C90" s="80"/>
      <c r="D90" s="869">
        <f>I6</f>
        <v>1.0355000000000001</v>
      </c>
      <c r="E90" s="869"/>
      <c r="F90" s="869"/>
      <c r="G90" s="122">
        <f>'[1]Detail 2025-26 FEFP Second'!AB3</f>
        <v>958.42</v>
      </c>
      <c r="H90" s="47" t="s">
        <v>68</v>
      </c>
      <c r="I90" s="706">
        <f>ROUND(B90*D90*G90,2)</f>
        <v>0</v>
      </c>
      <c r="J90" s="81"/>
      <c r="K90" s="70"/>
      <c r="L90" s="70"/>
      <c r="M90" s="71"/>
      <c r="N90" s="70"/>
      <c r="O90" s="70"/>
      <c r="P90" s="70"/>
      <c r="Q90" s="70"/>
      <c r="R90" s="166" t="s">
        <v>110</v>
      </c>
      <c r="S90" s="204">
        <f>X12+X13+X18+X21+X24</f>
        <v>0</v>
      </c>
      <c r="T90" s="924">
        <f>X6</f>
        <v>1.0355000000000001</v>
      </c>
      <c r="U90" s="924"/>
      <c r="V90" s="122">
        <f>G90</f>
        <v>958.42</v>
      </c>
      <c r="W90" s="182" t="s">
        <v>68</v>
      </c>
      <c r="X90" s="272">
        <f>ROUND(S90*T90*V90,2)</f>
        <v>0</v>
      </c>
      <c r="Y90" s="205"/>
    </row>
    <row r="91" spans="1:26" ht="21" customHeight="1" x14ac:dyDescent="0.25">
      <c r="A91" s="82" t="s">
        <v>60</v>
      </c>
      <c r="B91" s="80">
        <f>I14+I15+I19+I22+I25</f>
        <v>23.412500000000001</v>
      </c>
      <c r="C91" s="80"/>
      <c r="D91" s="869">
        <f>I6</f>
        <v>1.0355000000000001</v>
      </c>
      <c r="E91" s="869"/>
      <c r="F91" s="869"/>
      <c r="G91" s="122">
        <f>'[1]Detail 2025-26 FEFP Second'!AC3</f>
        <v>915.09</v>
      </c>
      <c r="H91" s="47" t="s">
        <v>68</v>
      </c>
      <c r="I91" s="707">
        <f>ROUND(B91*D91*G91,2)</f>
        <v>22185.119999999999</v>
      </c>
      <c r="K91" s="70"/>
      <c r="L91" s="70"/>
      <c r="M91" s="71"/>
      <c r="N91" s="70"/>
      <c r="O91" s="70"/>
      <c r="P91" s="70"/>
      <c r="Q91" s="70"/>
      <c r="R91" s="206" t="s">
        <v>60</v>
      </c>
      <c r="S91" s="204">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141">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84" t="s">
        <v>111</v>
      </c>
      <c r="B93" s="109">
        <f>SUM(B90:B92)</f>
        <v>23.412500000000001</v>
      </c>
      <c r="C93" s="109"/>
      <c r="D93" s="109"/>
      <c r="E93" s="939" t="s">
        <v>112</v>
      </c>
      <c r="F93" s="939"/>
      <c r="G93" s="939"/>
      <c r="H93" s="939"/>
      <c r="I93" s="939"/>
      <c r="J93" s="127">
        <f>IF(A1=75,0,I92+I91+I90)</f>
        <v>22185.119999999999</v>
      </c>
      <c r="K93" s="70"/>
      <c r="L93" s="70"/>
      <c r="M93" s="71"/>
      <c r="N93" s="70"/>
      <c r="O93" s="70"/>
      <c r="P93" s="70"/>
      <c r="Q93" s="70"/>
      <c r="R93" s="209"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36" t="s">
        <v>115</v>
      </c>
      <c r="G95" s="941"/>
      <c r="H95" s="941"/>
      <c r="I95" s="941"/>
      <c r="J95" s="941"/>
      <c r="K95" s="70"/>
      <c r="L95" s="70"/>
      <c r="M95" s="71"/>
      <c r="N95" s="70"/>
      <c r="O95" s="70"/>
      <c r="P95" s="70"/>
      <c r="Q95" s="70"/>
      <c r="R95" s="862" t="s">
        <v>173</v>
      </c>
      <c r="S95" s="862"/>
      <c r="T95" s="862"/>
      <c r="U95" s="169"/>
      <c r="V95" s="928"/>
      <c r="W95" s="928"/>
      <c r="X95" s="928"/>
      <c r="Y95" s="928"/>
    </row>
    <row r="96" spans="1:26" ht="15" customHeight="1" x14ac:dyDescent="0.25">
      <c r="B96" s="42"/>
      <c r="C96" s="123" t="s">
        <v>572</v>
      </c>
      <c r="D96" s="123" t="s">
        <v>573</v>
      </c>
      <c r="E96" s="872" t="s">
        <v>157</v>
      </c>
      <c r="F96" s="872"/>
      <c r="G96" s="872"/>
      <c r="H96" s="36"/>
      <c r="I96" s="36"/>
      <c r="J96" s="36"/>
      <c r="K96" s="70"/>
      <c r="L96" s="70"/>
      <c r="M96" s="71"/>
      <c r="N96" s="70"/>
      <c r="O96" s="70"/>
      <c r="P96" s="70"/>
      <c r="Q96" s="70"/>
      <c r="R96" s="929" t="s">
        <v>116</v>
      </c>
      <c r="S96" s="929"/>
      <c r="T96" s="930">
        <f>IF(I111=1,E97,0)</f>
        <v>0</v>
      </c>
      <c r="U96" s="930"/>
      <c r="V96" s="930"/>
      <c r="W96" s="211" t="s">
        <v>117</v>
      </c>
      <c r="X96" s="212">
        <f>I97</f>
        <v>586</v>
      </c>
      <c r="Y96" s="266">
        <f>ROUND(X96*T96,2)</f>
        <v>0</v>
      </c>
    </row>
    <row r="97" spans="1:25" ht="17.25" customHeight="1" x14ac:dyDescent="0.25">
      <c r="A97" s="912" t="s">
        <v>116</v>
      </c>
      <c r="B97" s="912"/>
      <c r="C97" s="125">
        <v>4</v>
      </c>
      <c r="D97" s="125">
        <v>0</v>
      </c>
      <c r="E97" s="942">
        <f>(C97+D97)</f>
        <v>4</v>
      </c>
      <c r="F97" s="942"/>
      <c r="G97" s="942"/>
      <c r="H97" s="85" t="s">
        <v>117</v>
      </c>
      <c r="I97" s="130">
        <v>586</v>
      </c>
      <c r="J97" s="138">
        <f>ROUND(I97*E97,2)</f>
        <v>2344</v>
      </c>
      <c r="K97" s="70"/>
      <c r="L97" s="70"/>
      <c r="M97" s="71"/>
      <c r="N97" s="70"/>
      <c r="O97" s="70"/>
      <c r="P97" s="70"/>
      <c r="Q97" s="70"/>
      <c r="R97" s="929" t="s">
        <v>118</v>
      </c>
      <c r="S97" s="929"/>
      <c r="T97" s="930">
        <f>IF(I112=1,E98,0)</f>
        <v>0</v>
      </c>
      <c r="U97" s="930"/>
      <c r="V97" s="930"/>
      <c r="W97" s="211" t="s">
        <v>117</v>
      </c>
      <c r="X97" s="212">
        <f>I98</f>
        <v>1811</v>
      </c>
      <c r="Y97" s="266">
        <f>ROUND(X97*T97,2)</f>
        <v>0</v>
      </c>
    </row>
    <row r="98" spans="1:25" ht="17.25" customHeight="1" x14ac:dyDescent="0.25">
      <c r="A98" s="912" t="s">
        <v>118</v>
      </c>
      <c r="B98" s="912"/>
      <c r="C98" s="273">
        <v>0</v>
      </c>
      <c r="D98" s="273"/>
      <c r="E98" s="943">
        <f>(C98+D98)/2</f>
        <v>0</v>
      </c>
      <c r="F98" s="943"/>
      <c r="G98" s="943"/>
      <c r="H98" s="85" t="s">
        <v>117</v>
      </c>
      <c r="I98" s="130">
        <v>1811</v>
      </c>
      <c r="J98" s="62">
        <f>ROUND(I98*E98,2)</f>
        <v>0</v>
      </c>
      <c r="K98" s="70"/>
      <c r="L98" s="70"/>
      <c r="M98" s="71"/>
      <c r="N98" s="70"/>
      <c r="O98" s="70"/>
      <c r="P98" s="70"/>
      <c r="Q98" s="70"/>
      <c r="R98" s="222"/>
      <c r="S98" s="222"/>
      <c r="T98" s="275"/>
      <c r="U98" s="275"/>
      <c r="V98" s="275"/>
      <c r="W98" s="221"/>
      <c r="X98" s="212"/>
      <c r="Y98" s="271"/>
    </row>
    <row r="99" spans="1:25" ht="27.75" customHeight="1" x14ac:dyDescent="0.25">
      <c r="A99" s="33"/>
      <c r="B99" s="33"/>
      <c r="C99" s="110"/>
      <c r="D99" s="110"/>
      <c r="E99" s="124"/>
      <c r="F99" s="124"/>
      <c r="G99" s="124"/>
      <c r="H99" s="85"/>
      <c r="I99" s="86"/>
      <c r="J99" s="30"/>
      <c r="K99" s="70"/>
      <c r="L99" s="70"/>
      <c r="M99" s="71"/>
      <c r="N99" s="70"/>
      <c r="O99" s="70"/>
      <c r="P99" s="70"/>
      <c r="Q99" s="70"/>
      <c r="R99" s="222"/>
      <c r="S99" s="222"/>
      <c r="T99" s="275"/>
      <c r="U99" s="275"/>
      <c r="V99" s="275"/>
      <c r="W99" s="221"/>
      <c r="X99" s="212"/>
      <c r="Y99" s="271"/>
    </row>
    <row r="100" spans="1:25" ht="14.25" customHeight="1" x14ac:dyDescent="0.25">
      <c r="A100" s="898" t="s">
        <v>119</v>
      </c>
      <c r="B100" s="898"/>
      <c r="C100" s="898"/>
      <c r="D100" s="898"/>
      <c r="E100" s="898"/>
      <c r="F100" s="37" t="s">
        <v>120</v>
      </c>
      <c r="G100" s="868"/>
      <c r="H100" s="868"/>
      <c r="I100" s="868"/>
      <c r="J100" s="868"/>
      <c r="K100" s="70"/>
      <c r="L100" s="70"/>
      <c r="M100" s="71"/>
      <c r="N100" s="70"/>
      <c r="O100" s="70"/>
      <c r="P100" s="70"/>
      <c r="Q100" s="70"/>
      <c r="R100" s="862" t="s">
        <v>174</v>
      </c>
      <c r="S100" s="862"/>
      <c r="T100" s="862"/>
      <c r="U100" s="173"/>
      <c r="V100" s="876"/>
      <c r="W100" s="876"/>
      <c r="X100" s="876"/>
      <c r="Y100" s="876"/>
    </row>
    <row r="101" spans="1:25" ht="53.25" customHeight="1" x14ac:dyDescent="0.25">
      <c r="A101" s="949" t="s">
        <v>121</v>
      </c>
      <c r="B101" s="949"/>
      <c r="C101" s="87"/>
      <c r="D101" s="870" t="s">
        <v>122</v>
      </c>
      <c r="E101" s="870"/>
      <c r="F101" s="870"/>
      <c r="G101" s="950" t="s">
        <v>123</v>
      </c>
      <c r="H101" s="950"/>
      <c r="I101" s="45" t="s">
        <v>124</v>
      </c>
      <c r="J101" s="87" t="s">
        <v>125</v>
      </c>
      <c r="K101" s="70"/>
      <c r="L101" s="70"/>
      <c r="M101" s="70"/>
      <c r="N101" s="70"/>
      <c r="O101" s="70"/>
      <c r="P101" s="70"/>
      <c r="Q101" s="70"/>
      <c r="R101" s="936" t="s">
        <v>121</v>
      </c>
      <c r="S101" s="936"/>
      <c r="T101" s="937" t="s">
        <v>122</v>
      </c>
      <c r="U101" s="937"/>
      <c r="V101" s="938" t="s">
        <v>123</v>
      </c>
      <c r="W101" s="938"/>
      <c r="X101" s="180" t="s">
        <v>124</v>
      </c>
      <c r="Y101" s="213" t="s">
        <v>125</v>
      </c>
    </row>
    <row r="102" spans="1:25" ht="16.5" customHeight="1" x14ac:dyDescent="0.25">
      <c r="A102" s="861" t="s">
        <v>126</v>
      </c>
      <c r="B102" s="861"/>
      <c r="C102" s="52"/>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52"/>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105"/>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37"/>
      <c r="D105" s="37"/>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92" t="s">
        <v>130</v>
      </c>
      <c r="G106" s="916"/>
      <c r="H106" s="916"/>
      <c r="I106" s="916"/>
      <c r="J106" s="93"/>
      <c r="K106" s="94"/>
      <c r="L106" s="94"/>
      <c r="M106" s="94"/>
      <c r="N106" s="94"/>
      <c r="O106" s="94"/>
      <c r="P106" s="94"/>
      <c r="Q106" s="94"/>
      <c r="R106" s="862" t="s">
        <v>175</v>
      </c>
      <c r="S106" s="862"/>
      <c r="T106" s="862"/>
      <c r="U106" s="218"/>
      <c r="V106" s="944"/>
      <c r="W106" s="944"/>
      <c r="X106" s="944"/>
      <c r="Y106" s="157">
        <v>0</v>
      </c>
    </row>
    <row r="107" spans="1:25" ht="30" customHeight="1" thickBot="1" x14ac:dyDescent="0.3">
      <c r="A107" s="912" t="s">
        <v>125</v>
      </c>
      <c r="B107" s="912"/>
      <c r="C107" s="912"/>
      <c r="D107" s="912"/>
      <c r="E107" s="912"/>
      <c r="F107" s="912"/>
      <c r="G107" s="912"/>
      <c r="H107" s="912"/>
      <c r="I107" s="912"/>
      <c r="J107" s="95">
        <f>SUM(J106,J105,J98,J97,J93,J86,J85,J71,J70,J68,J33,J72,J50,J87,J84)</f>
        <v>202784.12</v>
      </c>
      <c r="R107" s="911" t="s">
        <v>125</v>
      </c>
      <c r="S107" s="911"/>
      <c r="T107" s="911"/>
      <c r="U107" s="911"/>
      <c r="V107" s="911"/>
      <c r="W107" s="911"/>
      <c r="X107" s="911"/>
      <c r="Y107" s="219">
        <f>SUM(Y106,Y105,Y97,Y96,Y93,Y86,Y85,Y84,Y70,Y69,Y67,Y33,Y71,Y50,Y87,Y83)</f>
        <v>0</v>
      </c>
    </row>
    <row r="108" spans="1:25" ht="15.75" customHeight="1" thickTop="1" x14ac:dyDescent="0.25">
      <c r="A108" s="868"/>
      <c r="B108" s="868"/>
      <c r="C108" s="868"/>
      <c r="D108" s="868"/>
      <c r="E108" s="868"/>
      <c r="F108" s="868"/>
      <c r="G108" s="868"/>
      <c r="H108" s="868"/>
      <c r="I108" s="868"/>
      <c r="J108" s="868"/>
      <c r="R108" s="876"/>
      <c r="S108" s="876"/>
      <c r="T108" s="876"/>
      <c r="U108" s="876"/>
      <c r="V108" s="876"/>
      <c r="W108" s="876"/>
      <c r="X108" s="876"/>
      <c r="Y108" s="876"/>
    </row>
    <row r="109" spans="1:25" ht="17.25" customHeight="1" thickBot="1" x14ac:dyDescent="0.3">
      <c r="A109" s="898" t="s">
        <v>131</v>
      </c>
      <c r="B109" s="898"/>
      <c r="C109" s="898"/>
      <c r="D109" s="898"/>
      <c r="E109" s="898"/>
      <c r="F109" s="868"/>
      <c r="G109" s="868"/>
      <c r="H109" s="868"/>
      <c r="I109" s="2" t="s">
        <v>132</v>
      </c>
      <c r="J109" s="96">
        <f>J107-J38</f>
        <v>188013.02</v>
      </c>
      <c r="R109" s="170" t="s">
        <v>176</v>
      </c>
      <c r="S109" s="170"/>
      <c r="T109" s="170"/>
      <c r="U109" s="170"/>
      <c r="V109" s="170"/>
      <c r="W109" s="170"/>
      <c r="X109" s="170"/>
      <c r="Y109" s="220">
        <f>Y107-Y38</f>
        <v>0</v>
      </c>
    </row>
    <row r="110" spans="1:25" ht="18.75" customHeight="1" thickTop="1" x14ac:dyDescent="0.25">
      <c r="A110" s="898" t="s">
        <v>133</v>
      </c>
      <c r="B110" s="898"/>
      <c r="C110" s="898"/>
      <c r="D110" s="898"/>
      <c r="E110" s="898"/>
      <c r="F110" s="898"/>
      <c r="G110" s="898"/>
      <c r="H110" s="898"/>
      <c r="I110" s="42" t="s">
        <v>134</v>
      </c>
      <c r="J110" s="72"/>
      <c r="R110" s="953" t="s">
        <v>136</v>
      </c>
      <c r="S110" s="953"/>
      <c r="T110" s="953"/>
      <c r="U110" s="953"/>
      <c r="V110" s="953"/>
      <c r="W110" s="953"/>
      <c r="X110" s="953"/>
      <c r="Y110" s="953"/>
    </row>
    <row r="111" spans="1:25" ht="15.75" customHeight="1" x14ac:dyDescent="0.25">
      <c r="A111" s="899" t="s">
        <v>135</v>
      </c>
      <c r="B111" s="899"/>
      <c r="C111" s="899"/>
      <c r="D111" s="899"/>
      <c r="E111" s="899"/>
      <c r="F111" s="899"/>
      <c r="G111" s="899"/>
      <c r="H111" s="899"/>
      <c r="I111" s="97"/>
      <c r="J111" s="46">
        <f>Y109</f>
        <v>0</v>
      </c>
      <c r="R111" s="952" t="s">
        <v>177</v>
      </c>
      <c r="S111" s="952"/>
      <c r="T111" s="952"/>
      <c r="U111" s="952"/>
      <c r="V111" s="952"/>
      <c r="W111" s="952"/>
      <c r="X111" s="952"/>
      <c r="Y111" s="952"/>
    </row>
    <row r="112" spans="1:25" ht="15.75" customHeight="1" x14ac:dyDescent="0.25">
      <c r="A112" s="51"/>
      <c r="B112" s="51"/>
      <c r="C112" s="51"/>
      <c r="D112" s="51"/>
      <c r="E112" s="51"/>
      <c r="F112" s="51"/>
      <c r="G112" s="51"/>
      <c r="H112" s="602"/>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181</v>
      </c>
      <c r="B114" s="293"/>
      <c r="C114" s="293"/>
      <c r="D114" s="293"/>
      <c r="E114" s="293"/>
      <c r="F114" s="293"/>
      <c r="G114" s="293"/>
      <c r="H114" s="709">
        <v>0</v>
      </c>
      <c r="I114" s="710">
        <f>IF(I111=1,J111,J109)</f>
        <v>188013.02</v>
      </c>
      <c r="J114" s="711">
        <f>ROUND(IF(E28=0,0,IF(E28&gt;250,-(((250/E28)*I114)*IF(H114="H",0.02,0.05)),IF(H114="H",-0.02*I114,-0.05*I114))),2)</f>
        <v>-9400.65</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193383.47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12"/>
      <c r="I118" s="713"/>
      <c r="J118" s="718">
        <f>-'Cumulative Payments'!R72</f>
        <v>-172347.30000000002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21036.169999999984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4207.2299999999996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98" t="s">
        <v>146</v>
      </c>
      <c r="B138" s="98"/>
      <c r="C138" s="98"/>
      <c r="D138" s="98"/>
      <c r="E138" s="98"/>
      <c r="F138" s="98"/>
      <c r="G138" s="98"/>
      <c r="H138" s="98"/>
      <c r="I138" s="98"/>
      <c r="J138" s="98"/>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0">
    <mergeCell ref="G53:H53"/>
    <mergeCell ref="G56:H56"/>
    <mergeCell ref="F59:H59"/>
    <mergeCell ref="F62:H62"/>
    <mergeCell ref="D65:H65"/>
    <mergeCell ref="B1:J1"/>
    <mergeCell ref="A3:J3"/>
    <mergeCell ref="A4:B4"/>
    <mergeCell ref="A5:J5"/>
    <mergeCell ref="A11:B11"/>
    <mergeCell ref="E11:F11"/>
    <mergeCell ref="G11:H11"/>
    <mergeCell ref="A12:B12"/>
    <mergeCell ref="E12:F12"/>
    <mergeCell ref="G12:H12"/>
    <mergeCell ref="A6:B6"/>
    <mergeCell ref="E6:F6"/>
    <mergeCell ref="G6:H6"/>
    <mergeCell ref="G9:H9"/>
    <mergeCell ref="A10:B10"/>
    <mergeCell ref="E10:F10"/>
    <mergeCell ref="G10:H10"/>
    <mergeCell ref="A15:B15"/>
    <mergeCell ref="E15:F15"/>
    <mergeCell ref="G15:H15"/>
    <mergeCell ref="A16:B16"/>
    <mergeCell ref="E16:F16"/>
    <mergeCell ref="G16:H16"/>
    <mergeCell ref="A13:B13"/>
    <mergeCell ref="E13:F13"/>
    <mergeCell ref="G13:H13"/>
    <mergeCell ref="A14:B14"/>
    <mergeCell ref="E14:F14"/>
    <mergeCell ref="G14:H14"/>
    <mergeCell ref="A19:B19"/>
    <mergeCell ref="E19:F19"/>
    <mergeCell ref="G19:H19"/>
    <mergeCell ref="A20:B20"/>
    <mergeCell ref="E20:F20"/>
    <mergeCell ref="G20:H20"/>
    <mergeCell ref="A17:B17"/>
    <mergeCell ref="E17:F17"/>
    <mergeCell ref="G17:H17"/>
    <mergeCell ref="A18:B18"/>
    <mergeCell ref="E18:F18"/>
    <mergeCell ref="G18:H18"/>
    <mergeCell ref="A23:B23"/>
    <mergeCell ref="E23:F23"/>
    <mergeCell ref="G23:H23"/>
    <mergeCell ref="A24:B24"/>
    <mergeCell ref="E24:F24"/>
    <mergeCell ref="G24:H24"/>
    <mergeCell ref="A21:B21"/>
    <mergeCell ref="E21:F21"/>
    <mergeCell ref="G21:H21"/>
    <mergeCell ref="A22:B22"/>
    <mergeCell ref="E22:F22"/>
    <mergeCell ref="G22:H22"/>
    <mergeCell ref="A27:B27"/>
    <mergeCell ref="E27:F27"/>
    <mergeCell ref="G27:H27"/>
    <mergeCell ref="A28:B28"/>
    <mergeCell ref="E28:F28"/>
    <mergeCell ref="G28:H28"/>
    <mergeCell ref="A25:B25"/>
    <mergeCell ref="E25:F25"/>
    <mergeCell ref="G25:H25"/>
    <mergeCell ref="A26:B26"/>
    <mergeCell ref="E26:F26"/>
    <mergeCell ref="G26:H26"/>
    <mergeCell ref="A33:F33"/>
    <mergeCell ref="H33:I33"/>
    <mergeCell ref="A35:F35"/>
    <mergeCell ref="A36:E36"/>
    <mergeCell ref="A37:E37"/>
    <mergeCell ref="A38:E38"/>
    <mergeCell ref="A29:I29"/>
    <mergeCell ref="A30:B30"/>
    <mergeCell ref="E30:I30"/>
    <mergeCell ref="A31:B31"/>
    <mergeCell ref="A32:F32"/>
    <mergeCell ref="H32:I32"/>
    <mergeCell ref="A40:B40"/>
    <mergeCell ref="E40:F40"/>
    <mergeCell ref="A41:B49"/>
    <mergeCell ref="E41:F41"/>
    <mergeCell ref="E42:F42"/>
    <mergeCell ref="E43:F43"/>
    <mergeCell ref="E44:F44"/>
    <mergeCell ref="E45:F45"/>
    <mergeCell ref="E46:F46"/>
    <mergeCell ref="E47:F47"/>
    <mergeCell ref="A53:B53"/>
    <mergeCell ref="I54:J54"/>
    <mergeCell ref="A55:J55"/>
    <mergeCell ref="A56:B56"/>
    <mergeCell ref="R111:Y111"/>
    <mergeCell ref="R112:Y112"/>
    <mergeCell ref="E48:F48"/>
    <mergeCell ref="E49:F49"/>
    <mergeCell ref="A50:B50"/>
    <mergeCell ref="E50:F50"/>
    <mergeCell ref="G50:I50"/>
    <mergeCell ref="A52:J52"/>
    <mergeCell ref="I57:J57"/>
    <mergeCell ref="A58:J58"/>
    <mergeCell ref="A59:B59"/>
    <mergeCell ref="I60:J60"/>
    <mergeCell ref="R107:X107"/>
    <mergeCell ref="R108:Y108"/>
    <mergeCell ref="R110:Y110"/>
    <mergeCell ref="A61:J61"/>
    <mergeCell ref="A62:B62"/>
    <mergeCell ref="I63:J63"/>
    <mergeCell ref="A64:J64"/>
    <mergeCell ref="R105:S105"/>
    <mergeCell ref="R106:T106"/>
    <mergeCell ref="V106:X106"/>
    <mergeCell ref="A65:B65"/>
    <mergeCell ref="I66:J66"/>
    <mergeCell ref="A68:E68"/>
    <mergeCell ref="A69:B69"/>
    <mergeCell ref="R104:S104"/>
    <mergeCell ref="T104:U104"/>
    <mergeCell ref="V104:W104"/>
    <mergeCell ref="A70:E70"/>
    <mergeCell ref="A71:E71"/>
    <mergeCell ref="A74:B74"/>
    <mergeCell ref="E74:I74"/>
    <mergeCell ref="A75:B75"/>
    <mergeCell ref="A76:B76"/>
    <mergeCell ref="R103:S103"/>
    <mergeCell ref="A101:B101"/>
    <mergeCell ref="G101:H101"/>
    <mergeCell ref="T103:U103"/>
    <mergeCell ref="V103:W103"/>
    <mergeCell ref="A77:B77"/>
    <mergeCell ref="A79:B79"/>
    <mergeCell ref="A80:B80"/>
    <mergeCell ref="A84:B84"/>
    <mergeCell ref="A85:E85"/>
    <mergeCell ref="A86:E86"/>
    <mergeCell ref="R102:S102"/>
    <mergeCell ref="T102:U102"/>
    <mergeCell ref="V102:W102"/>
    <mergeCell ref="A87:E87"/>
    <mergeCell ref="A88:J88"/>
    <mergeCell ref="R101:S101"/>
    <mergeCell ref="T101:U101"/>
    <mergeCell ref="V101:W101"/>
    <mergeCell ref="E93:I93"/>
    <mergeCell ref="A94:J94"/>
    <mergeCell ref="A95:E95"/>
    <mergeCell ref="G95:J95"/>
    <mergeCell ref="T90:U90"/>
    <mergeCell ref="T91:U91"/>
    <mergeCell ref="A97:B97"/>
    <mergeCell ref="E97:G97"/>
    <mergeCell ref="T97:V97"/>
    <mergeCell ref="R100:T100"/>
    <mergeCell ref="V100:Y100"/>
    <mergeCell ref="E98:G98"/>
    <mergeCell ref="A100:E100"/>
    <mergeCell ref="G100:J100"/>
    <mergeCell ref="R73:S73"/>
    <mergeCell ref="T73:X73"/>
    <mergeCell ref="R74:S74"/>
    <mergeCell ref="R75:S75"/>
    <mergeCell ref="R76:S76"/>
    <mergeCell ref="R78:S78"/>
    <mergeCell ref="R79:S79"/>
    <mergeCell ref="R83:S83"/>
    <mergeCell ref="A98:B98"/>
    <mergeCell ref="T92:U92"/>
    <mergeCell ref="T93:X93"/>
    <mergeCell ref="R94:Y94"/>
    <mergeCell ref="R95:T95"/>
    <mergeCell ref="V95:Y95"/>
    <mergeCell ref="R96:S96"/>
    <mergeCell ref="T96:V96"/>
    <mergeCell ref="R97:S97"/>
    <mergeCell ref="R84:T84"/>
    <mergeCell ref="R85:T85"/>
    <mergeCell ref="R86:T86"/>
    <mergeCell ref="R88:Y88"/>
    <mergeCell ref="R89:S89"/>
    <mergeCell ref="T89:U89"/>
    <mergeCell ref="V89:Y89"/>
    <mergeCell ref="R63:Y63"/>
    <mergeCell ref="R64:S64"/>
    <mergeCell ref="V64:W64"/>
    <mergeCell ref="X64:Y64"/>
    <mergeCell ref="X65:Y65"/>
    <mergeCell ref="R67:T67"/>
    <mergeCell ref="R68:S68"/>
    <mergeCell ref="R69:T69"/>
    <mergeCell ref="R70:T70"/>
    <mergeCell ref="V50:X50"/>
    <mergeCell ref="R51:Y51"/>
    <mergeCell ref="R52:S52"/>
    <mergeCell ref="X52:Y52"/>
    <mergeCell ref="X53:Y53"/>
    <mergeCell ref="R54:Y54"/>
    <mergeCell ref="R55:S55"/>
    <mergeCell ref="X55:Y55"/>
    <mergeCell ref="X56:Y56"/>
    <mergeCell ref="T47:U47"/>
    <mergeCell ref="T48:U48"/>
    <mergeCell ref="T49:U49"/>
    <mergeCell ref="R50:S50"/>
    <mergeCell ref="T50:U50"/>
    <mergeCell ref="A104:B104"/>
    <mergeCell ref="G104:H104"/>
    <mergeCell ref="A105:B105"/>
    <mergeCell ref="A106:E106"/>
    <mergeCell ref="G106:I106"/>
    <mergeCell ref="R57:Y57"/>
    <mergeCell ref="R58:S58"/>
    <mergeCell ref="V58:W58"/>
    <mergeCell ref="X58:Y58"/>
    <mergeCell ref="X59:Y59"/>
    <mergeCell ref="R60:Y60"/>
    <mergeCell ref="R61:S61"/>
    <mergeCell ref="V61:W61"/>
    <mergeCell ref="X61:Y61"/>
    <mergeCell ref="A102:B102"/>
    <mergeCell ref="G102:H102"/>
    <mergeCell ref="A103:B103"/>
    <mergeCell ref="G103:H103"/>
    <mergeCell ref="X62:Y62"/>
    <mergeCell ref="A131:J131"/>
    <mergeCell ref="A132:J132"/>
    <mergeCell ref="A133:J133"/>
    <mergeCell ref="V25:W25"/>
    <mergeCell ref="R26:S26"/>
    <mergeCell ref="T26:U26"/>
    <mergeCell ref="V26:W26"/>
    <mergeCell ref="R27:S27"/>
    <mergeCell ref="T27:U27"/>
    <mergeCell ref="V27:W27"/>
    <mergeCell ref="R28:S28"/>
    <mergeCell ref="T28:U28"/>
    <mergeCell ref="V28:W28"/>
    <mergeCell ref="R29:X29"/>
    <mergeCell ref="T30:X30"/>
    <mergeCell ref="R31:S31"/>
    <mergeCell ref="T31:X31"/>
    <mergeCell ref="R32:U32"/>
    <mergeCell ref="W32:X32"/>
    <mergeCell ref="R33:U33"/>
    <mergeCell ref="W33:X33"/>
    <mergeCell ref="A107:I107"/>
    <mergeCell ref="A108:J108"/>
    <mergeCell ref="A109:E109"/>
    <mergeCell ref="V23:W23"/>
    <mergeCell ref="R24:S24"/>
    <mergeCell ref="T24:U24"/>
    <mergeCell ref="V24:W24"/>
    <mergeCell ref="R25:S25"/>
    <mergeCell ref="T25:U25"/>
    <mergeCell ref="A128:J128"/>
    <mergeCell ref="A129:J129"/>
    <mergeCell ref="A130:J130"/>
    <mergeCell ref="F109:H109"/>
    <mergeCell ref="A110:H110"/>
    <mergeCell ref="A111:H111"/>
    <mergeCell ref="R35:U35"/>
    <mergeCell ref="R36:T36"/>
    <mergeCell ref="R37:T37"/>
    <mergeCell ref="R38:T38"/>
    <mergeCell ref="R40:S40"/>
    <mergeCell ref="T40:U40"/>
    <mergeCell ref="R41:S49"/>
    <mergeCell ref="T42:U42"/>
    <mergeCell ref="T43:U43"/>
    <mergeCell ref="T44:U44"/>
    <mergeCell ref="T45:U45"/>
    <mergeCell ref="T46:U46"/>
    <mergeCell ref="A144:J144"/>
    <mergeCell ref="A145:J145"/>
    <mergeCell ref="A146:J146"/>
    <mergeCell ref="V13:W13"/>
    <mergeCell ref="R14:S14"/>
    <mergeCell ref="T14:U14"/>
    <mergeCell ref="V14:W14"/>
    <mergeCell ref="R15:S15"/>
    <mergeCell ref="T15:U15"/>
    <mergeCell ref="V15:W15"/>
    <mergeCell ref="R16:S16"/>
    <mergeCell ref="T16:U16"/>
    <mergeCell ref="V16:W16"/>
    <mergeCell ref="R17:S17"/>
    <mergeCell ref="T17:U17"/>
    <mergeCell ref="V17:W17"/>
    <mergeCell ref="R18:S18"/>
    <mergeCell ref="T18:U18"/>
    <mergeCell ref="V18:W18"/>
    <mergeCell ref="R19:S19"/>
    <mergeCell ref="T19:U19"/>
    <mergeCell ref="A134:J134"/>
    <mergeCell ref="A135:J135"/>
    <mergeCell ref="A136:J136"/>
    <mergeCell ref="V11:W11"/>
    <mergeCell ref="R12:S12"/>
    <mergeCell ref="T12:U12"/>
    <mergeCell ref="V12:W12"/>
    <mergeCell ref="R13:S13"/>
    <mergeCell ref="T13:U13"/>
    <mergeCell ref="A141:J141"/>
    <mergeCell ref="A142:J142"/>
    <mergeCell ref="A143:J143"/>
    <mergeCell ref="A137:J137"/>
    <mergeCell ref="A139:J139"/>
    <mergeCell ref="A140:J140"/>
    <mergeCell ref="V19:W19"/>
    <mergeCell ref="R20:S20"/>
    <mergeCell ref="T20:U20"/>
    <mergeCell ref="V20:W20"/>
    <mergeCell ref="R21:S21"/>
    <mergeCell ref="T21:U21"/>
    <mergeCell ref="V21:W21"/>
    <mergeCell ref="R22:S22"/>
    <mergeCell ref="T22:U22"/>
    <mergeCell ref="V22:W22"/>
    <mergeCell ref="R23:S23"/>
    <mergeCell ref="T23:U23"/>
    <mergeCell ref="T41:U41"/>
    <mergeCell ref="D89:F89"/>
    <mergeCell ref="D90:F90"/>
    <mergeCell ref="D91:F91"/>
    <mergeCell ref="D92:F92"/>
    <mergeCell ref="D101:F101"/>
    <mergeCell ref="A147:J147"/>
    <mergeCell ref="E96:G96"/>
    <mergeCell ref="S1:Y1"/>
    <mergeCell ref="R2:Y2"/>
    <mergeCell ref="R3:Y3"/>
    <mergeCell ref="R4:S4"/>
    <mergeCell ref="T4:U4"/>
    <mergeCell ref="R5:Y5"/>
    <mergeCell ref="R6:S6"/>
    <mergeCell ref="T6:U6"/>
    <mergeCell ref="V6:W6"/>
    <mergeCell ref="X6:Y6"/>
    <mergeCell ref="V9:W9"/>
    <mergeCell ref="R10:S10"/>
    <mergeCell ref="T10:U10"/>
    <mergeCell ref="V10:W10"/>
    <mergeCell ref="R11:S11"/>
    <mergeCell ref="T11:U11"/>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1445-7265-4724-9D9A-DA2FA2660DCE}">
  <dimension ref="A1:Z207"/>
  <sheetViews>
    <sheetView topLeftCell="A23" workbookViewId="0">
      <selection activeCell="C50" sqref="C50"/>
    </sheetView>
  </sheetViews>
  <sheetFormatPr defaultRowHeight="15.75" x14ac:dyDescent="0.25"/>
  <cols>
    <col min="1" max="1" width="13" style="75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550</v>
      </c>
      <c r="B2" s="102"/>
      <c r="C2" s="102"/>
      <c r="D2" s="102"/>
      <c r="E2" s="100"/>
      <c r="F2" s="100"/>
      <c r="G2" s="100"/>
      <c r="H2" s="100"/>
      <c r="I2" s="100"/>
      <c r="J2" s="100"/>
      <c r="K2" s="6"/>
      <c r="L2" s="6"/>
      <c r="M2" s="6"/>
      <c r="N2" s="6"/>
      <c r="O2" s="6"/>
      <c r="P2" s="6"/>
      <c r="Q2" s="6"/>
      <c r="R2" s="875" t="str">
        <f>Revenue_Estimate_Worksheet_for___________Charter_School</f>
        <v>Revenue Estimate Worksheet: Palmetto Park - 0571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772"/>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773"/>
      <c r="D6" s="773"/>
      <c r="E6" s="983">
        <v>5372.6</v>
      </c>
      <c r="F6" s="983"/>
      <c r="G6" s="984" t="s">
        <v>5</v>
      </c>
      <c r="H6" s="984"/>
      <c r="I6" s="283">
        <f>INDEX('[1]Detail 2025-26 FEFP Second'!$C$1:$C$65536,MATCH('0571'!$A$1,'[1]Detail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773"/>
      <c r="B7" s="773"/>
      <c r="C7" s="773"/>
      <c r="D7" s="773"/>
      <c r="E7" s="227"/>
      <c r="F7" s="227"/>
      <c r="G7" s="774" t="s">
        <v>6</v>
      </c>
      <c r="H7" s="774"/>
      <c r="I7" s="283">
        <f>INDEX('[1]Detail 2025-26 FEFP Second'!$D$1:$D$65536,MATCH('0571'!$A$1,'[1]Detail 2025-26 FEFP Second'!$A$1:$A$65536,0))</f>
        <v>1</v>
      </c>
      <c r="J7" s="12"/>
      <c r="M7" s="2"/>
      <c r="R7" s="747"/>
      <c r="S7" s="747"/>
      <c r="T7" s="748"/>
      <c r="U7" s="748"/>
      <c r="V7" s="749" t="s">
        <v>6</v>
      </c>
      <c r="W7" s="749"/>
      <c r="X7" s="750">
        <v>1</v>
      </c>
      <c r="Y7" s="750"/>
    </row>
    <row r="8" spans="1:25" ht="18" customHeight="1" x14ac:dyDescent="0.25">
      <c r="A8" s="773"/>
      <c r="B8" s="773"/>
      <c r="C8" s="773"/>
      <c r="D8" s="773"/>
      <c r="E8" s="13"/>
      <c r="F8" s="13"/>
      <c r="G8" s="14"/>
      <c r="H8" s="14"/>
      <c r="I8" s="15"/>
      <c r="J8" s="16" t="s">
        <v>7</v>
      </c>
      <c r="M8" s="2"/>
      <c r="R8" s="747"/>
      <c r="S8" s="747"/>
      <c r="T8" s="148"/>
      <c r="U8" s="148"/>
      <c r="V8" s="149"/>
      <c r="W8" s="149"/>
      <c r="X8" s="150"/>
      <c r="Y8" s="151" t="s">
        <v>7</v>
      </c>
    </row>
    <row r="9" spans="1:25" ht="15.75" customHeight="1" x14ac:dyDescent="0.25">
      <c r="A9" s="773"/>
      <c r="B9" s="773"/>
      <c r="C9" s="111" t="s">
        <v>570</v>
      </c>
      <c r="D9" s="112" t="s">
        <v>571</v>
      </c>
      <c r="E9" s="13"/>
      <c r="F9" s="13"/>
      <c r="G9" s="985" t="s">
        <v>8</v>
      </c>
      <c r="H9" s="985"/>
      <c r="I9" s="15" t="s">
        <v>9</v>
      </c>
      <c r="J9" s="16" t="s">
        <v>10</v>
      </c>
      <c r="M9" s="2"/>
      <c r="R9" s="747"/>
      <c r="S9" s="747"/>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2.9</v>
      </c>
      <c r="D14" s="415">
        <v>0</v>
      </c>
      <c r="E14" s="967">
        <f t="shared" si="0"/>
        <v>5.8</v>
      </c>
      <c r="F14" s="967"/>
      <c r="G14" s="968">
        <v>1</v>
      </c>
      <c r="H14" s="968"/>
      <c r="I14" s="578">
        <f t="shared" si="2"/>
        <v>5.8</v>
      </c>
      <c r="J14" s="579">
        <f>ROUND(ROUND(ROUND(I14*$E$6,4)*($I$6),2)*(MAX($I$7,1)),2)</f>
        <v>32267.3</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0.5</v>
      </c>
      <c r="D15" s="415">
        <v>0</v>
      </c>
      <c r="E15" s="967">
        <f t="shared" si="0"/>
        <v>1</v>
      </c>
      <c r="F15" s="967"/>
      <c r="G15" s="968">
        <v>1</v>
      </c>
      <c r="H15" s="968"/>
      <c r="I15" s="578">
        <f t="shared" si="2"/>
        <v>1</v>
      </c>
      <c r="J15" s="579">
        <f t="shared" si="1"/>
        <v>5563.33</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26.72</v>
      </c>
      <c r="D16" s="415">
        <v>0</v>
      </c>
      <c r="E16" s="967">
        <f t="shared" si="0"/>
        <v>53.44</v>
      </c>
      <c r="F16" s="967"/>
      <c r="G16" s="968">
        <v>0.97199999999999998</v>
      </c>
      <c r="H16" s="968"/>
      <c r="I16" s="578">
        <f t="shared" si="2"/>
        <v>51.9437</v>
      </c>
      <c r="J16" s="579">
        <f t="shared" si="1"/>
        <v>288979.8</v>
      </c>
      <c r="M16" s="2"/>
      <c r="R16" s="860" t="s">
        <v>24</v>
      </c>
      <c r="S16" s="860"/>
      <c r="T16" s="891">
        <f t="shared" si="3"/>
        <v>0</v>
      </c>
      <c r="U16" s="891"/>
      <c r="V16" s="896">
        <v>1</v>
      </c>
      <c r="W16" s="896"/>
      <c r="X16" s="156">
        <f t="shared" si="4"/>
        <v>0</v>
      </c>
      <c r="Y16" s="266">
        <f t="shared" si="6"/>
        <v>0</v>
      </c>
    </row>
    <row r="17" spans="1:25" x14ac:dyDescent="0.25">
      <c r="A17" s="861" t="s">
        <v>25</v>
      </c>
      <c r="B17" s="861"/>
      <c r="C17" s="415">
        <v>9.43</v>
      </c>
      <c r="D17" s="415">
        <v>0</v>
      </c>
      <c r="E17" s="967">
        <f t="shared" si="0"/>
        <v>18.86</v>
      </c>
      <c r="F17" s="967"/>
      <c r="G17" s="968">
        <v>0.97199999999999998</v>
      </c>
      <c r="H17" s="968"/>
      <c r="I17" s="578">
        <f t="shared" si="2"/>
        <v>18.331900000000001</v>
      </c>
      <c r="J17" s="579">
        <f t="shared" si="1"/>
        <v>101986.36</v>
      </c>
      <c r="M17" s="2"/>
      <c r="R17" s="860" t="s">
        <v>25</v>
      </c>
      <c r="S17" s="860"/>
      <c r="T17" s="891">
        <f t="shared" si="3"/>
        <v>0</v>
      </c>
      <c r="U17" s="891"/>
      <c r="V17" s="896">
        <v>1</v>
      </c>
      <c r="W17" s="896"/>
      <c r="X17" s="156">
        <f t="shared" si="4"/>
        <v>0</v>
      </c>
      <c r="Y17" s="266">
        <f t="shared" si="6"/>
        <v>0</v>
      </c>
    </row>
    <row r="18" spans="1:25" x14ac:dyDescent="0.25">
      <c r="A18" s="861" t="s">
        <v>26</v>
      </c>
      <c r="B18" s="861"/>
      <c r="C18" s="415"/>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0.6</v>
      </c>
      <c r="D25" s="415">
        <v>0</v>
      </c>
      <c r="E25" s="967">
        <f t="shared" si="0"/>
        <v>1.2</v>
      </c>
      <c r="F25" s="967"/>
      <c r="G25" s="968">
        <v>1.165</v>
      </c>
      <c r="H25" s="968"/>
      <c r="I25" s="578">
        <f t="shared" si="2"/>
        <v>1.3979999999999999</v>
      </c>
      <c r="J25" s="579">
        <f t="shared" si="1"/>
        <v>7777.53</v>
      </c>
      <c r="M25" s="2"/>
      <c r="R25" s="860" t="s">
        <v>33</v>
      </c>
      <c r="S25" s="860"/>
      <c r="T25" s="891">
        <f t="shared" si="3"/>
        <v>0</v>
      </c>
      <c r="U25" s="891"/>
      <c r="V25" s="896">
        <v>1</v>
      </c>
      <c r="W25" s="896"/>
      <c r="X25" s="156">
        <f t="shared" si="4"/>
        <v>0</v>
      </c>
      <c r="Y25" s="266">
        <f t="shared" si="6"/>
        <v>0</v>
      </c>
    </row>
    <row r="26" spans="1:25" x14ac:dyDescent="0.25">
      <c r="A26" s="861" t="s">
        <v>34</v>
      </c>
      <c r="B26" s="861"/>
      <c r="C26" s="415">
        <v>0.9</v>
      </c>
      <c r="D26" s="415">
        <v>0</v>
      </c>
      <c r="E26" s="967">
        <f t="shared" si="0"/>
        <v>1.8</v>
      </c>
      <c r="F26" s="967"/>
      <c r="G26" s="968">
        <v>1.165</v>
      </c>
      <c r="H26" s="968"/>
      <c r="I26" s="578">
        <f t="shared" si="2"/>
        <v>2.097</v>
      </c>
      <c r="J26" s="579">
        <f t="shared" si="1"/>
        <v>11666.3</v>
      </c>
      <c r="M26" s="2"/>
      <c r="R26" s="860" t="s">
        <v>34</v>
      </c>
      <c r="S26" s="860"/>
      <c r="T26" s="891">
        <f t="shared" si="3"/>
        <v>0</v>
      </c>
      <c r="U26" s="891"/>
      <c r="V26" s="896">
        <v>1</v>
      </c>
      <c r="W26" s="896"/>
      <c r="X26" s="156">
        <f t="shared" si="4"/>
        <v>0</v>
      </c>
      <c r="Y26" s="266">
        <f t="shared" si="6"/>
        <v>0</v>
      </c>
    </row>
    <row r="27" spans="1:25" x14ac:dyDescent="0.25">
      <c r="A27" s="866" t="s">
        <v>35</v>
      </c>
      <c r="B27" s="866"/>
      <c r="C27" s="416"/>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41.05</v>
      </c>
      <c r="D28" s="126">
        <f>SUM(D12:D27)</f>
        <v>0</v>
      </c>
      <c r="E28" s="966">
        <f>SUM(E12:E27)</f>
        <v>82.1</v>
      </c>
      <c r="F28" s="966"/>
      <c r="G28" s="961"/>
      <c r="H28" s="961"/>
      <c r="I28" s="23">
        <f>SUM(I12:I27)</f>
        <v>80.570599999999985</v>
      </c>
      <c r="J28" s="127">
        <f>SUM(J12:J27)</f>
        <v>448240.62</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736"/>
      <c r="D30" s="736"/>
      <c r="E30" s="857" t="s">
        <v>39</v>
      </c>
      <c r="F30" s="858"/>
      <c r="G30" s="858"/>
      <c r="H30" s="858"/>
      <c r="I30" s="858"/>
      <c r="J30" s="18" t="s">
        <v>40</v>
      </c>
      <c r="L30" s="25"/>
      <c r="M30" s="25"/>
      <c r="R30" s="735" t="s">
        <v>38</v>
      </c>
      <c r="S30" s="735"/>
      <c r="T30" s="854" t="s">
        <v>158</v>
      </c>
      <c r="U30" s="855"/>
      <c r="V30" s="855"/>
      <c r="W30" s="855"/>
      <c r="X30" s="855"/>
      <c r="Y30" s="153" t="s">
        <v>40</v>
      </c>
    </row>
    <row r="31" spans="1:25" ht="20.25" hidden="1" customHeight="1" x14ac:dyDescent="0.25">
      <c r="A31" s="839" t="s">
        <v>41</v>
      </c>
      <c r="B31" s="839"/>
      <c r="C31" s="734"/>
      <c r="D31" s="734"/>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80.570599999999985</v>
      </c>
      <c r="H33" s="961" t="s">
        <v>45</v>
      </c>
      <c r="I33" s="961"/>
      <c r="J33" s="32">
        <f>SUM(J32,J28)</f>
        <v>448240.62</v>
      </c>
      <c r="M33" s="2"/>
      <c r="R33" s="911" t="s">
        <v>44</v>
      </c>
      <c r="S33" s="911"/>
      <c r="T33" s="911"/>
      <c r="U33" s="911"/>
      <c r="V33" s="164" t="e">
        <f>V32+X28</f>
        <v>#REF!</v>
      </c>
      <c r="W33" s="909" t="s">
        <v>45</v>
      </c>
      <c r="X33" s="909"/>
      <c r="Y33" s="165">
        <f>SUM(Y32,Y28)</f>
        <v>0</v>
      </c>
    </row>
    <row r="34" spans="1:25" ht="20.25" customHeight="1" x14ac:dyDescent="0.25">
      <c r="A34" s="756"/>
      <c r="B34" s="756"/>
      <c r="C34" s="756"/>
      <c r="D34" s="756"/>
      <c r="E34" s="756"/>
      <c r="F34" s="756"/>
      <c r="G34" s="31"/>
      <c r="H34" s="771"/>
      <c r="I34" s="771"/>
      <c r="J34" s="35"/>
      <c r="M34" s="2"/>
      <c r="R34" s="755"/>
      <c r="S34" s="755"/>
      <c r="T34" s="755"/>
      <c r="U34" s="755"/>
      <c r="V34" s="164"/>
      <c r="W34" s="754"/>
      <c r="X34" s="754"/>
      <c r="Y34" s="168"/>
    </row>
    <row r="35" spans="1:25" ht="66.75" customHeight="1" x14ac:dyDescent="0.25">
      <c r="A35" s="947" t="s">
        <v>46</v>
      </c>
      <c r="B35" s="947"/>
      <c r="C35" s="947"/>
      <c r="D35" s="947"/>
      <c r="E35" s="947"/>
      <c r="F35" s="947"/>
      <c r="G35" s="766"/>
      <c r="J35" s="267"/>
      <c r="M35" s="2"/>
      <c r="R35" s="900" t="s">
        <v>46</v>
      </c>
      <c r="S35" s="862"/>
      <c r="T35" s="862"/>
      <c r="U35" s="862"/>
      <c r="V35" s="761"/>
      <c r="W35" s="170"/>
      <c r="X35" s="170"/>
      <c r="Y35" s="268"/>
    </row>
    <row r="36" spans="1:25" ht="20.25" customHeight="1" x14ac:dyDescent="0.25">
      <c r="A36" s="861" t="s">
        <v>47</v>
      </c>
      <c r="B36" s="861"/>
      <c r="C36" s="861"/>
      <c r="D36" s="861"/>
      <c r="E36" s="861"/>
      <c r="F36" s="766" t="s">
        <v>48</v>
      </c>
      <c r="G36" s="132">
        <v>281971.68</v>
      </c>
      <c r="H36" s="743" t="s">
        <v>49</v>
      </c>
      <c r="I36" s="38">
        <v>6.6699999999999995E-2</v>
      </c>
      <c r="J36" s="131">
        <f>ROUND(G36*I36,2)</f>
        <v>18807.509999999998</v>
      </c>
      <c r="K36" s="39"/>
      <c r="L36" s="756"/>
      <c r="M36" s="756"/>
      <c r="N36" s="756"/>
      <c r="O36" s="31"/>
      <c r="P36" s="771"/>
      <c r="Q36" s="771"/>
      <c r="R36" s="860" t="s">
        <v>47</v>
      </c>
      <c r="S36" s="860"/>
      <c r="T36" s="860"/>
      <c r="U36" s="761"/>
      <c r="V36" s="172">
        <v>61196.59</v>
      </c>
      <c r="W36" s="745" t="s">
        <v>49</v>
      </c>
      <c r="X36" s="174">
        <v>6.6699999999999995E-2</v>
      </c>
      <c r="Y36" s="266">
        <f>ROUND(V36*X36,2)</f>
        <v>4081.81</v>
      </c>
    </row>
    <row r="37" spans="1:25" ht="20.25" customHeight="1" x14ac:dyDescent="0.25">
      <c r="A37" s="861" t="s">
        <v>50</v>
      </c>
      <c r="B37" s="861"/>
      <c r="C37" s="861"/>
      <c r="D37" s="861"/>
      <c r="E37" s="861"/>
      <c r="F37" s="766" t="s">
        <v>48</v>
      </c>
      <c r="G37" s="132">
        <v>281971.68</v>
      </c>
      <c r="H37" s="743" t="s">
        <v>49</v>
      </c>
      <c r="I37" s="38">
        <v>5.4000000000000003E-3</v>
      </c>
      <c r="J37" s="131">
        <f>ROUND(G37*I37,2)</f>
        <v>1522.65</v>
      </c>
      <c r="K37" s="39"/>
      <c r="L37" s="756"/>
      <c r="M37" s="756"/>
      <c r="N37" s="756"/>
      <c r="O37" s="31"/>
      <c r="P37" s="771"/>
      <c r="Q37" s="771"/>
      <c r="R37" s="860" t="s">
        <v>50</v>
      </c>
      <c r="S37" s="860"/>
      <c r="T37" s="860"/>
      <c r="U37" s="761"/>
      <c r="V37" s="172">
        <v>61196.59</v>
      </c>
      <c r="W37" s="745" t="s">
        <v>49</v>
      </c>
      <c r="X37" s="174">
        <v>5.4000000000000003E-3</v>
      </c>
      <c r="Y37" s="266">
        <f>ROUND(V37*X37,2)</f>
        <v>330.46</v>
      </c>
    </row>
    <row r="38" spans="1:25" ht="20.25" customHeight="1" x14ac:dyDescent="0.25">
      <c r="A38" s="898" t="s">
        <v>51</v>
      </c>
      <c r="B38" s="898"/>
      <c r="C38" s="898"/>
      <c r="D38" s="898"/>
      <c r="E38" s="898"/>
      <c r="F38" s="766" t="s">
        <v>52</v>
      </c>
      <c r="G38" s="40"/>
      <c r="H38" s="743"/>
      <c r="I38" s="41"/>
      <c r="J38" s="131">
        <f>SUM(J36:J37)</f>
        <v>20330.16</v>
      </c>
      <c r="K38" s="39"/>
      <c r="L38" s="756"/>
      <c r="M38" s="756"/>
      <c r="N38" s="756"/>
      <c r="O38" s="31"/>
      <c r="P38" s="771"/>
      <c r="Q38" s="771"/>
      <c r="R38" s="862" t="s">
        <v>51</v>
      </c>
      <c r="S38" s="862"/>
      <c r="T38" s="862"/>
      <c r="U38" s="761" t="s">
        <v>52</v>
      </c>
      <c r="V38" s="175"/>
      <c r="W38" s="745"/>
      <c r="X38" s="176"/>
      <c r="Y38" s="157">
        <f>Y36+Y37</f>
        <v>4412.2699999999995</v>
      </c>
    </row>
    <row r="39" spans="1:25" ht="20.25" customHeight="1" x14ac:dyDescent="0.25">
      <c r="B39" s="752"/>
      <c r="C39" s="752"/>
      <c r="D39" s="752"/>
      <c r="E39" s="752"/>
      <c r="F39" s="766"/>
      <c r="G39" s="40"/>
      <c r="H39" s="743"/>
      <c r="I39" s="41"/>
      <c r="J39" s="43"/>
      <c r="K39" s="39"/>
      <c r="L39" s="756"/>
      <c r="M39" s="756"/>
      <c r="N39" s="756"/>
      <c r="O39" s="31"/>
      <c r="P39" s="771"/>
      <c r="Q39" s="771"/>
      <c r="R39" s="740"/>
      <c r="S39" s="740"/>
      <c r="T39" s="740"/>
      <c r="U39" s="761"/>
      <c r="V39" s="175"/>
      <c r="W39" s="745"/>
      <c r="X39" s="176"/>
      <c r="Y39" s="178"/>
    </row>
    <row r="40" spans="1:25" ht="45.75" customHeight="1" x14ac:dyDescent="0.25">
      <c r="A40" s="957" t="s">
        <v>53</v>
      </c>
      <c r="B40" s="957"/>
      <c r="C40" s="117" t="s">
        <v>572</v>
      </c>
      <c r="D40" s="117" t="s">
        <v>573</v>
      </c>
      <c r="E40" s="958" t="s">
        <v>156</v>
      </c>
      <c r="F40" s="958"/>
      <c r="G40" s="44" t="s">
        <v>55</v>
      </c>
      <c r="H40" s="770" t="s">
        <v>56</v>
      </c>
      <c r="I40" s="700" t="s">
        <v>57</v>
      </c>
      <c r="J40" s="44"/>
      <c r="K40" s="39"/>
      <c r="L40" s="756"/>
      <c r="M40" s="756"/>
      <c r="N40" s="756"/>
      <c r="O40" s="31"/>
      <c r="P40" s="771"/>
      <c r="Q40" s="771"/>
      <c r="R40" s="901" t="s">
        <v>53</v>
      </c>
      <c r="S40" s="901"/>
      <c r="T40" s="902" t="s">
        <v>54</v>
      </c>
      <c r="U40" s="902"/>
      <c r="V40" s="179" t="s">
        <v>55</v>
      </c>
      <c r="W40" s="764" t="s">
        <v>56</v>
      </c>
      <c r="X40" s="181" t="s">
        <v>57</v>
      </c>
      <c r="Y40" s="179"/>
    </row>
    <row r="41" spans="1:25" ht="17.25" customHeight="1" x14ac:dyDescent="0.25">
      <c r="A41" s="959" t="s">
        <v>58</v>
      </c>
      <c r="B41" s="959"/>
      <c r="C41" s="415">
        <v>0</v>
      </c>
      <c r="D41" s="415">
        <v>0</v>
      </c>
      <c r="E41" s="954">
        <f t="shared" ref="E41:E49" si="7">IF($D$50=0,C41*2,C41+D41)</f>
        <v>0</v>
      </c>
      <c r="F41" s="954"/>
      <c r="G41" s="743" t="s">
        <v>59</v>
      </c>
      <c r="H41" s="743">
        <v>251</v>
      </c>
      <c r="I41" s="136">
        <f>INDEX('[1]111-112-113 ADDITIONAL FUND'!D$1:D$65536,MATCH($A$1,'[1]111-112-113 ADDITIONAL FUND'!A$1:A$65536))</f>
        <v>1047</v>
      </c>
      <c r="J41" s="46">
        <f t="shared" ref="J41:J49" si="8">ROUND(E41*I41,2)</f>
        <v>0</v>
      </c>
      <c r="L41" s="3"/>
      <c r="M41" s="2"/>
      <c r="Q41" s="4"/>
      <c r="R41" s="903" t="s">
        <v>159</v>
      </c>
      <c r="S41" s="903"/>
      <c r="T41" s="867"/>
      <c r="U41" s="867"/>
      <c r="V41" s="745" t="s">
        <v>59</v>
      </c>
      <c r="W41" s="745">
        <v>251</v>
      </c>
      <c r="X41" s="134">
        <f t="shared" ref="X41:X49" si="9">I41</f>
        <v>1047</v>
      </c>
      <c r="Y41" s="269">
        <f>ROUND(T41*X41,2)</f>
        <v>0</v>
      </c>
    </row>
    <row r="42" spans="1:25" x14ac:dyDescent="0.25">
      <c r="A42" s="960"/>
      <c r="B42" s="960"/>
      <c r="C42" s="415">
        <v>0</v>
      </c>
      <c r="D42" s="415">
        <v>0</v>
      </c>
      <c r="E42" s="954">
        <f t="shared" si="7"/>
        <v>0</v>
      </c>
      <c r="F42" s="954"/>
      <c r="G42" s="743" t="s">
        <v>59</v>
      </c>
      <c r="H42" s="743">
        <v>252</v>
      </c>
      <c r="I42" s="136">
        <f>INDEX('[1]111-112-113 ADDITIONAL FUND'!E$1:E$65536,MATCH($A$1,'[1]111-112-113 ADDITIONAL FUND'!A$1:A$65536))</f>
        <v>3380</v>
      </c>
      <c r="J42" s="46">
        <f t="shared" si="8"/>
        <v>0</v>
      </c>
      <c r="M42" s="2"/>
      <c r="R42" s="903"/>
      <c r="S42" s="903"/>
      <c r="T42" s="904"/>
      <c r="U42" s="904"/>
      <c r="V42" s="745" t="s">
        <v>59</v>
      </c>
      <c r="W42" s="745">
        <v>252</v>
      </c>
      <c r="X42" s="134">
        <f t="shared" si="9"/>
        <v>3380</v>
      </c>
      <c r="Y42" s="269">
        <f t="shared" ref="Y42:Y49" si="10">ROUND(T42*X42,2)</f>
        <v>0</v>
      </c>
    </row>
    <row r="43" spans="1:25" x14ac:dyDescent="0.25">
      <c r="A43" s="960"/>
      <c r="B43" s="960"/>
      <c r="C43" s="415">
        <v>0</v>
      </c>
      <c r="D43" s="415">
        <v>0</v>
      </c>
      <c r="E43" s="954">
        <f t="shared" si="7"/>
        <v>0</v>
      </c>
      <c r="F43" s="954"/>
      <c r="G43" s="743" t="s">
        <v>59</v>
      </c>
      <c r="H43" s="743">
        <v>253</v>
      </c>
      <c r="I43" s="136">
        <f>INDEX('[1]111-112-113 ADDITIONAL FUND'!F$1:F$65536,MATCH($A$1,'[1]111-112-113 ADDITIONAL FUND'!A$1:A$65536))</f>
        <v>6896</v>
      </c>
      <c r="J43" s="46">
        <f t="shared" si="8"/>
        <v>0</v>
      </c>
      <c r="M43" s="2"/>
      <c r="R43" s="903"/>
      <c r="S43" s="903"/>
      <c r="T43" s="905"/>
      <c r="U43" s="905"/>
      <c r="V43" s="745" t="s">
        <v>59</v>
      </c>
      <c r="W43" s="745">
        <v>253</v>
      </c>
      <c r="X43" s="134">
        <f t="shared" si="9"/>
        <v>6896</v>
      </c>
      <c r="Y43" s="269">
        <f t="shared" si="10"/>
        <v>0</v>
      </c>
    </row>
    <row r="44" spans="1:25" ht="20.25" customHeight="1" x14ac:dyDescent="0.25">
      <c r="A44" s="960"/>
      <c r="B44" s="960"/>
      <c r="C44" s="415">
        <v>0.5</v>
      </c>
      <c r="D44" s="415">
        <v>0</v>
      </c>
      <c r="E44" s="954">
        <f t="shared" si="7"/>
        <v>1</v>
      </c>
      <c r="F44" s="954"/>
      <c r="G44" s="47" t="s">
        <v>60</v>
      </c>
      <c r="H44" s="743">
        <v>251</v>
      </c>
      <c r="I44" s="136">
        <f>INDEX('[1]111-112-113 ADDITIONAL FUND'!G$1:G$65536,MATCH($A$1,'[1]111-112-113 ADDITIONAL FUND'!A$1:A$65536))</f>
        <v>1173</v>
      </c>
      <c r="J44" s="137">
        <f t="shared" si="8"/>
        <v>1173</v>
      </c>
      <c r="L44" s="3"/>
      <c r="M44" s="2"/>
      <c r="Q44" s="4"/>
      <c r="R44" s="903"/>
      <c r="S44" s="903"/>
      <c r="T44" s="905"/>
      <c r="U44" s="905"/>
      <c r="V44" s="182" t="s">
        <v>60</v>
      </c>
      <c r="W44" s="745">
        <v>251</v>
      </c>
      <c r="X44" s="134">
        <f t="shared" si="9"/>
        <v>1173</v>
      </c>
      <c r="Y44" s="269">
        <f t="shared" si="10"/>
        <v>0</v>
      </c>
    </row>
    <row r="45" spans="1:25" x14ac:dyDescent="0.25">
      <c r="A45" s="960"/>
      <c r="B45" s="960"/>
      <c r="C45" s="415">
        <v>0</v>
      </c>
      <c r="D45" s="415">
        <v>0</v>
      </c>
      <c r="E45" s="954">
        <f t="shared" si="7"/>
        <v>0</v>
      </c>
      <c r="F45" s="954"/>
      <c r="G45" s="47" t="s">
        <v>60</v>
      </c>
      <c r="H45" s="743">
        <v>252</v>
      </c>
      <c r="I45" s="136">
        <f>INDEX('[1]111-112-113 ADDITIONAL FUND'!H$1:H$65536,MATCH($A$1,'[1]111-112-113 ADDITIONAL FUND'!A$1:A$65536))</f>
        <v>3506</v>
      </c>
      <c r="J45" s="46">
        <f t="shared" si="8"/>
        <v>0</v>
      </c>
      <c r="M45" s="2"/>
      <c r="R45" s="903"/>
      <c r="S45" s="903"/>
      <c r="T45" s="905"/>
      <c r="U45" s="905"/>
      <c r="V45" s="182" t="s">
        <v>60</v>
      </c>
      <c r="W45" s="745">
        <v>252</v>
      </c>
      <c r="X45" s="134">
        <f t="shared" si="9"/>
        <v>3506</v>
      </c>
      <c r="Y45" s="269">
        <f t="shared" si="10"/>
        <v>0</v>
      </c>
    </row>
    <row r="46" spans="1:25" x14ac:dyDescent="0.25">
      <c r="A46" s="960"/>
      <c r="B46" s="960"/>
      <c r="C46" s="415">
        <v>0</v>
      </c>
      <c r="D46" s="415">
        <v>0</v>
      </c>
      <c r="E46" s="954">
        <f t="shared" si="7"/>
        <v>0</v>
      </c>
      <c r="F46" s="954"/>
      <c r="G46" s="47" t="s">
        <v>60</v>
      </c>
      <c r="H46" s="743">
        <v>253</v>
      </c>
      <c r="I46" s="136">
        <f>INDEX('[1]111-112-113 ADDITIONAL FUND'!I$1:I$65536,MATCH($A$1,'[1]111-112-113 ADDITIONAL FUND'!A$1:A$65536))</f>
        <v>7023</v>
      </c>
      <c r="J46" s="46">
        <f t="shared" si="8"/>
        <v>0</v>
      </c>
      <c r="M46" s="2"/>
      <c r="R46" s="903"/>
      <c r="S46" s="903"/>
      <c r="T46" s="905"/>
      <c r="U46" s="905"/>
      <c r="V46" s="182" t="s">
        <v>60</v>
      </c>
      <c r="W46" s="745">
        <v>253</v>
      </c>
      <c r="X46" s="134">
        <f t="shared" si="9"/>
        <v>7023</v>
      </c>
      <c r="Y46" s="269">
        <f t="shared" si="10"/>
        <v>0</v>
      </c>
    </row>
    <row r="47" spans="1:25" ht="16.5" customHeight="1" x14ac:dyDescent="0.25">
      <c r="A47" s="960"/>
      <c r="B47" s="960"/>
      <c r="C47" s="415">
        <v>8.93</v>
      </c>
      <c r="D47" s="415">
        <v>0</v>
      </c>
      <c r="E47" s="954">
        <f t="shared" si="7"/>
        <v>17.86</v>
      </c>
      <c r="F47" s="954"/>
      <c r="G47" s="47" t="s">
        <v>61</v>
      </c>
      <c r="H47" s="743">
        <v>251</v>
      </c>
      <c r="I47" s="136">
        <f>INDEX('[1]111-112-113 ADDITIONAL FUND'!J$1:J$65536,MATCH($A$1,'[1]111-112-113 ADDITIONAL FUND'!A$1:A$65536))</f>
        <v>835</v>
      </c>
      <c r="J47" s="46">
        <f t="shared" si="8"/>
        <v>14913.1</v>
      </c>
      <c r="M47" s="2"/>
      <c r="R47" s="903"/>
      <c r="S47" s="903"/>
      <c r="T47" s="905"/>
      <c r="U47" s="905"/>
      <c r="V47" s="182" t="s">
        <v>61</v>
      </c>
      <c r="W47" s="745">
        <v>251</v>
      </c>
      <c r="X47" s="134">
        <f t="shared" si="9"/>
        <v>835</v>
      </c>
      <c r="Y47" s="269">
        <f t="shared" si="10"/>
        <v>0</v>
      </c>
    </row>
    <row r="48" spans="1:25" ht="15.75" customHeight="1" x14ac:dyDescent="0.25">
      <c r="A48" s="960"/>
      <c r="B48" s="960"/>
      <c r="C48" s="415">
        <v>0</v>
      </c>
      <c r="D48" s="415">
        <v>0</v>
      </c>
      <c r="E48" s="954">
        <f t="shared" si="7"/>
        <v>0</v>
      </c>
      <c r="F48" s="954"/>
      <c r="G48" s="47" t="s">
        <v>61</v>
      </c>
      <c r="H48" s="743">
        <v>252</v>
      </c>
      <c r="I48" s="136">
        <f>INDEX('[1]111-112-113 ADDITIONAL FUND'!K$1:K$65536,MATCH($A$1,'[1]111-112-113 ADDITIONAL FUND'!A$1:A$65536))</f>
        <v>3168</v>
      </c>
      <c r="J48" s="46">
        <f t="shared" si="8"/>
        <v>0</v>
      </c>
      <c r="M48" s="2"/>
      <c r="R48" s="903"/>
      <c r="S48" s="903"/>
      <c r="T48" s="905"/>
      <c r="U48" s="905"/>
      <c r="V48" s="182" t="s">
        <v>61</v>
      </c>
      <c r="W48" s="745">
        <v>252</v>
      </c>
      <c r="X48" s="134">
        <f t="shared" si="9"/>
        <v>3168</v>
      </c>
      <c r="Y48" s="269">
        <f t="shared" si="10"/>
        <v>0</v>
      </c>
    </row>
    <row r="49" spans="1:25" ht="15.75" customHeight="1" thickBot="1" x14ac:dyDescent="0.3">
      <c r="A49" s="960"/>
      <c r="B49" s="960"/>
      <c r="C49" s="415">
        <v>0.5</v>
      </c>
      <c r="D49" s="415">
        <v>0</v>
      </c>
      <c r="E49" s="955">
        <f t="shared" si="7"/>
        <v>1</v>
      </c>
      <c r="F49" s="955"/>
      <c r="G49" s="47" t="s">
        <v>61</v>
      </c>
      <c r="H49" s="743">
        <v>253</v>
      </c>
      <c r="I49" s="136">
        <f>INDEX('[1]111-112-113 ADDITIONAL FUND'!L$1:L$65536,MATCH($A$1,'[1]111-112-113 ADDITIONAL FUND'!A$1:A$65536))</f>
        <v>6685</v>
      </c>
      <c r="J49" s="46">
        <f t="shared" si="8"/>
        <v>6685</v>
      </c>
      <c r="M49" s="2"/>
      <c r="R49" s="903"/>
      <c r="S49" s="903"/>
      <c r="T49" s="913"/>
      <c r="U49" s="913"/>
      <c r="V49" s="182" t="s">
        <v>61</v>
      </c>
      <c r="W49" s="745">
        <v>253</v>
      </c>
      <c r="X49" s="134">
        <f t="shared" si="9"/>
        <v>6685</v>
      </c>
      <c r="Y49" s="269">
        <f t="shared" si="10"/>
        <v>0</v>
      </c>
    </row>
    <row r="50" spans="1:25" ht="15.75" customHeight="1" thickBot="1" x14ac:dyDescent="0.3">
      <c r="A50" s="912" t="s">
        <v>62</v>
      </c>
      <c r="B50" s="912"/>
      <c r="C50" s="756">
        <f>SUM(C41:C49)</f>
        <v>9.93</v>
      </c>
      <c r="D50" s="756">
        <f>SUM(D41:D49)</f>
        <v>0</v>
      </c>
      <c r="E50" s="956">
        <f>SUM(E41:E49)</f>
        <v>19.86</v>
      </c>
      <c r="F50" s="956"/>
      <c r="G50" s="912" t="s">
        <v>63</v>
      </c>
      <c r="H50" s="912"/>
      <c r="I50" s="912"/>
      <c r="J50" s="276">
        <f>SUM(J41:J49)</f>
        <v>22771.1</v>
      </c>
      <c r="M50" s="2"/>
      <c r="R50" s="911" t="s">
        <v>62</v>
      </c>
      <c r="S50" s="911"/>
      <c r="T50" s="914">
        <f>SUM(T42:T49)</f>
        <v>0</v>
      </c>
      <c r="U50" s="914"/>
      <c r="V50" s="911" t="s">
        <v>63</v>
      </c>
      <c r="W50" s="911"/>
      <c r="X50" s="911"/>
      <c r="Y50" s="270">
        <f>SUM(Y41:Y49)</f>
        <v>0</v>
      </c>
    </row>
    <row r="51" spans="1:25" ht="15.75" customHeight="1" x14ac:dyDescent="0.25">
      <c r="A51" s="756"/>
      <c r="B51" s="756"/>
      <c r="C51" s="756"/>
      <c r="D51" s="756"/>
      <c r="E51" s="771"/>
      <c r="F51" s="771"/>
      <c r="G51" s="756"/>
      <c r="H51" s="756"/>
      <c r="I51" s="756"/>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48">
        <f>E28</f>
        <v>82.1</v>
      </c>
      <c r="D53" s="49" t="s">
        <v>66</v>
      </c>
      <c r="G53" s="3"/>
      <c r="H53" s="50" t="s">
        <v>67</v>
      </c>
      <c r="I53" s="702">
        <f>'0040'!I53</f>
        <v>207782.75</v>
      </c>
      <c r="J53" s="704"/>
      <c r="M53" s="2"/>
      <c r="R53" s="758"/>
      <c r="S53" s="738"/>
      <c r="T53" s="170"/>
      <c r="U53" s="170"/>
      <c r="V53" s="170"/>
      <c r="W53" s="189" t="s">
        <v>68</v>
      </c>
      <c r="X53" s="920">
        <f>ROUND(T52/X52,6)</f>
        <v>0</v>
      </c>
      <c r="Y53" s="920"/>
    </row>
    <row r="54" spans="1:25" ht="22.5" customHeight="1" x14ac:dyDescent="0.25">
      <c r="A54" s="753"/>
      <c r="B54" s="739"/>
      <c r="C54" s="739"/>
      <c r="D54" s="739"/>
      <c r="H54" s="53" t="s">
        <v>68</v>
      </c>
      <c r="I54" s="945">
        <f>IFERROR(ROUND(C53/I53,6),0)</f>
        <v>3.9500000000000001E-4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C56</f>
        <v>80.570599999999985</v>
      </c>
      <c r="U55" s="184" t="s">
        <v>66</v>
      </c>
      <c r="V55" s="185"/>
      <c r="W55" s="186" t="s">
        <v>71</v>
      </c>
      <c r="X55" s="919">
        <f>I56</f>
        <v>221179.83999999997</v>
      </c>
      <c r="Y55" s="919"/>
    </row>
    <row r="56" spans="1:25" ht="16.5" customHeight="1" x14ac:dyDescent="0.25">
      <c r="A56" s="899" t="s">
        <v>70</v>
      </c>
      <c r="B56" s="899"/>
      <c r="C56" s="48">
        <f>G33</f>
        <v>80.570599999999985</v>
      </c>
      <c r="D56" s="49" t="s">
        <v>66</v>
      </c>
      <c r="G56" s="3"/>
      <c r="H56" s="50" t="s">
        <v>71</v>
      </c>
      <c r="I56" s="702">
        <f>'0040'!I56</f>
        <v>221179.83999999997</v>
      </c>
      <c r="J56" s="704"/>
      <c r="M56" s="2"/>
      <c r="R56" s="758"/>
      <c r="S56" s="170"/>
      <c r="T56" s="170"/>
      <c r="U56" s="170"/>
      <c r="V56" s="170"/>
      <c r="W56" s="189" t="s">
        <v>68</v>
      </c>
      <c r="X56" s="920">
        <f>ROUND(T55/X55,6)</f>
        <v>3.6400000000000001E-4</v>
      </c>
      <c r="Y56" s="920"/>
    </row>
    <row r="57" spans="1:25" ht="18.75" customHeight="1" x14ac:dyDescent="0.25">
      <c r="A57" s="753"/>
      <c r="H57" s="53" t="s">
        <v>68</v>
      </c>
      <c r="I57" s="945">
        <f>IFERROR(ROUND(C56/I56,6),0)</f>
        <v>3.6400000000000001E-4</v>
      </c>
      <c r="J57" s="945"/>
      <c r="M57" s="2"/>
      <c r="P57" s="752"/>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48">
        <f>E28</f>
        <v>82.1</v>
      </c>
      <c r="D59" s="49" t="s">
        <v>66</v>
      </c>
      <c r="F59" s="969" t="s">
        <v>74</v>
      </c>
      <c r="G59" s="969"/>
      <c r="H59" s="969"/>
      <c r="I59" s="702">
        <f>'0040'!I59</f>
        <v>178931.75</v>
      </c>
      <c r="J59" s="704"/>
      <c r="M59" s="2"/>
      <c r="R59" s="758"/>
      <c r="S59" s="170"/>
      <c r="T59" s="170"/>
      <c r="U59" s="170"/>
      <c r="V59" s="170"/>
      <c r="W59" s="189" t="s">
        <v>68</v>
      </c>
      <c r="X59" s="920">
        <f>ROUND(T58/X58,6)</f>
        <v>0</v>
      </c>
      <c r="Y59" s="920"/>
    </row>
    <row r="60" spans="1:25" ht="18" customHeight="1" x14ac:dyDescent="0.25">
      <c r="A60" s="753"/>
      <c r="H60" s="53" t="s">
        <v>68</v>
      </c>
      <c r="I60" s="945">
        <f>IFERROR(ROUND(C59/I59,6),0)</f>
        <v>4.5899999999999999E-4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23.25" customHeight="1" x14ac:dyDescent="0.25">
      <c r="A62" s="899" t="s">
        <v>73</v>
      </c>
      <c r="B62" s="899"/>
      <c r="C62" s="48">
        <f>E28</f>
        <v>82.1</v>
      </c>
      <c r="D62" s="49" t="s">
        <v>66</v>
      </c>
      <c r="F62" s="969" t="s">
        <v>76</v>
      </c>
      <c r="G62" s="969"/>
      <c r="H62" s="969"/>
      <c r="I62" s="702">
        <f>'0040'!I62</f>
        <v>207463.82</v>
      </c>
      <c r="J62" s="704"/>
      <c r="M62" s="2"/>
      <c r="R62" s="758"/>
      <c r="S62" s="170"/>
      <c r="T62" s="170"/>
      <c r="U62" s="170"/>
      <c r="V62" s="170"/>
      <c r="W62" s="189" t="s">
        <v>68</v>
      </c>
      <c r="X62" s="920">
        <f>ROUND(T61/X61,6)</f>
        <v>0</v>
      </c>
      <c r="Y62" s="920"/>
    </row>
    <row r="63" spans="1:25" ht="19.5" customHeight="1" x14ac:dyDescent="0.25">
      <c r="A63" s="753"/>
      <c r="H63" s="53" t="s">
        <v>68</v>
      </c>
      <c r="I63" s="945">
        <f>IFERROR(ROUND(C62/I62,6),0)</f>
        <v>3.9599999999999998E-4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22.5" customHeight="1" x14ac:dyDescent="0.25">
      <c r="A65" s="899" t="s">
        <v>73</v>
      </c>
      <c r="B65" s="899"/>
      <c r="C65" s="48">
        <f>E28</f>
        <v>82.1</v>
      </c>
      <c r="D65" s="990" t="s">
        <v>547</v>
      </c>
      <c r="E65" s="990"/>
      <c r="F65" s="990"/>
      <c r="G65" s="990"/>
      <c r="H65" s="990"/>
      <c r="I65" s="702">
        <f>'0040'!I65</f>
        <v>178612.82</v>
      </c>
      <c r="J65" s="704"/>
      <c r="M65" s="2"/>
      <c r="R65" s="190"/>
      <c r="S65" s="170"/>
      <c r="T65" s="170"/>
      <c r="U65" s="170"/>
      <c r="V65" s="170"/>
      <c r="W65" s="189" t="s">
        <v>68</v>
      </c>
      <c r="X65" s="920">
        <f>ROUND(T64/X64,6)</f>
        <v>0</v>
      </c>
      <c r="Y65" s="920"/>
    </row>
    <row r="66" spans="1:26" ht="19.5" customHeight="1" x14ac:dyDescent="0.25">
      <c r="A66" s="753"/>
      <c r="H66" s="53" t="s">
        <v>68</v>
      </c>
      <c r="I66" s="945">
        <f>IFERROR(ROUND(C65/I65,6),0)</f>
        <v>4.6000000000000001E-4</v>
      </c>
      <c r="J66" s="945"/>
      <c r="M66" s="2"/>
      <c r="R66" s="758"/>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761"/>
      <c r="V67" s="193">
        <f>G68</f>
        <v>45629593</v>
      </c>
      <c r="W67" s="745" t="s">
        <v>81</v>
      </c>
      <c r="X67" s="176">
        <f>X62</f>
        <v>0</v>
      </c>
      <c r="Y67" s="271">
        <f>ROUND(V67*X67,2)</f>
        <v>0</v>
      </c>
    </row>
    <row r="68" spans="1:26" ht="30.75" customHeight="1" x14ac:dyDescent="0.25">
      <c r="A68" s="946" t="s">
        <v>79</v>
      </c>
      <c r="B68" s="946"/>
      <c r="C68" s="946"/>
      <c r="D68" s="946"/>
      <c r="E68" s="946"/>
      <c r="F68" s="766" t="s">
        <v>80</v>
      </c>
      <c r="G68" s="277">
        <f>'0040'!G68</f>
        <v>45629593</v>
      </c>
      <c r="H68" s="743" t="s">
        <v>81</v>
      </c>
      <c r="I68" s="41">
        <f>I63</f>
        <v>3.9599999999999998E-4</v>
      </c>
      <c r="J68" s="138">
        <f>ROUND(G68*I68,2)</f>
        <v>18069.32</v>
      </c>
      <c r="M68" s="2"/>
      <c r="R68" s="900" t="s">
        <v>82</v>
      </c>
      <c r="S68" s="900"/>
      <c r="T68" s="740"/>
      <c r="U68" s="761"/>
      <c r="V68" s="194"/>
      <c r="W68" s="745"/>
      <c r="X68" s="176"/>
      <c r="Y68" s="271"/>
    </row>
    <row r="69" spans="1:26" ht="30.75" customHeight="1" x14ac:dyDescent="0.25">
      <c r="A69" s="947" t="s">
        <v>82</v>
      </c>
      <c r="B69" s="947"/>
      <c r="C69" s="768"/>
      <c r="D69" s="768"/>
      <c r="E69" s="752"/>
      <c r="F69" s="766"/>
      <c r="G69" s="63"/>
      <c r="H69" s="743"/>
      <c r="I69" s="41"/>
      <c r="J69" s="62"/>
      <c r="M69" s="2"/>
      <c r="R69" s="923" t="s">
        <v>162</v>
      </c>
      <c r="S69" s="917"/>
      <c r="T69" s="917"/>
      <c r="U69" s="761"/>
      <c r="V69" s="195">
        <f>G70</f>
        <v>0</v>
      </c>
      <c r="W69" s="745" t="s">
        <v>81</v>
      </c>
      <c r="X69" s="176">
        <f>X53</f>
        <v>0</v>
      </c>
      <c r="Y69" s="266">
        <f t="shared" ref="Y69:Y71" si="11">ROUND(V69*X69,2)</f>
        <v>0</v>
      </c>
    </row>
    <row r="70" spans="1:26" ht="17.25" customHeight="1" x14ac:dyDescent="0.25">
      <c r="A70" s="948" t="s">
        <v>83</v>
      </c>
      <c r="B70" s="948"/>
      <c r="C70" s="948"/>
      <c r="D70" s="948"/>
      <c r="E70" s="948"/>
      <c r="F70" s="766" t="s">
        <v>84</v>
      </c>
      <c r="G70" s="277">
        <f>'0040'!G70</f>
        <v>0</v>
      </c>
      <c r="H70" s="743" t="s">
        <v>81</v>
      </c>
      <c r="I70" s="41">
        <f>I54</f>
        <v>3.9500000000000001E-4</v>
      </c>
      <c r="J70" s="138">
        <f>ROUND(G70*I70,2)</f>
        <v>0</v>
      </c>
      <c r="M70" s="2"/>
      <c r="R70" s="862" t="s">
        <v>163</v>
      </c>
      <c r="S70" s="862"/>
      <c r="T70" s="862"/>
      <c r="U70" s="761"/>
      <c r="V70" s="193">
        <f>G71</f>
        <v>18934058</v>
      </c>
      <c r="W70" s="745" t="s">
        <v>81</v>
      </c>
      <c r="X70" s="176">
        <f>X65</f>
        <v>0</v>
      </c>
      <c r="Y70" s="266">
        <f t="shared" si="11"/>
        <v>0</v>
      </c>
    </row>
    <row r="71" spans="1:26" ht="19.5" customHeight="1" x14ac:dyDescent="0.25">
      <c r="A71" s="898" t="s">
        <v>85</v>
      </c>
      <c r="B71" s="898"/>
      <c r="C71" s="898"/>
      <c r="D71" s="898"/>
      <c r="E71" s="898"/>
      <c r="F71" s="766" t="s">
        <v>86</v>
      </c>
      <c r="G71" s="277">
        <f>'0040'!G71</f>
        <v>18934058</v>
      </c>
      <c r="H71" s="743" t="s">
        <v>81</v>
      </c>
      <c r="I71" s="41">
        <f>I66</f>
        <v>4.6000000000000001E-4</v>
      </c>
      <c r="J71" s="138">
        <f>ROUND(G71*I71,2)</f>
        <v>8709.67</v>
      </c>
      <c r="M71" s="2"/>
      <c r="R71" s="740" t="s">
        <v>164</v>
      </c>
      <c r="S71" s="740"/>
      <c r="T71" s="740"/>
      <c r="U71" s="761"/>
      <c r="V71" s="171">
        <f>G72</f>
        <v>11300012</v>
      </c>
      <c r="W71" s="745" t="s">
        <v>81</v>
      </c>
      <c r="X71" s="176">
        <f>X59</f>
        <v>0</v>
      </c>
      <c r="Y71" s="266">
        <f t="shared" si="11"/>
        <v>0</v>
      </c>
    </row>
    <row r="72" spans="1:26" ht="19.5" customHeight="1" x14ac:dyDescent="0.25">
      <c r="A72" s="752" t="s">
        <v>87</v>
      </c>
      <c r="B72" s="752"/>
      <c r="C72" s="752"/>
      <c r="D72" s="752"/>
      <c r="E72" s="752"/>
      <c r="F72" s="766" t="s">
        <v>88</v>
      </c>
      <c r="G72" s="277">
        <f>'0040'!G72</f>
        <v>11300012</v>
      </c>
      <c r="H72" s="743" t="s">
        <v>81</v>
      </c>
      <c r="I72" s="41">
        <f>I60</f>
        <v>4.5899999999999999E-4</v>
      </c>
      <c r="J72" s="138">
        <f>ROUND(G72*I72,2)</f>
        <v>5186.71</v>
      </c>
      <c r="M72" s="2"/>
      <c r="R72" s="740" t="s">
        <v>165</v>
      </c>
      <c r="S72" s="740"/>
      <c r="T72" s="740"/>
      <c r="U72" s="761"/>
      <c r="V72" s="196"/>
      <c r="W72" s="745"/>
      <c r="X72" s="176"/>
      <c r="Y72" s="178"/>
    </row>
    <row r="73" spans="1:26" ht="24.75" customHeight="1" x14ac:dyDescent="0.25">
      <c r="A73" s="752" t="s">
        <v>89</v>
      </c>
      <c r="B73" s="752"/>
      <c r="C73" s="752"/>
      <c r="D73" s="752"/>
      <c r="E73" s="752"/>
      <c r="F73" s="766" t="s">
        <v>90</v>
      </c>
      <c r="G73" s="64"/>
      <c r="H73" s="743"/>
      <c r="I73" s="41"/>
      <c r="J73" s="30"/>
      <c r="M73" s="2"/>
      <c r="R73" s="853" t="s">
        <v>91</v>
      </c>
      <c r="S73" s="853"/>
      <c r="T73" s="854" t="s">
        <v>166</v>
      </c>
      <c r="U73" s="855"/>
      <c r="V73" s="855"/>
      <c r="W73" s="855"/>
      <c r="X73" s="855"/>
      <c r="Y73" s="153"/>
    </row>
    <row r="74" spans="1:26" ht="63" customHeight="1" x14ac:dyDescent="0.25">
      <c r="A74" s="856" t="s">
        <v>91</v>
      </c>
      <c r="B74" s="856"/>
      <c r="C74" s="736"/>
      <c r="D74" s="736"/>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734"/>
      <c r="D75" s="734"/>
      <c r="E75" s="65"/>
      <c r="F75" s="65"/>
      <c r="G75" s="65"/>
      <c r="H75" s="65"/>
      <c r="I75" s="65"/>
      <c r="J75" s="129"/>
      <c r="L75" s="66"/>
      <c r="M75" s="2"/>
      <c r="O75" s="766"/>
      <c r="P75" s="766"/>
      <c r="R75" s="859" t="s">
        <v>94</v>
      </c>
      <c r="S75" s="859"/>
      <c r="T75" s="197"/>
      <c r="U75" s="197"/>
      <c r="V75" s="197"/>
      <c r="W75" s="197"/>
      <c r="X75" s="197"/>
      <c r="Y75" s="197"/>
    </row>
    <row r="76" spans="1:26" ht="18.75" customHeight="1" x14ac:dyDescent="0.25">
      <c r="A76" s="839" t="s">
        <v>94</v>
      </c>
      <c r="B76" s="839"/>
      <c r="C76" s="734"/>
      <c r="D76" s="734"/>
      <c r="E76" s="65"/>
      <c r="F76" s="65"/>
      <c r="G76" s="65"/>
      <c r="H76" s="65"/>
      <c r="I76" s="65"/>
      <c r="J76" s="129"/>
      <c r="L76" s="67"/>
      <c r="M76" s="2"/>
      <c r="O76" s="766"/>
      <c r="P76" s="766"/>
      <c r="R76" s="863" t="s">
        <v>95</v>
      </c>
      <c r="S76" s="863"/>
      <c r="T76" s="198"/>
      <c r="U76" s="198"/>
      <c r="V76" s="198"/>
      <c r="W76" s="198"/>
      <c r="X76" s="198"/>
      <c r="Y76" s="197"/>
    </row>
    <row r="77" spans="1:26" ht="18.75" customHeight="1" x14ac:dyDescent="0.25">
      <c r="A77" s="864" t="s">
        <v>95</v>
      </c>
      <c r="B77" s="864"/>
      <c r="C77" s="741"/>
      <c r="D77" s="741"/>
      <c r="E77" s="68"/>
      <c r="F77" s="68"/>
      <c r="G77" s="68"/>
      <c r="H77" s="68"/>
      <c r="I77" s="68"/>
      <c r="J77" s="128"/>
      <c r="L77" s="67"/>
      <c r="M77" s="2"/>
      <c r="O77" s="766"/>
      <c r="P77" s="766"/>
      <c r="R77" s="737" t="s">
        <v>96</v>
      </c>
      <c r="S77" s="737"/>
      <c r="T77" s="197"/>
      <c r="U77" s="197"/>
      <c r="V77" s="197"/>
      <c r="W77" s="197"/>
      <c r="X77" s="197"/>
      <c r="Y77" s="197"/>
    </row>
    <row r="78" spans="1:26" ht="20.25" customHeight="1" x14ac:dyDescent="0.25">
      <c r="A78" s="734" t="s">
        <v>96</v>
      </c>
      <c r="B78" s="734"/>
      <c r="C78" s="734"/>
      <c r="D78" s="734"/>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734"/>
      <c r="D79" s="734"/>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742"/>
      <c r="D80" s="742"/>
      <c r="E80" s="73"/>
      <c r="F80" s="73"/>
      <c r="G80" s="73"/>
      <c r="H80" s="73"/>
      <c r="I80" s="73"/>
      <c r="J80" s="129"/>
      <c r="K80" s="70"/>
      <c r="L80" s="70"/>
      <c r="M80" s="71"/>
      <c r="N80" s="70"/>
      <c r="O80" s="70"/>
      <c r="P80" s="70"/>
      <c r="Q80" s="70"/>
      <c r="R80" s="755"/>
      <c r="S80" s="755"/>
      <c r="T80" s="755"/>
      <c r="U80" s="755"/>
      <c r="V80" s="164"/>
      <c r="W80" s="754"/>
      <c r="X80" s="754" t="s">
        <v>99</v>
      </c>
      <c r="Y80" s="201">
        <f>SUM(Y74:Y79)</f>
        <v>0</v>
      </c>
      <c r="Z80" s="72"/>
    </row>
    <row r="81" spans="1:26" ht="17.25" customHeight="1" x14ac:dyDescent="0.25">
      <c r="A81" s="756"/>
      <c r="B81" s="756"/>
      <c r="C81" s="756"/>
      <c r="D81" s="756"/>
      <c r="E81" s="756"/>
      <c r="F81" s="756"/>
      <c r="G81" s="31"/>
      <c r="H81" s="771"/>
      <c r="I81" s="771" t="s">
        <v>99</v>
      </c>
      <c r="J81" s="74">
        <f>SUM(J75:J80)</f>
        <v>0</v>
      </c>
      <c r="K81" s="70"/>
      <c r="L81" s="70"/>
      <c r="M81" s="71"/>
      <c r="N81" s="70"/>
      <c r="O81" s="70"/>
      <c r="P81" s="70"/>
      <c r="Q81" s="70"/>
      <c r="R81" s="755"/>
      <c r="S81" s="755"/>
      <c r="T81" s="755"/>
      <c r="U81" s="755"/>
      <c r="V81" s="164"/>
      <c r="W81" s="754"/>
      <c r="X81" s="754" t="s">
        <v>100</v>
      </c>
      <c r="Y81" s="201">
        <f>J82</f>
        <v>12903.05</v>
      </c>
      <c r="Z81" s="72"/>
    </row>
    <row r="82" spans="1:26" ht="18.75" customHeight="1" x14ac:dyDescent="0.25">
      <c r="A82" s="756"/>
      <c r="B82" s="756"/>
      <c r="C82" s="756"/>
      <c r="D82" s="756"/>
      <c r="E82" s="756"/>
      <c r="F82" s="756"/>
      <c r="G82" s="31"/>
      <c r="H82" s="771"/>
      <c r="I82" s="771" t="s">
        <v>100</v>
      </c>
      <c r="J82" s="74">
        <f>'0040'!J82</f>
        <v>12903.05</v>
      </c>
      <c r="K82" s="70"/>
      <c r="L82" s="70"/>
      <c r="M82" s="71"/>
      <c r="N82" s="70"/>
      <c r="O82" s="70"/>
      <c r="P82" s="70"/>
      <c r="Q82" s="70"/>
      <c r="R82" s="755"/>
      <c r="S82" s="755"/>
      <c r="T82" s="755"/>
      <c r="U82" s="755"/>
      <c r="V82" s="164"/>
      <c r="W82" s="754"/>
      <c r="X82" s="754"/>
      <c r="Y82" s="202"/>
      <c r="Z82" s="72"/>
    </row>
    <row r="83" spans="1:26" ht="15.75" customHeight="1" x14ac:dyDescent="0.25">
      <c r="A83" s="756"/>
      <c r="B83" s="756"/>
      <c r="C83" s="756"/>
      <c r="D83" s="756"/>
      <c r="E83" s="756"/>
      <c r="F83" s="756"/>
      <c r="G83" s="31"/>
      <c r="H83" s="771"/>
      <c r="I83" s="771"/>
      <c r="J83" s="75"/>
      <c r="K83" s="70"/>
      <c r="L83" s="70"/>
      <c r="M83" s="71"/>
      <c r="N83" s="70"/>
      <c r="O83" s="70"/>
      <c r="P83" s="70"/>
      <c r="Q83" s="70"/>
      <c r="R83" s="860" t="s">
        <v>101</v>
      </c>
      <c r="S83" s="860"/>
      <c r="T83" s="170"/>
      <c r="U83" s="170"/>
      <c r="V83" s="171">
        <f>G84</f>
        <v>58502790</v>
      </c>
      <c r="W83" s="745" t="s">
        <v>81</v>
      </c>
      <c r="X83" s="176">
        <f>IFERROR(ROUND(Y80/Y81,6),0)</f>
        <v>0</v>
      </c>
      <c r="Y83" s="266">
        <f>ROUND(V83*X83,2)</f>
        <v>0</v>
      </c>
      <c r="Z83" s="72"/>
    </row>
    <row r="84" spans="1:26" ht="21" customHeight="1" x14ac:dyDescent="0.25">
      <c r="A84" s="861" t="s">
        <v>101</v>
      </c>
      <c r="B84" s="861"/>
      <c r="C84" s="739"/>
      <c r="D84" s="739"/>
      <c r="G84" s="121">
        <f>'0040'!G84</f>
        <v>58502790</v>
      </c>
      <c r="H84" s="743" t="s">
        <v>81</v>
      </c>
      <c r="I84" s="41">
        <f>IFERROR(ROUND(J81/J82,6),0)</f>
        <v>0</v>
      </c>
      <c r="J84" s="62">
        <f>ROUND(G84*I84,2)</f>
        <v>0</v>
      </c>
      <c r="K84" s="70"/>
      <c r="L84" s="70"/>
      <c r="M84" s="71"/>
      <c r="N84" s="70"/>
      <c r="O84" s="70"/>
      <c r="P84" s="70"/>
      <c r="Q84" s="70"/>
      <c r="R84" s="862" t="s">
        <v>167</v>
      </c>
      <c r="S84" s="862"/>
      <c r="T84" s="862"/>
      <c r="U84" s="761"/>
      <c r="V84" s="274"/>
      <c r="W84" s="745"/>
      <c r="X84" s="176"/>
      <c r="Y84" s="266"/>
    </row>
    <row r="85" spans="1:26" ht="17.25" customHeight="1" x14ac:dyDescent="0.25">
      <c r="A85" s="898" t="s">
        <v>102</v>
      </c>
      <c r="B85" s="898"/>
      <c r="C85" s="898"/>
      <c r="D85" s="898"/>
      <c r="E85" s="898"/>
      <c r="F85" s="766" t="s">
        <v>103</v>
      </c>
      <c r="G85" s="121">
        <f>'0040'!G85</f>
        <v>268816278</v>
      </c>
      <c r="H85" s="743" t="s">
        <v>81</v>
      </c>
      <c r="I85" s="41">
        <f>I57</f>
        <v>3.6400000000000001E-4</v>
      </c>
      <c r="J85" s="138">
        <f>ROUND(G85*I85,2)</f>
        <v>97849.13</v>
      </c>
      <c r="K85" s="70"/>
      <c r="L85" s="70"/>
      <c r="M85" s="71"/>
      <c r="N85" s="70"/>
      <c r="O85" s="70"/>
      <c r="P85" s="70"/>
      <c r="Q85" s="70"/>
      <c r="R85" s="862" t="s">
        <v>168</v>
      </c>
      <c r="S85" s="862"/>
      <c r="T85" s="862"/>
      <c r="U85" s="761"/>
      <c r="V85" s="171">
        <f>G85</f>
        <v>268816278</v>
      </c>
      <c r="W85" s="745" t="s">
        <v>81</v>
      </c>
      <c r="X85" s="176">
        <f>X56</f>
        <v>3.6400000000000001E-4</v>
      </c>
      <c r="Y85" s="266">
        <f t="shared" ref="Y85:Y87" si="12">ROUND(V85*X85,2)</f>
        <v>97849.13</v>
      </c>
    </row>
    <row r="86" spans="1:26" ht="14.25" customHeight="1" x14ac:dyDescent="0.25">
      <c r="A86" s="898" t="s">
        <v>104</v>
      </c>
      <c r="B86" s="898"/>
      <c r="C86" s="898"/>
      <c r="D86" s="898"/>
      <c r="E86" s="898"/>
      <c r="F86" s="766" t="s">
        <v>103</v>
      </c>
      <c r="G86" s="139">
        <v>0</v>
      </c>
      <c r="H86" s="743" t="s">
        <v>81</v>
      </c>
      <c r="I86" s="41">
        <f>I57</f>
        <v>3.6400000000000001E-4</v>
      </c>
      <c r="J86" s="138">
        <f>ROUND(G86*I86,2)</f>
        <v>0</v>
      </c>
      <c r="K86" s="70"/>
      <c r="L86" s="71"/>
      <c r="M86" s="76"/>
      <c r="N86" s="76"/>
      <c r="O86" s="76"/>
      <c r="P86" s="76"/>
      <c r="Q86" s="70"/>
      <c r="R86" s="862" t="s">
        <v>169</v>
      </c>
      <c r="S86" s="862"/>
      <c r="T86" s="862"/>
      <c r="U86" s="761"/>
      <c r="V86" s="203">
        <f>G86</f>
        <v>0</v>
      </c>
      <c r="W86" s="745" t="s">
        <v>81</v>
      </c>
      <c r="X86" s="176">
        <f>X56</f>
        <v>3.6400000000000001E-4</v>
      </c>
      <c r="Y86" s="266">
        <f t="shared" si="12"/>
        <v>0</v>
      </c>
    </row>
    <row r="87" spans="1:26" ht="18" customHeight="1" x14ac:dyDescent="0.25">
      <c r="A87" s="898" t="s">
        <v>105</v>
      </c>
      <c r="B87" s="898"/>
      <c r="C87" s="898"/>
      <c r="D87" s="898"/>
      <c r="E87" s="898"/>
      <c r="F87" s="766" t="s">
        <v>84</v>
      </c>
      <c r="G87" s="139">
        <v>0</v>
      </c>
      <c r="H87" s="743" t="s">
        <v>81</v>
      </c>
      <c r="I87" s="41">
        <f>I54</f>
        <v>3.9500000000000001E-4</v>
      </c>
      <c r="J87" s="62">
        <f>ROUND(G87*I87,2)</f>
        <v>0</v>
      </c>
      <c r="K87" s="77"/>
      <c r="L87" s="70"/>
      <c r="M87" s="71"/>
      <c r="N87" s="70"/>
      <c r="O87" s="70"/>
      <c r="P87" s="70"/>
      <c r="Q87" s="70"/>
      <c r="R87" s="740" t="s">
        <v>170</v>
      </c>
      <c r="S87" s="740"/>
      <c r="T87" s="740"/>
      <c r="U87" s="761"/>
      <c r="V87" s="203">
        <f>G87</f>
        <v>0</v>
      </c>
      <c r="W87" s="745"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756" t="s">
        <v>110</v>
      </c>
      <c r="B90" s="744">
        <f>I12+I13+I18+I21+I24</f>
        <v>0</v>
      </c>
      <c r="C90" s="744"/>
      <c r="D90" s="869">
        <f>I6</f>
        <v>1.0355000000000001</v>
      </c>
      <c r="E90" s="869"/>
      <c r="F90" s="869"/>
      <c r="G90" s="122">
        <f>'[1]Detail 2025-26 FEFP Second'!AB3</f>
        <v>958.42</v>
      </c>
      <c r="H90" s="47" t="s">
        <v>68</v>
      </c>
      <c r="I90" s="708">
        <f>ROUND(B90*D90*G90,2)</f>
        <v>0</v>
      </c>
      <c r="J90" s="81"/>
      <c r="K90" s="70"/>
      <c r="L90" s="70"/>
      <c r="M90" s="71"/>
      <c r="N90" s="70"/>
      <c r="O90" s="70"/>
      <c r="P90" s="70"/>
      <c r="Q90" s="70"/>
      <c r="R90" s="755" t="s">
        <v>110</v>
      </c>
      <c r="S90" s="759">
        <f>X12+X13+X18+X21+X24</f>
        <v>0</v>
      </c>
      <c r="T90" s="924">
        <f>X6</f>
        <v>1.0355000000000001</v>
      </c>
      <c r="U90" s="924"/>
      <c r="V90" s="122">
        <f>G90</f>
        <v>958.42</v>
      </c>
      <c r="W90" s="182" t="s">
        <v>68</v>
      </c>
      <c r="X90" s="272">
        <f>ROUND(S90*T90*V90,2)</f>
        <v>0</v>
      </c>
      <c r="Y90" s="205"/>
    </row>
    <row r="91" spans="1:26" ht="21" customHeight="1" x14ac:dyDescent="0.25">
      <c r="A91" s="82" t="s">
        <v>60</v>
      </c>
      <c r="B91" s="744">
        <f>I14+I15+I19+I22+I25</f>
        <v>8.1980000000000004</v>
      </c>
      <c r="C91" s="744"/>
      <c r="D91" s="869">
        <f>I6</f>
        <v>1.0355000000000001</v>
      </c>
      <c r="E91" s="869"/>
      <c r="F91" s="869"/>
      <c r="G91" s="122">
        <f>'[1]Detail 2025-26 FEFP Second'!AC3</f>
        <v>915.09</v>
      </c>
      <c r="H91" s="47" t="s">
        <v>68</v>
      </c>
      <c r="I91" s="707">
        <f>ROUND(B91*D91*G91,2)</f>
        <v>7768.23</v>
      </c>
      <c r="K91" s="70"/>
      <c r="L91" s="70"/>
      <c r="M91" s="71"/>
      <c r="N91" s="70"/>
      <c r="O91" s="70"/>
      <c r="P91" s="70"/>
      <c r="Q91" s="70"/>
      <c r="R91" s="206" t="s">
        <v>60</v>
      </c>
      <c r="S91" s="759">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72.372599999999991</v>
      </c>
      <c r="C92" s="109"/>
      <c r="D92" s="869">
        <f>I6</f>
        <v>1.0355000000000001</v>
      </c>
      <c r="E92" s="869"/>
      <c r="F92" s="869"/>
      <c r="G92" s="122">
        <f>'[1]Detail 2025-26 FEFP Second'!AD3</f>
        <v>917.3</v>
      </c>
      <c r="H92" s="47" t="s">
        <v>68</v>
      </c>
      <c r="I92" s="575">
        <f>ROUND(B92*D92*G92,2)</f>
        <v>68744.14</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765" t="s">
        <v>111</v>
      </c>
      <c r="B93" s="109">
        <f>SUM(B90:B92)</f>
        <v>80.570599999999985</v>
      </c>
      <c r="C93" s="109"/>
      <c r="D93" s="109"/>
      <c r="E93" s="939" t="s">
        <v>112</v>
      </c>
      <c r="F93" s="939"/>
      <c r="G93" s="939"/>
      <c r="H93" s="939"/>
      <c r="I93" s="939"/>
      <c r="J93" s="127">
        <f>IF(A1=75,0,I92+I91+I90)</f>
        <v>76512.37</v>
      </c>
      <c r="K93" s="70"/>
      <c r="L93" s="70"/>
      <c r="M93" s="71"/>
      <c r="N93" s="70"/>
      <c r="O93" s="70"/>
      <c r="P93" s="70"/>
      <c r="Q93" s="70"/>
      <c r="R93" s="760"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766" t="s">
        <v>115</v>
      </c>
      <c r="G95" s="941"/>
      <c r="H95" s="941"/>
      <c r="I95" s="941"/>
      <c r="J95" s="941"/>
      <c r="K95" s="70"/>
      <c r="L95" s="70"/>
      <c r="M95" s="71"/>
      <c r="N95" s="70"/>
      <c r="O95" s="70"/>
      <c r="P95" s="70"/>
      <c r="Q95" s="70"/>
      <c r="R95" s="862" t="s">
        <v>173</v>
      </c>
      <c r="S95" s="862"/>
      <c r="T95" s="862"/>
      <c r="U95" s="761"/>
      <c r="V95" s="928"/>
      <c r="W95" s="928"/>
      <c r="X95" s="928"/>
      <c r="Y95" s="928"/>
    </row>
    <row r="96" spans="1:26" ht="15" customHeight="1" x14ac:dyDescent="0.25">
      <c r="B96" s="752"/>
      <c r="C96" s="123" t="s">
        <v>572</v>
      </c>
      <c r="D96" s="123" t="s">
        <v>573</v>
      </c>
      <c r="E96" s="872" t="s">
        <v>157</v>
      </c>
      <c r="F96" s="872"/>
      <c r="G96" s="872"/>
      <c r="H96" s="766"/>
      <c r="I96" s="766"/>
      <c r="J96" s="766"/>
      <c r="K96" s="70"/>
      <c r="L96" s="70"/>
      <c r="M96" s="71"/>
      <c r="N96" s="70"/>
      <c r="O96" s="70"/>
      <c r="P96" s="70"/>
      <c r="Q96" s="70"/>
      <c r="R96" s="929" t="s">
        <v>116</v>
      </c>
      <c r="S96" s="929"/>
      <c r="T96" s="930">
        <f>IF(I111=1,E97,0)</f>
        <v>0</v>
      </c>
      <c r="U96" s="930"/>
      <c r="V96" s="930"/>
      <c r="W96" s="746" t="s">
        <v>117</v>
      </c>
      <c r="X96" s="212">
        <f>I97</f>
        <v>586</v>
      </c>
      <c r="Y96" s="266">
        <f>ROUND(X96*T96,2)</f>
        <v>0</v>
      </c>
    </row>
    <row r="97" spans="1:25" ht="17.25" customHeight="1" x14ac:dyDescent="0.25">
      <c r="A97" s="912" t="s">
        <v>116</v>
      </c>
      <c r="B97" s="912"/>
      <c r="C97" s="279">
        <v>20</v>
      </c>
      <c r="D97" s="279">
        <v>0</v>
      </c>
      <c r="E97" s="988">
        <f>(C97+D97)</f>
        <v>20</v>
      </c>
      <c r="F97" s="942"/>
      <c r="G97" s="942"/>
      <c r="H97" s="772" t="s">
        <v>117</v>
      </c>
      <c r="I97" s="130">
        <f>'0040'!I97</f>
        <v>586</v>
      </c>
      <c r="J97" s="138">
        <f>ROUND(I97*E97,2)</f>
        <v>11720</v>
      </c>
      <c r="K97" s="70"/>
      <c r="L97" s="70"/>
      <c r="M97" s="71"/>
      <c r="N97" s="70"/>
      <c r="O97" s="70"/>
      <c r="P97" s="70"/>
      <c r="Q97" s="70"/>
      <c r="R97" s="929" t="s">
        <v>118</v>
      </c>
      <c r="S97" s="929"/>
      <c r="T97" s="930">
        <f>IF(I112=1,E98,0)</f>
        <v>0</v>
      </c>
      <c r="U97" s="930"/>
      <c r="V97" s="930"/>
      <c r="W97" s="746" t="s">
        <v>117</v>
      </c>
      <c r="X97" s="212">
        <f>I98</f>
        <v>1811</v>
      </c>
      <c r="Y97" s="266">
        <f>ROUND(X97*T97,2)</f>
        <v>0</v>
      </c>
    </row>
    <row r="98" spans="1:25" ht="17.25" customHeight="1" x14ac:dyDescent="0.25">
      <c r="A98" s="912" t="s">
        <v>118</v>
      </c>
      <c r="B98" s="912"/>
      <c r="C98" s="279">
        <v>0</v>
      </c>
      <c r="D98" s="279"/>
      <c r="E98" s="943">
        <f>(C98+D98)/2</f>
        <v>0</v>
      </c>
      <c r="F98" s="943"/>
      <c r="G98" s="943"/>
      <c r="H98" s="772" t="s">
        <v>117</v>
      </c>
      <c r="I98" s="130">
        <f>'0040'!I98</f>
        <v>1811</v>
      </c>
      <c r="J98" s="62">
        <f>ROUND(I98*E98,2)</f>
        <v>0</v>
      </c>
      <c r="K98" s="70"/>
      <c r="L98" s="70"/>
      <c r="M98" s="71"/>
      <c r="N98" s="70"/>
      <c r="O98" s="70"/>
      <c r="P98" s="70"/>
      <c r="Q98" s="70"/>
      <c r="R98" s="762"/>
      <c r="S98" s="762"/>
      <c r="T98" s="275"/>
      <c r="U98" s="275"/>
      <c r="V98" s="275"/>
      <c r="W98" s="746"/>
      <c r="X98" s="212"/>
      <c r="Y98" s="271"/>
    </row>
    <row r="99" spans="1:25" ht="27.75" customHeight="1" x14ac:dyDescent="0.25">
      <c r="A99" s="756"/>
      <c r="B99" s="756"/>
      <c r="C99" s="110"/>
      <c r="D99" s="110"/>
      <c r="E99" s="124"/>
      <c r="F99" s="124"/>
      <c r="G99" s="124"/>
      <c r="H99" s="772"/>
      <c r="I99" s="86"/>
      <c r="J99" s="30"/>
      <c r="K99" s="70"/>
      <c r="L99" s="70"/>
      <c r="M99" s="71"/>
      <c r="N99" s="70"/>
      <c r="O99" s="70"/>
      <c r="P99" s="70"/>
      <c r="Q99" s="70"/>
      <c r="R99" s="762"/>
      <c r="S99" s="762"/>
      <c r="T99" s="275"/>
      <c r="U99" s="275"/>
      <c r="V99" s="275"/>
      <c r="W99" s="746"/>
      <c r="X99" s="212"/>
      <c r="Y99" s="271"/>
    </row>
    <row r="100" spans="1:25" ht="14.25" customHeight="1" x14ac:dyDescent="0.25">
      <c r="A100" s="898" t="s">
        <v>119</v>
      </c>
      <c r="B100" s="898"/>
      <c r="C100" s="898"/>
      <c r="D100" s="898"/>
      <c r="E100" s="898"/>
      <c r="F100" s="743" t="s">
        <v>120</v>
      </c>
      <c r="G100" s="868"/>
      <c r="H100" s="868"/>
      <c r="I100" s="868"/>
      <c r="J100" s="868"/>
      <c r="K100" s="70"/>
      <c r="L100" s="70"/>
      <c r="M100" s="71"/>
      <c r="N100" s="70"/>
      <c r="O100" s="70"/>
      <c r="P100" s="70"/>
      <c r="Q100" s="70"/>
      <c r="R100" s="862" t="s">
        <v>174</v>
      </c>
      <c r="S100" s="862"/>
      <c r="T100" s="862"/>
      <c r="U100" s="745"/>
      <c r="V100" s="876"/>
      <c r="W100" s="876"/>
      <c r="X100" s="876"/>
      <c r="Y100" s="876"/>
    </row>
    <row r="101" spans="1:25" ht="48" customHeight="1" x14ac:dyDescent="0.25">
      <c r="A101" s="949" t="s">
        <v>121</v>
      </c>
      <c r="B101" s="949"/>
      <c r="C101" s="769"/>
      <c r="D101" s="870" t="s">
        <v>122</v>
      </c>
      <c r="E101" s="870"/>
      <c r="F101" s="870"/>
      <c r="G101" s="950" t="s">
        <v>123</v>
      </c>
      <c r="H101" s="950"/>
      <c r="I101" s="770" t="s">
        <v>124</v>
      </c>
      <c r="J101" s="769" t="s">
        <v>125</v>
      </c>
      <c r="K101" s="70"/>
      <c r="L101" s="70"/>
      <c r="M101" s="70"/>
      <c r="N101" s="70"/>
      <c r="O101" s="70"/>
      <c r="P101" s="70"/>
      <c r="Q101" s="70"/>
      <c r="R101" s="936" t="s">
        <v>121</v>
      </c>
      <c r="S101" s="936"/>
      <c r="T101" s="937" t="s">
        <v>122</v>
      </c>
      <c r="U101" s="937"/>
      <c r="V101" s="938" t="s">
        <v>123</v>
      </c>
      <c r="W101" s="938"/>
      <c r="X101" s="764" t="s">
        <v>124</v>
      </c>
      <c r="Y101" s="763" t="s">
        <v>125</v>
      </c>
    </row>
    <row r="102" spans="1:25" ht="16.5" customHeight="1" x14ac:dyDescent="0.25">
      <c r="A102" s="861" t="s">
        <v>126</v>
      </c>
      <c r="B102" s="861"/>
      <c r="C102" s="739"/>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739"/>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742"/>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743"/>
      <c r="D105" s="74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757" t="s">
        <v>130</v>
      </c>
      <c r="G106" s="916"/>
      <c r="H106" s="916"/>
      <c r="I106" s="916"/>
      <c r="J106" s="93"/>
      <c r="K106" s="94"/>
      <c r="L106" s="94"/>
      <c r="M106" s="94"/>
      <c r="N106" s="94"/>
      <c r="O106" s="94"/>
      <c r="P106" s="94"/>
      <c r="Q106" s="94"/>
      <c r="R106" s="862" t="s">
        <v>175</v>
      </c>
      <c r="S106" s="862"/>
      <c r="T106" s="862"/>
      <c r="U106" s="767"/>
      <c r="V106" s="944"/>
      <c r="W106" s="944"/>
      <c r="X106" s="944"/>
      <c r="Y106" s="157">
        <v>0</v>
      </c>
    </row>
    <row r="107" spans="1:25" ht="30" customHeight="1" thickBot="1" x14ac:dyDescent="0.3">
      <c r="A107" s="912" t="s">
        <v>125</v>
      </c>
      <c r="B107" s="912"/>
      <c r="C107" s="912"/>
      <c r="D107" s="912"/>
      <c r="E107" s="912"/>
      <c r="F107" s="912"/>
      <c r="G107" s="912"/>
      <c r="H107" s="912"/>
      <c r="I107" s="912"/>
      <c r="J107" s="580">
        <f>SUM(J106,J105,J98,J97,J93,J86,J85,J71,J70,J68,J33,J72,J50,J87,J84)</f>
        <v>689058.91999999993</v>
      </c>
      <c r="R107" s="862" t="s">
        <v>125</v>
      </c>
      <c r="S107" s="862"/>
      <c r="T107" s="862"/>
      <c r="U107" s="862"/>
      <c r="V107" s="862"/>
      <c r="W107" s="862"/>
      <c r="X107" s="862"/>
      <c r="Y107" s="723">
        <f>SUM(Y106,Y105,Y97,Y96,Y93,Y86,Y85,Y84,Y70,Y69,Y67,Y33,Y71,Y50,Y87,Y83)</f>
        <v>97849.13</v>
      </c>
    </row>
    <row r="108" spans="1:25" ht="15.75" customHeight="1" thickTop="1" x14ac:dyDescent="0.25">
      <c r="A108" s="868"/>
      <c r="B108" s="868"/>
      <c r="C108" s="868"/>
      <c r="D108" s="868"/>
      <c r="E108" s="868"/>
      <c r="F108" s="868"/>
      <c r="G108" s="868"/>
      <c r="H108" s="868"/>
      <c r="I108" s="868"/>
      <c r="J108" s="868"/>
      <c r="R108" s="876"/>
      <c r="S108" s="876"/>
      <c r="T108" s="876"/>
      <c r="U108" s="876"/>
      <c r="V108" s="876"/>
      <c r="W108" s="876"/>
      <c r="X108" s="876"/>
      <c r="Y108" s="876"/>
    </row>
    <row r="109" spans="1:25" ht="17.25" customHeight="1" thickBot="1" x14ac:dyDescent="0.3">
      <c r="A109" s="898" t="s">
        <v>131</v>
      </c>
      <c r="B109" s="898"/>
      <c r="C109" s="898"/>
      <c r="D109" s="898"/>
      <c r="E109" s="898"/>
      <c r="F109" s="868"/>
      <c r="G109" s="868"/>
      <c r="H109" s="868"/>
      <c r="I109" s="2" t="s">
        <v>132</v>
      </c>
      <c r="J109" s="582">
        <f>J107-J38</f>
        <v>668728.75999999989</v>
      </c>
      <c r="R109" s="170" t="s">
        <v>176</v>
      </c>
      <c r="S109" s="170"/>
      <c r="T109" s="170"/>
      <c r="U109" s="170"/>
      <c r="V109" s="170"/>
      <c r="W109" s="170"/>
      <c r="X109" s="170"/>
      <c r="Y109" s="724">
        <f>Y107-Y38</f>
        <v>93436.86</v>
      </c>
    </row>
    <row r="110" spans="1:25" ht="18.75" customHeight="1" thickTop="1" x14ac:dyDescent="0.25">
      <c r="A110" s="898" t="s">
        <v>133</v>
      </c>
      <c r="B110" s="898"/>
      <c r="C110" s="898"/>
      <c r="D110" s="898"/>
      <c r="E110" s="898"/>
      <c r="F110" s="898"/>
      <c r="G110" s="898"/>
      <c r="H110" s="898"/>
      <c r="I110" s="752" t="s">
        <v>134</v>
      </c>
      <c r="J110" s="72"/>
      <c r="R110" s="953" t="s">
        <v>136</v>
      </c>
      <c r="S110" s="953"/>
      <c r="T110" s="953"/>
      <c r="U110" s="953"/>
      <c r="V110" s="953"/>
      <c r="W110" s="953"/>
      <c r="X110" s="953"/>
      <c r="Y110" s="953"/>
    </row>
    <row r="111" spans="1:25" ht="15.75" customHeight="1" x14ac:dyDescent="0.25">
      <c r="A111" s="899" t="s">
        <v>135</v>
      </c>
      <c r="B111" s="899"/>
      <c r="C111" s="899"/>
      <c r="D111" s="899"/>
      <c r="E111" s="899"/>
      <c r="F111" s="899"/>
      <c r="G111" s="899"/>
      <c r="H111" s="899"/>
      <c r="I111" s="280"/>
      <c r="J111" s="137">
        <f>Y109</f>
        <v>93436.86</v>
      </c>
      <c r="R111" s="952" t="s">
        <v>177</v>
      </c>
      <c r="S111" s="952"/>
      <c r="T111" s="952"/>
      <c r="U111" s="952"/>
      <c r="V111" s="952"/>
      <c r="W111" s="952"/>
      <c r="X111" s="952"/>
      <c r="Y111" s="952"/>
    </row>
    <row r="112" spans="1:25" ht="15.75" customHeight="1" x14ac:dyDescent="0.25">
      <c r="A112" s="753"/>
      <c r="B112" s="753"/>
      <c r="C112" s="753"/>
      <c r="D112" s="753"/>
      <c r="E112" s="753"/>
      <c r="F112" s="753"/>
      <c r="G112" s="753"/>
      <c r="H112" s="753"/>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181</v>
      </c>
      <c r="B114" s="293"/>
      <c r="C114" s="293"/>
      <c r="D114" s="293"/>
      <c r="E114" s="293"/>
      <c r="F114" s="293"/>
      <c r="G114" s="293"/>
      <c r="H114" s="709">
        <v>0</v>
      </c>
      <c r="I114" s="710">
        <f>IF(I111=1,J111,J109)</f>
        <v>668728.75999999989</v>
      </c>
      <c r="J114" s="711">
        <f>ROUND(IF(E28=0,0,IF(E28&gt;250,-(((250/E28)*I114)*IF(H114="H",0.02,0.05)),IF(H114="H",-0.02*I114,-0.05*I114))),2)</f>
        <v>-33436.44</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655622.48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12"/>
      <c r="I118" s="713"/>
      <c r="J118" s="718">
        <f>-'Cumulative Payments'!Q73</f>
        <v>-173370.56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482251.92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96450.38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751" t="s">
        <v>146</v>
      </c>
      <c r="B138" s="751"/>
      <c r="C138" s="751"/>
      <c r="D138" s="751"/>
      <c r="E138" s="751"/>
      <c r="F138" s="751"/>
      <c r="G138" s="751"/>
      <c r="H138" s="751"/>
      <c r="I138" s="751"/>
      <c r="J138" s="751"/>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X56:Y56"/>
    <mergeCell ref="A59:B59"/>
    <mergeCell ref="F59:H59"/>
    <mergeCell ref="X59:Y59"/>
    <mergeCell ref="I60:J60"/>
    <mergeCell ref="R60:Y60"/>
    <mergeCell ref="A61:J61"/>
    <mergeCell ref="R61:S61"/>
    <mergeCell ref="V61:W61"/>
    <mergeCell ref="X61:Y61"/>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84:B84"/>
    <mergeCell ref="R84:T84"/>
    <mergeCell ref="A85:E85"/>
    <mergeCell ref="R85:T85"/>
    <mergeCell ref="A86:E86"/>
    <mergeCell ref="R86:T86"/>
    <mergeCell ref="A77:B77"/>
    <mergeCell ref="R78:S78"/>
    <mergeCell ref="A79:B79"/>
    <mergeCell ref="R79:S79"/>
    <mergeCell ref="A80:B80"/>
    <mergeCell ref="R83:S83"/>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E4-6F7C-49D1-9ABE-ABA0348B9871}">
  <dimension ref="A1:Z207"/>
  <sheetViews>
    <sheetView topLeftCell="H37"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433</v>
      </c>
      <c r="B2" s="102"/>
      <c r="C2" s="102"/>
      <c r="D2" s="102"/>
      <c r="E2" s="100"/>
      <c r="F2" s="100"/>
      <c r="G2" s="100"/>
      <c r="H2" s="100"/>
      <c r="I2" s="100"/>
      <c r="J2" s="100"/>
      <c r="K2" s="6"/>
      <c r="L2" s="6"/>
      <c r="M2" s="6"/>
      <c r="N2" s="6"/>
      <c r="O2" s="6"/>
      <c r="P2" s="6"/>
      <c r="Q2" s="6"/>
      <c r="R2" s="875" t="str">
        <f>Revenue_Estimate_Worksheet_for___________Charter_School</f>
        <v>Revenue Estimate Worksheet: The Learning Center Highschool 0100</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Second'!$C$1:$C$65536,MATCH('0100'!$A$1,'[1]Detail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Second'!$D$1:$D$65536,MATCH('0100'!$A$1,'[1]Detail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c r="D12" s="411"/>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c r="D13" s="415"/>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c r="D14" s="415"/>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c r="D15" s="415"/>
      <c r="E15" s="967">
        <f t="shared" si="0"/>
        <v>0</v>
      </c>
      <c r="F15" s="967"/>
      <c r="G15" s="968">
        <v>1</v>
      </c>
      <c r="H15" s="968"/>
      <c r="I15" s="578">
        <f t="shared" si="2"/>
        <v>0</v>
      </c>
      <c r="J15" s="579">
        <f t="shared" si="1"/>
        <v>0</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c r="D16" s="415"/>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0.5</v>
      </c>
      <c r="D17" s="415"/>
      <c r="E17" s="967">
        <f t="shared" si="0"/>
        <v>1</v>
      </c>
      <c r="F17" s="967"/>
      <c r="G17" s="968">
        <v>0.97199999999999998</v>
      </c>
      <c r="H17" s="968"/>
      <c r="I17" s="578">
        <f t="shared" si="2"/>
        <v>0.97199999999999998</v>
      </c>
      <c r="J17" s="579">
        <f t="shared" si="1"/>
        <v>5407.55</v>
      </c>
      <c r="M17" s="2"/>
      <c r="R17" s="860" t="s">
        <v>25</v>
      </c>
      <c r="S17" s="860"/>
      <c r="T17" s="891">
        <f t="shared" si="3"/>
        <v>1</v>
      </c>
      <c r="U17" s="891"/>
      <c r="V17" s="896">
        <v>1</v>
      </c>
      <c r="W17" s="896"/>
      <c r="X17" s="156">
        <f t="shared" si="4"/>
        <v>1</v>
      </c>
      <c r="Y17" s="266">
        <f t="shared" si="6"/>
        <v>5563.33</v>
      </c>
    </row>
    <row r="18" spans="1:25" x14ac:dyDescent="0.25">
      <c r="A18" s="861" t="s">
        <v>26</v>
      </c>
      <c r="B18" s="861"/>
      <c r="C18" s="415"/>
      <c r="D18" s="415"/>
      <c r="E18" s="967">
        <f>IF($D$28=0,C18*2,C18+D18)</f>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c r="D19" s="415"/>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10</v>
      </c>
      <c r="D20" s="415"/>
      <c r="E20" s="967">
        <f>IF($D$28=0,C20*2,C20+D20)</f>
        <v>20</v>
      </c>
      <c r="F20" s="967"/>
      <c r="G20" s="968">
        <v>3.609</v>
      </c>
      <c r="H20" s="968"/>
      <c r="I20" s="578">
        <f t="shared" si="2"/>
        <v>72.180000000000007</v>
      </c>
      <c r="J20" s="579">
        <f t="shared" si="1"/>
        <v>401560.96</v>
      </c>
      <c r="M20" s="2"/>
      <c r="R20" s="860" t="s">
        <v>28</v>
      </c>
      <c r="S20" s="860"/>
      <c r="T20" s="891">
        <f t="shared" si="3"/>
        <v>20</v>
      </c>
      <c r="U20" s="891"/>
      <c r="V20" s="896">
        <v>1</v>
      </c>
      <c r="W20" s="896"/>
      <c r="X20" s="156">
        <f t="shared" si="4"/>
        <v>20</v>
      </c>
      <c r="Y20" s="266">
        <f t="shared" si="6"/>
        <v>111266.55</v>
      </c>
    </row>
    <row r="21" spans="1:25" ht="15" customHeight="1" x14ac:dyDescent="0.25">
      <c r="A21" s="861" t="s">
        <v>29</v>
      </c>
      <c r="B21" s="861"/>
      <c r="C21" s="415"/>
      <c r="D21" s="415"/>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c r="D22" s="415"/>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3</v>
      </c>
      <c r="D23" s="415"/>
      <c r="E23" s="967">
        <f t="shared" si="0"/>
        <v>6</v>
      </c>
      <c r="F23" s="967"/>
      <c r="G23" s="968">
        <v>6.0640000000000001</v>
      </c>
      <c r="H23" s="968"/>
      <c r="I23" s="578">
        <f t="shared" si="2"/>
        <v>36.384</v>
      </c>
      <c r="J23" s="579">
        <f t="shared" si="1"/>
        <v>202416.1</v>
      </c>
      <c r="M23" s="2"/>
      <c r="R23" s="860" t="s">
        <v>31</v>
      </c>
      <c r="S23" s="860"/>
      <c r="T23" s="891">
        <f t="shared" si="3"/>
        <v>6</v>
      </c>
      <c r="U23" s="891"/>
      <c r="V23" s="896">
        <v>1</v>
      </c>
      <c r="W23" s="896"/>
      <c r="X23" s="156">
        <f t="shared" si="4"/>
        <v>6</v>
      </c>
      <c r="Y23" s="266">
        <f t="shared" si="6"/>
        <v>33379.96</v>
      </c>
    </row>
    <row r="24" spans="1:25" x14ac:dyDescent="0.25">
      <c r="A24" s="861" t="s">
        <v>32</v>
      </c>
      <c r="B24" s="861"/>
      <c r="C24" s="415"/>
      <c r="D24" s="415"/>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c r="D25" s="415"/>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c r="D26" s="415"/>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c r="D27" s="416"/>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13.5</v>
      </c>
      <c r="D28" s="126">
        <f>SUM(D12:D27)</f>
        <v>0</v>
      </c>
      <c r="E28" s="966">
        <f>SUM(E12:E27)</f>
        <v>27</v>
      </c>
      <c r="F28" s="966"/>
      <c r="G28" s="961"/>
      <c r="H28" s="961"/>
      <c r="I28" s="23">
        <f>SUM(I12:I27)</f>
        <v>109.536</v>
      </c>
      <c r="J28" s="127">
        <f>SUM(J12:J27)</f>
        <v>609384.61</v>
      </c>
      <c r="M28" s="2"/>
      <c r="R28" s="907" t="s">
        <v>36</v>
      </c>
      <c r="S28" s="907"/>
      <c r="T28" s="908">
        <f>SUM(T12:T27)</f>
        <v>27</v>
      </c>
      <c r="U28" s="908"/>
      <c r="V28" s="909"/>
      <c r="W28" s="909"/>
      <c r="X28" s="158">
        <f>SUM(X12:X27)</f>
        <v>27</v>
      </c>
      <c r="Y28" s="266">
        <f>SUM(Y12:Y27)</f>
        <v>150209.84</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109.536</v>
      </c>
      <c r="H33" s="961" t="s">
        <v>45</v>
      </c>
      <c r="I33" s="961"/>
      <c r="J33" s="32">
        <f>SUM(J32,J28)</f>
        <v>609384.61</v>
      </c>
      <c r="M33" s="2"/>
      <c r="R33" s="911" t="s">
        <v>44</v>
      </c>
      <c r="S33" s="911"/>
      <c r="T33" s="911"/>
      <c r="U33" s="911"/>
      <c r="V33" s="164" t="e">
        <f>V32+X28</f>
        <v>#REF!</v>
      </c>
      <c r="W33" s="909" t="s">
        <v>45</v>
      </c>
      <c r="X33" s="909"/>
      <c r="Y33" s="165">
        <f>SUM(Y32,Y28)</f>
        <v>150209.84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191517.55</v>
      </c>
      <c r="H36" s="223" t="s">
        <v>49</v>
      </c>
      <c r="I36" s="38">
        <v>6.6699999999999995E-2</v>
      </c>
      <c r="J36" s="131">
        <f>ROUND(G36*I36,2)</f>
        <v>12774.22</v>
      </c>
      <c r="K36" s="39"/>
      <c r="L36" s="233"/>
      <c r="M36" s="233"/>
      <c r="N36" s="233"/>
      <c r="O36" s="31"/>
      <c r="P36" s="232"/>
      <c r="Q36" s="232"/>
      <c r="R36" s="860" t="s">
        <v>47</v>
      </c>
      <c r="S36" s="860"/>
      <c r="T36" s="860"/>
      <c r="U36" s="253"/>
      <c r="V36" s="172">
        <v>61196.59</v>
      </c>
      <c r="W36" s="239" t="s">
        <v>49</v>
      </c>
      <c r="X36" s="174">
        <v>6.6699999999999995E-2</v>
      </c>
      <c r="Y36" s="266">
        <f>J36</f>
        <v>12774.22</v>
      </c>
    </row>
    <row r="37" spans="1:25" ht="20.25" customHeight="1" x14ac:dyDescent="0.25">
      <c r="A37" s="861" t="s">
        <v>50</v>
      </c>
      <c r="B37" s="861"/>
      <c r="C37" s="861"/>
      <c r="D37" s="861"/>
      <c r="E37" s="861"/>
      <c r="F37" s="248" t="s">
        <v>48</v>
      </c>
      <c r="G37" s="132">
        <v>191517.55</v>
      </c>
      <c r="H37" s="223" t="s">
        <v>49</v>
      </c>
      <c r="I37" s="38">
        <v>5.4000000000000003E-3</v>
      </c>
      <c r="J37" s="131">
        <f>ROUND(G37*I37,2)</f>
        <v>1034.19</v>
      </c>
      <c r="K37" s="39"/>
      <c r="L37" s="233"/>
      <c r="M37" s="233"/>
      <c r="N37" s="233"/>
      <c r="O37" s="31"/>
      <c r="P37" s="232"/>
      <c r="Q37" s="232"/>
      <c r="R37" s="860" t="s">
        <v>50</v>
      </c>
      <c r="S37" s="860"/>
      <c r="T37" s="860"/>
      <c r="U37" s="253"/>
      <c r="V37" s="172">
        <v>61196.59</v>
      </c>
      <c r="W37" s="239" t="s">
        <v>49</v>
      </c>
      <c r="X37" s="174">
        <v>5.4000000000000003E-3</v>
      </c>
      <c r="Y37" s="266">
        <f>J37</f>
        <v>1034.19</v>
      </c>
    </row>
    <row r="38" spans="1:25" ht="20.25" customHeight="1" x14ac:dyDescent="0.25">
      <c r="A38" s="898" t="s">
        <v>51</v>
      </c>
      <c r="B38" s="898"/>
      <c r="C38" s="898"/>
      <c r="D38" s="898"/>
      <c r="E38" s="898"/>
      <c r="F38" s="248" t="s">
        <v>52</v>
      </c>
      <c r="G38" s="40"/>
      <c r="H38" s="223"/>
      <c r="I38" s="41"/>
      <c r="J38" s="131">
        <f>SUM(J36:J37)</f>
        <v>13808.41</v>
      </c>
      <c r="K38" s="39"/>
      <c r="L38" s="233"/>
      <c r="M38" s="233"/>
      <c r="N38" s="233"/>
      <c r="O38" s="31"/>
      <c r="P38" s="232"/>
      <c r="Q38" s="232"/>
      <c r="R38" s="862" t="s">
        <v>51</v>
      </c>
      <c r="S38" s="862"/>
      <c r="T38" s="862"/>
      <c r="U38" s="253" t="s">
        <v>52</v>
      </c>
      <c r="V38" s="175"/>
      <c r="W38" s="239"/>
      <c r="X38" s="176"/>
      <c r="Y38" s="157">
        <f>Y36+Y37</f>
        <v>13808.41</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700"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0</v>
      </c>
      <c r="D44" s="415">
        <v>0</v>
      </c>
      <c r="E44" s="954">
        <f t="shared" si="7"/>
        <v>0</v>
      </c>
      <c r="F44" s="954"/>
      <c r="G44" s="47" t="s">
        <v>60</v>
      </c>
      <c r="H44" s="223">
        <v>251</v>
      </c>
      <c r="I44" s="136">
        <f>INDEX('[1]111-112-113 ADDITIONAL FUND'!G$1:G$65536,MATCH($A$1,'[1]111-112-113 ADDITIONAL FUND'!A$1:A$65536))</f>
        <v>1173</v>
      </c>
      <c r="J44" s="13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46">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0.5</v>
      </c>
      <c r="D47" s="415">
        <v>0</v>
      </c>
      <c r="E47" s="954">
        <f t="shared" si="7"/>
        <v>1</v>
      </c>
      <c r="F47" s="954"/>
      <c r="G47" s="47" t="s">
        <v>61</v>
      </c>
      <c r="H47" s="223">
        <v>251</v>
      </c>
      <c r="I47" s="136">
        <f>INDEX('[1]111-112-113 ADDITIONAL FUND'!J$1:J$65536,MATCH($A$1,'[1]111-112-113 ADDITIONAL FUND'!A$1:A$65536))</f>
        <v>835</v>
      </c>
      <c r="J47" s="46">
        <f t="shared" si="8"/>
        <v>835</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0.5</v>
      </c>
      <c r="D50" s="233">
        <f>SUM(D41:D49)</f>
        <v>0</v>
      </c>
      <c r="E50" s="956">
        <f>SUM(E41:E49)</f>
        <v>1</v>
      </c>
      <c r="F50" s="956"/>
      <c r="G50" s="912" t="s">
        <v>63</v>
      </c>
      <c r="H50" s="912"/>
      <c r="I50" s="912"/>
      <c r="J50" s="276">
        <f>SUM(J41:J49)</f>
        <v>835</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27</v>
      </c>
      <c r="U52" s="184" t="s">
        <v>66</v>
      </c>
      <c r="V52" s="185"/>
      <c r="W52" s="186" t="s">
        <v>67</v>
      </c>
      <c r="X52" s="919">
        <f>I53</f>
        <v>207782.75</v>
      </c>
      <c r="Y52" s="919"/>
    </row>
    <row r="53" spans="1:25" ht="16.5" customHeight="1" x14ac:dyDescent="0.25">
      <c r="A53" s="899" t="s">
        <v>65</v>
      </c>
      <c r="B53" s="899"/>
      <c r="C53" s="48">
        <f>E28</f>
        <v>27</v>
      </c>
      <c r="D53" s="49" t="s">
        <v>66</v>
      </c>
      <c r="G53" s="3"/>
      <c r="H53" s="50" t="s">
        <v>67</v>
      </c>
      <c r="I53" s="702">
        <f>'0040'!I53</f>
        <v>207782.75</v>
      </c>
      <c r="J53" s="704"/>
      <c r="M53" s="2"/>
      <c r="R53" s="255"/>
      <c r="S53" s="243"/>
      <c r="T53" s="170"/>
      <c r="U53" s="170"/>
      <c r="V53" s="170"/>
      <c r="W53" s="189" t="s">
        <v>68</v>
      </c>
      <c r="X53" s="920">
        <f>ROUND(T52/X52,6)</f>
        <v>1.2999999999999999E-4</v>
      </c>
      <c r="Y53" s="920"/>
    </row>
    <row r="54" spans="1:25" ht="22.5" customHeight="1" x14ac:dyDescent="0.25">
      <c r="A54" s="237"/>
      <c r="B54" s="230"/>
      <c r="C54" s="230"/>
      <c r="D54" s="230"/>
      <c r="H54" s="53" t="s">
        <v>68</v>
      </c>
      <c r="I54" s="945">
        <f>IFERROR(ROUND(C53/I53,6),0)</f>
        <v>1.2999999999999999E-4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27</v>
      </c>
      <c r="U55" s="184" t="s">
        <v>66</v>
      </c>
      <c r="V55" s="185"/>
      <c r="W55" s="186" t="s">
        <v>71</v>
      </c>
      <c r="X55" s="919">
        <f>I56</f>
        <v>221179.83999999997</v>
      </c>
      <c r="Y55" s="919"/>
    </row>
    <row r="56" spans="1:25" ht="16.5" customHeight="1" x14ac:dyDescent="0.25">
      <c r="A56" s="899" t="s">
        <v>70</v>
      </c>
      <c r="B56" s="899"/>
      <c r="C56" s="48">
        <f>G33</f>
        <v>109.536</v>
      </c>
      <c r="D56" s="49" t="s">
        <v>66</v>
      </c>
      <c r="G56" s="3"/>
      <c r="H56" s="50" t="s">
        <v>71</v>
      </c>
      <c r="I56" s="702">
        <f>'0040'!I56</f>
        <v>221179.83999999997</v>
      </c>
      <c r="J56" s="704"/>
      <c r="M56" s="2"/>
      <c r="R56" s="255"/>
      <c r="S56" s="170"/>
      <c r="T56" s="170"/>
      <c r="U56" s="170"/>
      <c r="V56" s="170"/>
      <c r="W56" s="189" t="s">
        <v>68</v>
      </c>
      <c r="X56" s="920">
        <f>ROUND(T55/X55,6)</f>
        <v>1.22E-4</v>
      </c>
      <c r="Y56" s="920"/>
    </row>
    <row r="57" spans="1:25" ht="18.75" customHeight="1" x14ac:dyDescent="0.25">
      <c r="A57" s="237"/>
      <c r="H57" s="53" t="s">
        <v>68</v>
      </c>
      <c r="I57" s="945">
        <f>IFERROR(ROUND(C56/I56,6),0)</f>
        <v>4.95E-4</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27</v>
      </c>
      <c r="U58" s="184" t="s">
        <v>66</v>
      </c>
      <c r="V58" s="918" t="s">
        <v>74</v>
      </c>
      <c r="W58" s="918"/>
      <c r="X58" s="919">
        <f>I59</f>
        <v>178931.75</v>
      </c>
      <c r="Y58" s="919"/>
    </row>
    <row r="59" spans="1:25" ht="18.75" customHeight="1" x14ac:dyDescent="0.25">
      <c r="A59" s="899" t="s">
        <v>73</v>
      </c>
      <c r="B59" s="899"/>
      <c r="C59" s="48">
        <f>E28</f>
        <v>27</v>
      </c>
      <c r="D59" s="49" t="s">
        <v>66</v>
      </c>
      <c r="F59" s="969" t="s">
        <v>74</v>
      </c>
      <c r="G59" s="969"/>
      <c r="H59" s="969"/>
      <c r="I59" s="702">
        <f>'0040'!I59</f>
        <v>178931.75</v>
      </c>
      <c r="J59" s="704"/>
      <c r="M59" s="2"/>
      <c r="R59" s="255"/>
      <c r="S59" s="170"/>
      <c r="T59" s="170"/>
      <c r="U59" s="170"/>
      <c r="V59" s="170"/>
      <c r="W59" s="189" t="s">
        <v>68</v>
      </c>
      <c r="X59" s="920">
        <f>ROUND(T58/X58,6)</f>
        <v>1.5100000000000001E-4</v>
      </c>
      <c r="Y59" s="920"/>
    </row>
    <row r="60" spans="1:25" ht="18" customHeight="1" x14ac:dyDescent="0.25">
      <c r="A60" s="237"/>
      <c r="H60" s="53" t="s">
        <v>68</v>
      </c>
      <c r="I60" s="945">
        <f>IFERROR(ROUND(C59/I59,6),0)</f>
        <v>1.5100000000000001E-4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27</v>
      </c>
      <c r="U61" s="184" t="s">
        <v>66</v>
      </c>
      <c r="V61" s="918" t="s">
        <v>76</v>
      </c>
      <c r="W61" s="918"/>
      <c r="X61" s="919">
        <f>I62</f>
        <v>207463.82</v>
      </c>
      <c r="Y61" s="919"/>
    </row>
    <row r="62" spans="1:25" ht="23.25" customHeight="1" x14ac:dyDescent="0.25">
      <c r="A62" s="899" t="s">
        <v>73</v>
      </c>
      <c r="B62" s="899"/>
      <c r="C62" s="48">
        <f>E28</f>
        <v>27</v>
      </c>
      <c r="D62" s="49" t="s">
        <v>66</v>
      </c>
      <c r="F62" s="969" t="s">
        <v>76</v>
      </c>
      <c r="G62" s="969"/>
      <c r="H62" s="969"/>
      <c r="I62" s="702">
        <f>'0040'!I62</f>
        <v>207463.82</v>
      </c>
      <c r="J62" s="704"/>
      <c r="M62" s="2"/>
      <c r="R62" s="255"/>
      <c r="S62" s="170"/>
      <c r="T62" s="170"/>
      <c r="U62" s="170"/>
      <c r="V62" s="170"/>
      <c r="W62" s="189" t="s">
        <v>68</v>
      </c>
      <c r="X62" s="920">
        <f>ROUND(T61/X61,6)</f>
        <v>1.2999999999999999E-4</v>
      </c>
      <c r="Y62" s="920"/>
    </row>
    <row r="63" spans="1:25" ht="19.5" customHeight="1" x14ac:dyDescent="0.25">
      <c r="A63" s="237"/>
      <c r="H63" s="53" t="s">
        <v>68</v>
      </c>
      <c r="I63" s="945">
        <f>IFERROR(ROUND(C62/I62,6),0)</f>
        <v>1.2999999999999999E-4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27</v>
      </c>
      <c r="U64" s="184" t="s">
        <v>66</v>
      </c>
      <c r="V64" s="918" t="s">
        <v>161</v>
      </c>
      <c r="W64" s="918"/>
      <c r="X64" s="919">
        <f>I65</f>
        <v>178612.82</v>
      </c>
      <c r="Y64" s="919"/>
    </row>
    <row r="65" spans="1:26" ht="22.5" customHeight="1" x14ac:dyDescent="0.25">
      <c r="A65" s="899" t="s">
        <v>73</v>
      </c>
      <c r="B65" s="899"/>
      <c r="C65" s="48">
        <f>E28</f>
        <v>27</v>
      </c>
      <c r="D65" s="990" t="s">
        <v>547</v>
      </c>
      <c r="E65" s="990"/>
      <c r="F65" s="990"/>
      <c r="G65" s="990"/>
      <c r="H65" s="990"/>
      <c r="I65" s="702">
        <f>'0040'!I65</f>
        <v>178612.82</v>
      </c>
      <c r="J65" s="704"/>
      <c r="M65" s="2"/>
      <c r="R65" s="190"/>
      <c r="S65" s="170"/>
      <c r="T65" s="170"/>
      <c r="U65" s="170"/>
      <c r="V65" s="170"/>
      <c r="W65" s="189" t="s">
        <v>68</v>
      </c>
      <c r="X65" s="920">
        <f>ROUND(T64/X64,6)</f>
        <v>1.5100000000000001E-4</v>
      </c>
      <c r="Y65" s="920"/>
    </row>
    <row r="66" spans="1:26" ht="19.5" customHeight="1" x14ac:dyDescent="0.25">
      <c r="A66" s="237"/>
      <c r="H66" s="53" t="s">
        <v>68</v>
      </c>
      <c r="I66" s="945">
        <f>IFERROR(ROUND(C65/I65,6),0)</f>
        <v>1.5100000000000001E-4</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1.2999999999999999E-4</v>
      </c>
      <c r="Y67" s="271">
        <f>ROUND(V67*X67,2)</f>
        <v>5931.85</v>
      </c>
    </row>
    <row r="68" spans="1:26" ht="30.75" customHeight="1" x14ac:dyDescent="0.25">
      <c r="A68" s="946" t="s">
        <v>79</v>
      </c>
      <c r="B68" s="946"/>
      <c r="C68" s="946"/>
      <c r="D68" s="946"/>
      <c r="E68" s="946"/>
      <c r="F68" s="248" t="s">
        <v>80</v>
      </c>
      <c r="G68" s="277">
        <f>'0040'!G68</f>
        <v>45629593</v>
      </c>
      <c r="H68" s="223" t="s">
        <v>81</v>
      </c>
      <c r="I68" s="41">
        <f>I63</f>
        <v>1.2999999999999999E-4</v>
      </c>
      <c r="J68" s="138">
        <f>ROUND(G68*I68,2)</f>
        <v>5931.85</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1.2999999999999999E-4</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1.2999999999999999E-4</v>
      </c>
      <c r="J70" s="138">
        <f>ROUND(G70*I70,2)</f>
        <v>0</v>
      </c>
      <c r="M70" s="2"/>
      <c r="R70" s="862" t="s">
        <v>163</v>
      </c>
      <c r="S70" s="862"/>
      <c r="T70" s="862"/>
      <c r="U70" s="253"/>
      <c r="V70" s="193">
        <f>G71</f>
        <v>18934058</v>
      </c>
      <c r="W70" s="239" t="s">
        <v>81</v>
      </c>
      <c r="X70" s="176">
        <f>X65</f>
        <v>1.5100000000000001E-4</v>
      </c>
      <c r="Y70" s="266">
        <f t="shared" si="11"/>
        <v>2859.04</v>
      </c>
    </row>
    <row r="71" spans="1:26" ht="19.5" customHeight="1" x14ac:dyDescent="0.25">
      <c r="A71" s="898" t="s">
        <v>85</v>
      </c>
      <c r="B71" s="898"/>
      <c r="C71" s="898"/>
      <c r="D71" s="898"/>
      <c r="E71" s="898"/>
      <c r="F71" s="248" t="s">
        <v>86</v>
      </c>
      <c r="G71" s="277">
        <f>'0040'!G71</f>
        <v>18934058</v>
      </c>
      <c r="H71" s="223" t="s">
        <v>81</v>
      </c>
      <c r="I71" s="41">
        <f>I66</f>
        <v>1.5100000000000001E-4</v>
      </c>
      <c r="J71" s="138">
        <f>ROUND(G71*I71,2)</f>
        <v>2859.04</v>
      </c>
      <c r="M71" s="2"/>
      <c r="R71" s="240" t="s">
        <v>164</v>
      </c>
      <c r="S71" s="240"/>
      <c r="T71" s="240"/>
      <c r="U71" s="253"/>
      <c r="V71" s="171">
        <f>G72</f>
        <v>11300012</v>
      </c>
      <c r="W71" s="239" t="s">
        <v>81</v>
      </c>
      <c r="X71" s="176">
        <f>X59</f>
        <v>1.5100000000000001E-4</v>
      </c>
      <c r="Y71" s="266">
        <f t="shared" si="11"/>
        <v>1706.3</v>
      </c>
    </row>
    <row r="72" spans="1:26" ht="19.5" customHeight="1" x14ac:dyDescent="0.25">
      <c r="A72" s="235" t="s">
        <v>87</v>
      </c>
      <c r="B72" s="235"/>
      <c r="C72" s="235"/>
      <c r="D72" s="235"/>
      <c r="E72" s="235"/>
      <c r="F72" s="248" t="s">
        <v>88</v>
      </c>
      <c r="G72" s="277">
        <f>'0040'!G72</f>
        <v>11300012</v>
      </c>
      <c r="H72" s="223" t="s">
        <v>81</v>
      </c>
      <c r="I72" s="41">
        <f>I60</f>
        <v>1.5100000000000001E-4</v>
      </c>
      <c r="J72" s="138">
        <f>ROUND(G72*I72,2)</f>
        <v>1706.3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4.95E-4</v>
      </c>
      <c r="J85" s="138">
        <f>ROUND(G85*I85,2)</f>
        <v>133064.06</v>
      </c>
      <c r="K85" s="70"/>
      <c r="L85" s="70"/>
      <c r="M85" s="71"/>
      <c r="N85" s="70"/>
      <c r="O85" s="70"/>
      <c r="P85" s="70"/>
      <c r="Q85" s="70"/>
      <c r="R85" s="862" t="s">
        <v>168</v>
      </c>
      <c r="S85" s="862"/>
      <c r="T85" s="862"/>
      <c r="U85" s="253"/>
      <c r="V85" s="171">
        <f>G85</f>
        <v>268816278</v>
      </c>
      <c r="W85" s="239" t="s">
        <v>81</v>
      </c>
      <c r="X85" s="176">
        <f>X56</f>
        <v>1.22E-4</v>
      </c>
      <c r="Y85" s="266">
        <f t="shared" ref="Y85:Y87" si="12">ROUND(V85*X85,2)</f>
        <v>32795.589999999997</v>
      </c>
    </row>
    <row r="86" spans="1:26" ht="14.25" customHeight="1" x14ac:dyDescent="0.25">
      <c r="A86" s="898" t="s">
        <v>104</v>
      </c>
      <c r="B86" s="898"/>
      <c r="C86" s="898"/>
      <c r="D86" s="898"/>
      <c r="E86" s="898"/>
      <c r="F86" s="248" t="s">
        <v>103</v>
      </c>
      <c r="G86" s="139">
        <v>0</v>
      </c>
      <c r="H86" s="223" t="s">
        <v>81</v>
      </c>
      <c r="I86" s="41">
        <f>I57</f>
        <v>4.95E-4</v>
      </c>
      <c r="J86" s="138">
        <f>ROUND(G86*I86,2)</f>
        <v>0</v>
      </c>
      <c r="K86" s="70"/>
      <c r="L86" s="71"/>
      <c r="M86" s="76"/>
      <c r="N86" s="76"/>
      <c r="O86" s="76"/>
      <c r="P86" s="76"/>
      <c r="Q86" s="70"/>
      <c r="R86" s="862" t="s">
        <v>169</v>
      </c>
      <c r="S86" s="862"/>
      <c r="T86" s="862"/>
      <c r="U86" s="253"/>
      <c r="V86" s="203">
        <f>G86</f>
        <v>0</v>
      </c>
      <c r="W86" s="239" t="s">
        <v>81</v>
      </c>
      <c r="X86" s="176">
        <f>X56</f>
        <v>1.22E-4</v>
      </c>
      <c r="Y86" s="266">
        <f t="shared" si="12"/>
        <v>0</v>
      </c>
    </row>
    <row r="87" spans="1:26" ht="18" customHeight="1" x14ac:dyDescent="0.25">
      <c r="A87" s="898" t="s">
        <v>105</v>
      </c>
      <c r="B87" s="898"/>
      <c r="C87" s="898"/>
      <c r="D87" s="898"/>
      <c r="E87" s="898"/>
      <c r="F87" s="248" t="s">
        <v>84</v>
      </c>
      <c r="G87" s="139">
        <v>0</v>
      </c>
      <c r="H87" s="223" t="s">
        <v>81</v>
      </c>
      <c r="I87" s="41">
        <f>I54</f>
        <v>1.2999999999999999E-4</v>
      </c>
      <c r="J87" s="62">
        <f>ROUND(G87*I87,2)</f>
        <v>0</v>
      </c>
      <c r="K87" s="77"/>
      <c r="L87" s="70"/>
      <c r="M87" s="71"/>
      <c r="N87" s="70"/>
      <c r="O87" s="70"/>
      <c r="P87" s="70"/>
      <c r="Q87" s="70"/>
      <c r="R87" s="240" t="s">
        <v>170</v>
      </c>
      <c r="S87" s="240"/>
      <c r="T87" s="240"/>
      <c r="U87" s="253"/>
      <c r="V87" s="203">
        <f>G87</f>
        <v>0</v>
      </c>
      <c r="W87" s="239" t="s">
        <v>81</v>
      </c>
      <c r="X87" s="176">
        <f>X53</f>
        <v>1.2999999999999999E-4</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708">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0</v>
      </c>
      <c r="C91" s="245"/>
      <c r="D91" s="869">
        <f>I6</f>
        <v>1.0355000000000001</v>
      </c>
      <c r="E91" s="869"/>
      <c r="F91" s="869"/>
      <c r="G91" s="122">
        <f>'[1]Detail 2025-26 FEFP Second'!AC3</f>
        <v>915.09</v>
      </c>
      <c r="H91" s="47" t="s">
        <v>68</v>
      </c>
      <c r="I91" s="707">
        <f>ROUND(B91*D91*G91,2)</f>
        <v>0</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109.536</v>
      </c>
      <c r="C92" s="109"/>
      <c r="D92" s="869">
        <f>I6</f>
        <v>1.0355000000000001</v>
      </c>
      <c r="E92" s="869"/>
      <c r="F92" s="869"/>
      <c r="G92" s="122">
        <f>'[1]Detail 2025-26 FEFP Second'!AD3</f>
        <v>917.3</v>
      </c>
      <c r="H92" s="47" t="s">
        <v>68</v>
      </c>
      <c r="I92" s="575">
        <f>ROUND(B92*D92*G92,2)</f>
        <v>104044.32</v>
      </c>
      <c r="K92" s="70"/>
      <c r="L92" s="70"/>
      <c r="M92" s="71"/>
      <c r="N92" s="70"/>
      <c r="O92" s="70"/>
      <c r="P92" s="70"/>
      <c r="Q92" s="70"/>
      <c r="R92" s="207" t="s">
        <v>61</v>
      </c>
      <c r="S92" s="208">
        <f>X16+X17+X20+X23+X26+X27</f>
        <v>27</v>
      </c>
      <c r="T92" s="924">
        <f>X6</f>
        <v>1.0355000000000001</v>
      </c>
      <c r="U92" s="924"/>
      <c r="V92" s="122">
        <f>G92</f>
        <v>917.3</v>
      </c>
      <c r="W92" s="182" t="s">
        <v>68</v>
      </c>
      <c r="X92" s="272">
        <f>ROUND(S92*T92*V92,2)</f>
        <v>25646.33</v>
      </c>
      <c r="Y92" s="170"/>
    </row>
    <row r="93" spans="1:26" ht="18.75" customHeight="1" thickBot="1" x14ac:dyDescent="0.3">
      <c r="A93" s="247" t="s">
        <v>111</v>
      </c>
      <c r="B93" s="109">
        <f>SUM(B90:B92)</f>
        <v>109.536</v>
      </c>
      <c r="C93" s="109"/>
      <c r="D93" s="109"/>
      <c r="E93" s="939" t="s">
        <v>112</v>
      </c>
      <c r="F93" s="939"/>
      <c r="G93" s="939"/>
      <c r="H93" s="939"/>
      <c r="I93" s="939"/>
      <c r="J93" s="127">
        <f>IF(A1=75,0,I92+I91+I90)</f>
        <v>104044.32</v>
      </c>
      <c r="K93" s="70"/>
      <c r="L93" s="70"/>
      <c r="M93" s="71"/>
      <c r="N93" s="70"/>
      <c r="O93" s="70"/>
      <c r="P93" s="70"/>
      <c r="Q93" s="70"/>
      <c r="R93" s="252" t="s">
        <v>111</v>
      </c>
      <c r="S93" s="210">
        <f>SUM(S90:S92)</f>
        <v>27</v>
      </c>
      <c r="T93" s="925" t="s">
        <v>112</v>
      </c>
      <c r="U93" s="926"/>
      <c r="V93" s="926"/>
      <c r="W93" s="926"/>
      <c r="X93" s="926"/>
      <c r="Y93" s="266">
        <f>IF(R1=75,0,X92+X91+X90)</f>
        <v>25646.33</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42">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c r="E98" s="943">
        <f>(C98+D98)/2</f>
        <v>0</v>
      </c>
      <c r="F98" s="943"/>
      <c r="G98" s="943"/>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8"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912" t="s">
        <v>125</v>
      </c>
      <c r="B107" s="912"/>
      <c r="C107" s="912"/>
      <c r="D107" s="912"/>
      <c r="E107" s="912"/>
      <c r="F107" s="912"/>
      <c r="G107" s="912"/>
      <c r="H107" s="912"/>
      <c r="I107" s="912"/>
      <c r="J107" s="580">
        <f>SUM(J106,J105,J98,J97,J93,J86,J85,J71,J70,J68,J33,J72,J50,J87,J84)</f>
        <v>857825.18</v>
      </c>
      <c r="R107" s="862" t="s">
        <v>125</v>
      </c>
      <c r="S107" s="862"/>
      <c r="T107" s="862"/>
      <c r="U107" s="862"/>
      <c r="V107" s="862"/>
      <c r="W107" s="862"/>
      <c r="X107" s="862"/>
      <c r="Y107" s="723">
        <f>SUM(Y106,Y105,Y97,Y96,Y93,Y86,Y85,Y84,Y70,Y69,Y67,Y33,Y71,Y50,Y87,Y83)</f>
        <v>219148.94999999998</v>
      </c>
    </row>
    <row r="108" spans="1:25" ht="15.75" customHeight="1" thickTop="1" x14ac:dyDescent="0.25">
      <c r="A108" s="868"/>
      <c r="B108" s="868"/>
      <c r="C108" s="868"/>
      <c r="D108" s="868"/>
      <c r="E108" s="868"/>
      <c r="F108" s="868"/>
      <c r="G108" s="868"/>
      <c r="H108" s="868"/>
      <c r="I108" s="868"/>
      <c r="J108" s="868"/>
      <c r="R108" s="876"/>
      <c r="S108" s="876"/>
      <c r="T108" s="876"/>
      <c r="U108" s="876"/>
      <c r="V108" s="876"/>
      <c r="W108" s="876"/>
      <c r="X108" s="876"/>
      <c r="Y108" s="876"/>
    </row>
    <row r="109" spans="1:25" ht="17.25" customHeight="1" thickBot="1" x14ac:dyDescent="0.3">
      <c r="A109" s="898" t="s">
        <v>131</v>
      </c>
      <c r="B109" s="898"/>
      <c r="C109" s="898"/>
      <c r="D109" s="898"/>
      <c r="E109" s="898"/>
      <c r="F109" s="868"/>
      <c r="G109" s="868"/>
      <c r="H109" s="868"/>
      <c r="I109" s="2" t="s">
        <v>132</v>
      </c>
      <c r="J109" s="582">
        <f>J107-J38</f>
        <v>844016.77</v>
      </c>
      <c r="R109" s="170" t="s">
        <v>176</v>
      </c>
      <c r="S109" s="170"/>
      <c r="T109" s="170"/>
      <c r="U109" s="170"/>
      <c r="V109" s="170"/>
      <c r="W109" s="170"/>
      <c r="X109" s="170"/>
      <c r="Y109" s="724">
        <f>Y107-Y38</f>
        <v>205340.53999999998</v>
      </c>
    </row>
    <row r="110" spans="1:25" ht="18.75" customHeight="1" thickTop="1" x14ac:dyDescent="0.25">
      <c r="A110" s="898" t="s">
        <v>133</v>
      </c>
      <c r="B110" s="898"/>
      <c r="C110" s="898"/>
      <c r="D110" s="898"/>
      <c r="E110" s="898"/>
      <c r="F110" s="898"/>
      <c r="G110" s="898"/>
      <c r="H110" s="898"/>
      <c r="I110" s="235" t="s">
        <v>134</v>
      </c>
      <c r="J110" s="72"/>
      <c r="R110" s="953" t="s">
        <v>136</v>
      </c>
      <c r="S110" s="953"/>
      <c r="T110" s="953"/>
      <c r="U110" s="953"/>
      <c r="V110" s="953"/>
      <c r="W110" s="953"/>
      <c r="X110" s="953"/>
      <c r="Y110" s="953"/>
    </row>
    <row r="111" spans="1:25" ht="15.75" customHeight="1" x14ac:dyDescent="0.25">
      <c r="A111" s="899" t="s">
        <v>135</v>
      </c>
      <c r="B111" s="899"/>
      <c r="C111" s="899"/>
      <c r="D111" s="899"/>
      <c r="E111" s="899"/>
      <c r="F111" s="899"/>
      <c r="G111" s="899"/>
      <c r="H111" s="899"/>
      <c r="I111" s="280">
        <v>1</v>
      </c>
      <c r="J111" s="137">
        <f>Y109</f>
        <v>205340.53999999998</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181</v>
      </c>
      <c r="B114" s="293"/>
      <c r="C114" s="293"/>
      <c r="D114" s="293"/>
      <c r="E114" s="293"/>
      <c r="F114" s="293"/>
      <c r="G114" s="293"/>
      <c r="H114" s="709">
        <v>0</v>
      </c>
      <c r="I114" s="710">
        <f>IF(I111=1,J111,J109)</f>
        <v>205340.53999999998</v>
      </c>
      <c r="J114" s="711">
        <f>ROUND(IF(E28=0,0,IF(E28&gt;250,-(((250/E28)*I114)*IF(H114="H",0.02,0.05)),IF(H114="H",-0.02*I114,-0.05*I114))),2)</f>
        <v>-10267.030000000001</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847558.15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12"/>
      <c r="I118" s="713"/>
      <c r="J118" s="718">
        <f>-'Cumulative Payments'!R74</f>
        <v>-175619.25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671938.9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134387.78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D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X62:Y62"/>
    <mergeCell ref="A59:B59"/>
    <mergeCell ref="X59:Y59"/>
    <mergeCell ref="I60:J60"/>
    <mergeCell ref="R60:Y60"/>
    <mergeCell ref="F59:H59"/>
    <mergeCell ref="F62:H62"/>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79FE-4EEE-499C-8C34-9B575B8E030E}">
  <dimension ref="A1:Z207"/>
  <sheetViews>
    <sheetView topLeftCell="A68" workbookViewId="0">
      <selection activeCell="J81" sqref="J81"/>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434</v>
      </c>
      <c r="B2" s="102"/>
      <c r="C2" s="102"/>
      <c r="D2" s="102"/>
      <c r="E2" s="100"/>
      <c r="F2" s="100"/>
      <c r="G2" s="100"/>
      <c r="H2" s="100"/>
      <c r="I2" s="100"/>
      <c r="J2" s="100"/>
      <c r="K2" s="6"/>
      <c r="L2" s="6"/>
      <c r="M2" s="6"/>
      <c r="N2" s="6"/>
      <c r="O2" s="6"/>
      <c r="P2" s="6"/>
      <c r="Q2" s="6"/>
      <c r="R2" s="875" t="str">
        <f>Revenue_Estimate_Worksheet_for___________Charter_School</f>
        <v>Revenue Estimate Worksheet: Inlet Grove Community High School - 1461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Second'!$C$1:$C$65536,MATCH('1461'!$A$1,'[1]Detail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Second'!$D$1:$D$65536,MATCH('1461'!$A$1,'[1]Detail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73.38</v>
      </c>
      <c r="D14" s="415"/>
      <c r="E14" s="967">
        <f t="shared" si="0"/>
        <v>146.76</v>
      </c>
      <c r="F14" s="967"/>
      <c r="G14" s="968">
        <v>1</v>
      </c>
      <c r="H14" s="968"/>
      <c r="I14" s="578">
        <f t="shared" si="2"/>
        <v>146.76</v>
      </c>
      <c r="J14" s="579">
        <f>ROUND(ROUND(ROUND(I14*$E$6,4)*($I$6),2)*(MAX($I$7,1)),2)</f>
        <v>816473.91</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10</v>
      </c>
      <c r="D15" s="415"/>
      <c r="E15" s="967">
        <f t="shared" si="0"/>
        <v>20</v>
      </c>
      <c r="F15" s="967"/>
      <c r="G15" s="968">
        <v>1</v>
      </c>
      <c r="H15" s="968"/>
      <c r="I15" s="578">
        <f t="shared" si="2"/>
        <v>20</v>
      </c>
      <c r="J15" s="579">
        <f t="shared" si="1"/>
        <v>111266.55</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206.34</v>
      </c>
      <c r="D16" s="415"/>
      <c r="E16" s="967">
        <f t="shared" si="0"/>
        <v>412.68</v>
      </c>
      <c r="F16" s="967"/>
      <c r="G16" s="968">
        <v>0.97199999999999998</v>
      </c>
      <c r="H16" s="968"/>
      <c r="I16" s="578">
        <f t="shared" si="2"/>
        <v>401.125</v>
      </c>
      <c r="J16" s="579">
        <f t="shared" si="1"/>
        <v>2231589.66</v>
      </c>
      <c r="M16" s="2"/>
      <c r="R16" s="860" t="s">
        <v>24</v>
      </c>
      <c r="S16" s="860"/>
      <c r="T16" s="891">
        <f t="shared" si="3"/>
        <v>0</v>
      </c>
      <c r="U16" s="891"/>
      <c r="V16" s="896">
        <v>1</v>
      </c>
      <c r="W16" s="896"/>
      <c r="X16" s="156">
        <f t="shared" si="4"/>
        <v>0</v>
      </c>
      <c r="Y16" s="266">
        <f t="shared" si="6"/>
        <v>0</v>
      </c>
    </row>
    <row r="17" spans="1:25" x14ac:dyDescent="0.25">
      <c r="A17" s="861" t="s">
        <v>25</v>
      </c>
      <c r="B17" s="861"/>
      <c r="C17" s="415">
        <v>34.840000000000003</v>
      </c>
      <c r="D17" s="415"/>
      <c r="E17" s="967">
        <f t="shared" si="0"/>
        <v>69.680000000000007</v>
      </c>
      <c r="F17" s="967"/>
      <c r="G17" s="968">
        <v>0.97199999999999998</v>
      </c>
      <c r="H17" s="968"/>
      <c r="I17" s="578">
        <f t="shared" si="2"/>
        <v>67.728999999999999</v>
      </c>
      <c r="J17" s="579">
        <f t="shared" si="1"/>
        <v>376798.59</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2.63</v>
      </c>
      <c r="D25" s="415"/>
      <c r="E25" s="967">
        <f t="shared" si="0"/>
        <v>5.26</v>
      </c>
      <c r="F25" s="967"/>
      <c r="G25" s="968">
        <v>1.165</v>
      </c>
      <c r="H25" s="968"/>
      <c r="I25" s="578">
        <f t="shared" si="2"/>
        <v>6.1279000000000003</v>
      </c>
      <c r="J25" s="579">
        <f t="shared" si="1"/>
        <v>34091.51</v>
      </c>
      <c r="M25" s="2"/>
      <c r="R25" s="860" t="s">
        <v>33</v>
      </c>
      <c r="S25" s="860"/>
      <c r="T25" s="891">
        <f t="shared" si="3"/>
        <v>0</v>
      </c>
      <c r="U25" s="891"/>
      <c r="V25" s="896">
        <v>1</v>
      </c>
      <c r="W25" s="896"/>
      <c r="X25" s="156">
        <f t="shared" si="4"/>
        <v>0</v>
      </c>
      <c r="Y25" s="266">
        <f t="shared" si="6"/>
        <v>0</v>
      </c>
    </row>
    <row r="26" spans="1:25" x14ac:dyDescent="0.25">
      <c r="A26" s="861" t="s">
        <v>34</v>
      </c>
      <c r="B26" s="861"/>
      <c r="C26" s="415">
        <v>7.51</v>
      </c>
      <c r="D26" s="415"/>
      <c r="E26" s="967">
        <f t="shared" si="0"/>
        <v>15.02</v>
      </c>
      <c r="F26" s="967"/>
      <c r="G26" s="968">
        <v>1.165</v>
      </c>
      <c r="H26" s="968"/>
      <c r="I26" s="578">
        <f t="shared" si="2"/>
        <v>17.4983</v>
      </c>
      <c r="J26" s="579">
        <f t="shared" si="1"/>
        <v>97348.77</v>
      </c>
      <c r="M26" s="2"/>
      <c r="R26" s="860" t="s">
        <v>34</v>
      </c>
      <c r="S26" s="860"/>
      <c r="T26" s="891">
        <f t="shared" si="3"/>
        <v>0</v>
      </c>
      <c r="U26" s="891"/>
      <c r="V26" s="896">
        <v>1</v>
      </c>
      <c r="W26" s="896"/>
      <c r="X26" s="156">
        <f t="shared" si="4"/>
        <v>0</v>
      </c>
      <c r="Y26" s="266">
        <f t="shared" si="6"/>
        <v>0</v>
      </c>
    </row>
    <row r="27" spans="1:25" x14ac:dyDescent="0.25">
      <c r="A27" s="866" t="s">
        <v>35</v>
      </c>
      <c r="B27" s="866"/>
      <c r="C27" s="416">
        <v>88.4</v>
      </c>
      <c r="D27" s="416"/>
      <c r="E27" s="963">
        <f t="shared" si="0"/>
        <v>176.8</v>
      </c>
      <c r="F27" s="963"/>
      <c r="G27" s="964">
        <v>1.081</v>
      </c>
      <c r="H27" s="964"/>
      <c r="I27" s="22">
        <f t="shared" si="2"/>
        <v>191.1208</v>
      </c>
      <c r="J27" s="127">
        <f t="shared" si="1"/>
        <v>1063267.56</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423.1</v>
      </c>
      <c r="D28" s="126">
        <f>SUM(D12:D27)</f>
        <v>0</v>
      </c>
      <c r="E28" s="966">
        <f>SUM(E12:E27)</f>
        <v>846.2</v>
      </c>
      <c r="F28" s="966"/>
      <c r="G28" s="961"/>
      <c r="H28" s="961"/>
      <c r="I28" s="23">
        <f>SUM(I12:I27)</f>
        <v>850.36099999999999</v>
      </c>
      <c r="J28" s="127">
        <f>SUM(J12:J27)</f>
        <v>4730836.55</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850.36099999999999</v>
      </c>
      <c r="H33" s="961" t="s">
        <v>45</v>
      </c>
      <c r="I33" s="961"/>
      <c r="J33" s="32">
        <f>SUM(J32,J28)</f>
        <v>4730836.55</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3884600.52</v>
      </c>
      <c r="H36" s="223" t="s">
        <v>49</v>
      </c>
      <c r="I36" s="38">
        <v>6.6699999999999995E-2</v>
      </c>
      <c r="J36" s="131">
        <f>ROUND(G36*I36,2)</f>
        <v>259102.85</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3884600.52</v>
      </c>
      <c r="H37" s="223" t="s">
        <v>49</v>
      </c>
      <c r="I37" s="38">
        <v>5.4000000000000003E-3</v>
      </c>
      <c r="J37" s="131">
        <f>ROUND(G37*I37,2)</f>
        <v>20976.84</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280079.69</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700"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9.5</v>
      </c>
      <c r="D44" s="415">
        <v>0</v>
      </c>
      <c r="E44" s="954">
        <f t="shared" si="7"/>
        <v>19</v>
      </c>
      <c r="F44" s="954"/>
      <c r="G44" s="47" t="s">
        <v>60</v>
      </c>
      <c r="H44" s="223">
        <v>251</v>
      </c>
      <c r="I44" s="136">
        <f>INDEX('[1]111-112-113 ADDITIONAL FUND'!G$1:G$65536,MATCH($A$1,'[1]111-112-113 ADDITIONAL FUND'!A$1:A$65536))</f>
        <v>1173</v>
      </c>
      <c r="J44" s="137">
        <f t="shared" si="8"/>
        <v>22287</v>
      </c>
      <c r="L44" s="3"/>
      <c r="M44" s="2"/>
      <c r="Q44" s="4"/>
      <c r="R44" s="903"/>
      <c r="S44" s="903"/>
      <c r="T44" s="905"/>
      <c r="U44" s="905"/>
      <c r="V44" s="182" t="s">
        <v>60</v>
      </c>
      <c r="W44" s="239">
        <v>251</v>
      </c>
      <c r="X44" s="134">
        <f t="shared" si="9"/>
        <v>1173</v>
      </c>
      <c r="Y44" s="269">
        <f t="shared" si="10"/>
        <v>0</v>
      </c>
    </row>
    <row r="45" spans="1:25" x14ac:dyDescent="0.25">
      <c r="A45" s="960"/>
      <c r="B45" s="960"/>
      <c r="C45" s="415">
        <v>0.5</v>
      </c>
      <c r="D45" s="415">
        <v>0</v>
      </c>
      <c r="E45" s="954">
        <f t="shared" si="7"/>
        <v>1</v>
      </c>
      <c r="F45" s="954"/>
      <c r="G45" s="47" t="s">
        <v>60</v>
      </c>
      <c r="H45" s="223">
        <v>252</v>
      </c>
      <c r="I45" s="136">
        <f>INDEX('[1]111-112-113 ADDITIONAL FUND'!H$1:H$65536,MATCH($A$1,'[1]111-112-113 ADDITIONAL FUND'!A$1:A$65536))</f>
        <v>3506</v>
      </c>
      <c r="J45" s="46">
        <f t="shared" si="8"/>
        <v>3506</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32.79</v>
      </c>
      <c r="D47" s="415">
        <v>0</v>
      </c>
      <c r="E47" s="954">
        <f t="shared" si="7"/>
        <v>65.58</v>
      </c>
      <c r="F47" s="954"/>
      <c r="G47" s="47" t="s">
        <v>61</v>
      </c>
      <c r="H47" s="223">
        <v>251</v>
      </c>
      <c r="I47" s="136">
        <f>INDEX('[1]111-112-113 ADDITIONAL FUND'!J$1:J$65536,MATCH($A$1,'[1]111-112-113 ADDITIONAL FUND'!A$1:A$65536))</f>
        <v>835</v>
      </c>
      <c r="J47" s="46">
        <f t="shared" si="8"/>
        <v>54759.3</v>
      </c>
      <c r="M47" s="2"/>
      <c r="R47" s="903"/>
      <c r="S47" s="903"/>
      <c r="T47" s="905"/>
      <c r="U47" s="905"/>
      <c r="V47" s="182" t="s">
        <v>61</v>
      </c>
      <c r="W47" s="239">
        <v>251</v>
      </c>
      <c r="X47" s="134">
        <f t="shared" si="9"/>
        <v>835</v>
      </c>
      <c r="Y47" s="269">
        <f t="shared" si="10"/>
        <v>0</v>
      </c>
    </row>
    <row r="48" spans="1:25" ht="15.75" customHeight="1" x14ac:dyDescent="0.25">
      <c r="A48" s="960"/>
      <c r="B48" s="960"/>
      <c r="C48" s="415">
        <v>2.0499999999999998</v>
      </c>
      <c r="D48" s="415">
        <v>0</v>
      </c>
      <c r="E48" s="954">
        <f t="shared" si="7"/>
        <v>4.0999999999999996</v>
      </c>
      <c r="F48" s="954"/>
      <c r="G48" s="47" t="s">
        <v>61</v>
      </c>
      <c r="H48" s="223">
        <v>252</v>
      </c>
      <c r="I48" s="136">
        <f>INDEX('[1]111-112-113 ADDITIONAL FUND'!K$1:K$65536,MATCH($A$1,'[1]111-112-113 ADDITIONAL FUND'!A$1:A$65536))</f>
        <v>3168</v>
      </c>
      <c r="J48" s="46">
        <f t="shared" si="8"/>
        <v>12988.8</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233">
        <f>SUM(C41:C49)</f>
        <v>44.839999999999996</v>
      </c>
      <c r="D50" s="233">
        <f>SUM(D41:D49)</f>
        <v>0</v>
      </c>
      <c r="E50" s="956">
        <f>SUM(E41:E49)</f>
        <v>89.679999999999993</v>
      </c>
      <c r="F50" s="956"/>
      <c r="G50" s="912" t="s">
        <v>63</v>
      </c>
      <c r="H50" s="912"/>
      <c r="I50" s="912"/>
      <c r="J50" s="276">
        <f>SUM(J41:J49)</f>
        <v>93541.1</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48">
        <f>E28</f>
        <v>846.2</v>
      </c>
      <c r="D53" s="49" t="s">
        <v>66</v>
      </c>
      <c r="G53" s="3"/>
      <c r="H53" s="50" t="s">
        <v>67</v>
      </c>
      <c r="I53" s="702">
        <f>'0040'!I53</f>
        <v>207782.75</v>
      </c>
      <c r="J53" s="70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IFERROR(ROUND(C53/I53,6),0)</f>
        <v>4.0730000000000002E-3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48">
        <f>G33</f>
        <v>850.36099999999999</v>
      </c>
      <c r="D56" s="49" t="s">
        <v>66</v>
      </c>
      <c r="G56" s="3"/>
      <c r="H56" s="50" t="s">
        <v>71</v>
      </c>
      <c r="I56" s="702">
        <f>'0040'!I56</f>
        <v>221179.83999999997</v>
      </c>
      <c r="J56" s="704"/>
      <c r="M56" s="2"/>
      <c r="R56" s="255"/>
      <c r="S56" s="170"/>
      <c r="T56" s="170"/>
      <c r="U56" s="170"/>
      <c r="V56" s="170"/>
      <c r="W56" s="189" t="s">
        <v>68</v>
      </c>
      <c r="X56" s="920">
        <f>ROUND(T55/X55,6)</f>
        <v>0</v>
      </c>
      <c r="Y56" s="920"/>
    </row>
    <row r="57" spans="1:25" ht="18.75" customHeight="1" x14ac:dyDescent="0.25">
      <c r="A57" s="237"/>
      <c r="H57" s="53" t="s">
        <v>68</v>
      </c>
      <c r="I57" s="945">
        <f>IFERROR(ROUND(C56/I56,6),0)</f>
        <v>3.8449999999999999E-3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48">
        <f>E28</f>
        <v>846.2</v>
      </c>
      <c r="D59" s="49" t="s">
        <v>66</v>
      </c>
      <c r="F59" s="969" t="s">
        <v>74</v>
      </c>
      <c r="G59" s="969"/>
      <c r="H59" s="969"/>
      <c r="I59" s="702">
        <f>'0040'!I59</f>
        <v>178931.75</v>
      </c>
      <c r="J59" s="704"/>
      <c r="M59" s="2"/>
      <c r="R59" s="255"/>
      <c r="S59" s="170"/>
      <c r="T59" s="170"/>
      <c r="U59" s="170"/>
      <c r="V59" s="170"/>
      <c r="W59" s="189" t="s">
        <v>68</v>
      </c>
      <c r="X59" s="920">
        <f>ROUND(T58/X58,6)</f>
        <v>0</v>
      </c>
      <c r="Y59" s="920"/>
    </row>
    <row r="60" spans="1:25" ht="18" customHeight="1" x14ac:dyDescent="0.25">
      <c r="A60" s="237"/>
      <c r="H60" s="53" t="s">
        <v>68</v>
      </c>
      <c r="I60" s="945">
        <f>IFERROR(ROUND(C59/I59,6),0)</f>
        <v>4.7289999999999997E-3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20.25" customHeight="1" x14ac:dyDescent="0.25">
      <c r="A62" s="899" t="s">
        <v>73</v>
      </c>
      <c r="B62" s="899"/>
      <c r="C62" s="48">
        <f>E28</f>
        <v>846.2</v>
      </c>
      <c r="D62" s="49" t="s">
        <v>66</v>
      </c>
      <c r="F62" s="969" t="s">
        <v>76</v>
      </c>
      <c r="G62" s="969"/>
      <c r="H62" s="969"/>
      <c r="I62" s="702">
        <f>'0040'!I62</f>
        <v>207463.82</v>
      </c>
      <c r="J62" s="704"/>
      <c r="M62" s="2"/>
      <c r="R62" s="255"/>
      <c r="S62" s="170"/>
      <c r="T62" s="170"/>
      <c r="U62" s="170"/>
      <c r="V62" s="170"/>
      <c r="W62" s="189" t="s">
        <v>68</v>
      </c>
      <c r="X62" s="920">
        <f>ROUND(T61/X61,6)</f>
        <v>0</v>
      </c>
      <c r="Y62" s="920"/>
    </row>
    <row r="63" spans="1:25" ht="19.5" customHeight="1" x14ac:dyDescent="0.25">
      <c r="A63" s="237"/>
      <c r="H63" s="53" t="s">
        <v>68</v>
      </c>
      <c r="I63" s="945">
        <f>IFERROR(ROUND(C62/I62,6),0)</f>
        <v>4.0790000000000002E-3</v>
      </c>
      <c r="J63" s="945"/>
      <c r="L63" s="55"/>
      <c r="M63" s="56"/>
      <c r="O63" s="57"/>
      <c r="P63" s="58"/>
      <c r="R63" s="862" t="s">
        <v>77</v>
      </c>
      <c r="S63" s="862"/>
      <c r="T63" s="862"/>
      <c r="U63" s="862"/>
      <c r="V63" s="862"/>
      <c r="W63" s="862"/>
      <c r="X63" s="862"/>
      <c r="Y63" s="862"/>
    </row>
    <row r="64" spans="1:25" ht="22.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x14ac:dyDescent="0.25">
      <c r="A65" s="899" t="s">
        <v>73</v>
      </c>
      <c r="B65" s="899"/>
      <c r="C65" s="48">
        <f>E28</f>
        <v>846.2</v>
      </c>
      <c r="D65" s="969" t="s">
        <v>546</v>
      </c>
      <c r="E65" s="969"/>
      <c r="F65" s="969"/>
      <c r="G65" s="969"/>
      <c r="H65" s="969"/>
      <c r="I65" s="702">
        <f>'0040'!I65</f>
        <v>178612.82</v>
      </c>
      <c r="J65" s="704"/>
      <c r="M65" s="2"/>
      <c r="R65" s="190"/>
      <c r="S65" s="170"/>
      <c r="T65" s="170"/>
      <c r="U65" s="170"/>
      <c r="V65" s="170"/>
      <c r="W65" s="189" t="s">
        <v>68</v>
      </c>
      <c r="X65" s="920">
        <f>ROUND(T64/X64,6)</f>
        <v>0</v>
      </c>
      <c r="Y65" s="920"/>
    </row>
    <row r="66" spans="1:26" ht="19.5" customHeight="1" x14ac:dyDescent="0.25">
      <c r="A66" s="237"/>
      <c r="H66" s="53" t="s">
        <v>68</v>
      </c>
      <c r="I66" s="945">
        <f>IFERROR(ROUND(C65/I65,6),0)</f>
        <v>4.738E-3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4.0790000000000002E-3</v>
      </c>
      <c r="J68" s="138">
        <f>ROUND(G68*I68,2)</f>
        <v>186123.11</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4.0730000000000002E-3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4.738E-3</v>
      </c>
      <c r="J71" s="138">
        <f>ROUND(G71*I71,2)</f>
        <v>89709.57</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4.7289999999999997E-3</v>
      </c>
      <c r="J72" s="138">
        <f>ROUND(G72*I72,2)</f>
        <v>53437.760000000002</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v>9.44</v>
      </c>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v>3.2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48.9</v>
      </c>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v>0</v>
      </c>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v>9.36</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70.900000000000006</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5.4949999999999999E-3</v>
      </c>
      <c r="J84" s="62">
        <f>ROUND(G84*I84,2)</f>
        <v>321472.83</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3.8449999999999999E-3</v>
      </c>
      <c r="J85" s="138">
        <f>ROUND(G85*I85,2)</f>
        <v>1033598.59</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3.8449999999999999E-3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4.0730000000000002E-3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141">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172.8879</v>
      </c>
      <c r="C91" s="245"/>
      <c r="D91" s="869">
        <f>I6</f>
        <v>1.0355000000000001</v>
      </c>
      <c r="E91" s="869"/>
      <c r="F91" s="869"/>
      <c r="G91" s="122">
        <f>'[1]Detail 2025-26 FEFP Second'!AC3</f>
        <v>915.09</v>
      </c>
      <c r="H91" s="47" t="s">
        <v>68</v>
      </c>
      <c r="I91" s="140">
        <f>ROUND(B91*D91*G91,2)</f>
        <v>163824.37</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677.47310000000004</v>
      </c>
      <c r="C92" s="109"/>
      <c r="D92" s="869">
        <f>I6</f>
        <v>1.0355000000000001</v>
      </c>
      <c r="E92" s="869"/>
      <c r="F92" s="869"/>
      <c r="G92" s="122">
        <f>'[1]Detail 2025-26 FEFP Second'!AD3</f>
        <v>917.3</v>
      </c>
      <c r="H92" s="47" t="s">
        <v>68</v>
      </c>
      <c r="I92" s="141">
        <f>ROUND(B92*D92*G92,2)</f>
        <v>643507.41</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850.3610000000001</v>
      </c>
      <c r="C93" s="109"/>
      <c r="D93" s="109"/>
      <c r="E93" s="939" t="s">
        <v>112</v>
      </c>
      <c r="F93" s="939"/>
      <c r="G93" s="939"/>
      <c r="H93" s="939"/>
      <c r="I93" s="939"/>
      <c r="J93" s="127">
        <f>IF(A1=75,0,I92+I91+I90)</f>
        <v>807331.78</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502</v>
      </c>
      <c r="D97" s="279">
        <v>0</v>
      </c>
      <c r="E97" s="988">
        <f>(C97+D97)</f>
        <v>502</v>
      </c>
      <c r="F97" s="942"/>
      <c r="G97" s="942"/>
      <c r="H97" s="224" t="s">
        <v>117</v>
      </c>
      <c r="I97" s="130">
        <f>'0040'!I97</f>
        <v>586</v>
      </c>
      <c r="J97" s="138">
        <f>ROUND(I97*E97,2)</f>
        <v>294172</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c r="E98" s="943">
        <f>(C98+D98)/2</f>
        <v>0</v>
      </c>
      <c r="F98" s="943"/>
      <c r="G98" s="943"/>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8"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912" t="s">
        <v>125</v>
      </c>
      <c r="B107" s="912"/>
      <c r="C107" s="912"/>
      <c r="D107" s="912"/>
      <c r="E107" s="912"/>
      <c r="F107" s="912"/>
      <c r="G107" s="912"/>
      <c r="H107" s="912"/>
      <c r="I107" s="912"/>
      <c r="J107" s="580">
        <f>SUM(J106,J105,J98,J97,J93,J86,J85,J71,J70,J68,J33,J72,J50,J87,J84)</f>
        <v>7610223.2899999991</v>
      </c>
      <c r="R107" s="862" t="s">
        <v>125</v>
      </c>
      <c r="S107" s="862"/>
      <c r="T107" s="862"/>
      <c r="U107" s="862"/>
      <c r="V107" s="862"/>
      <c r="W107" s="862"/>
      <c r="X107" s="862"/>
      <c r="Y107" s="219">
        <f>SUM(Y106,Y105,Y97,Y96,Y93,Y86,Y85,Y84,Y70,Y69,Y67,Y33,Y71,Y50,Y87,Y83)</f>
        <v>0</v>
      </c>
    </row>
    <row r="108" spans="1:25" ht="15.75" customHeight="1" thickTop="1" x14ac:dyDescent="0.25">
      <c r="A108" s="868"/>
      <c r="B108" s="868"/>
      <c r="C108" s="868"/>
      <c r="D108" s="868"/>
      <c r="E108" s="868"/>
      <c r="F108" s="868"/>
      <c r="G108" s="868"/>
      <c r="H108" s="868"/>
      <c r="I108" s="868"/>
      <c r="J108" s="868"/>
      <c r="R108" s="876"/>
      <c r="S108" s="876"/>
      <c r="T108" s="876"/>
      <c r="U108" s="876"/>
      <c r="V108" s="876"/>
      <c r="W108" s="876"/>
      <c r="X108" s="876"/>
      <c r="Y108" s="876"/>
    </row>
    <row r="109" spans="1:25" ht="17.25" customHeight="1" thickBot="1" x14ac:dyDescent="0.3">
      <c r="A109" s="898" t="s">
        <v>131</v>
      </c>
      <c r="B109" s="898"/>
      <c r="C109" s="898"/>
      <c r="D109" s="898"/>
      <c r="E109" s="898"/>
      <c r="F109" s="868"/>
      <c r="G109" s="868"/>
      <c r="H109" s="868"/>
      <c r="I109" s="2" t="s">
        <v>132</v>
      </c>
      <c r="J109" s="582">
        <f>J107-J38</f>
        <v>7330143.5999999987</v>
      </c>
      <c r="R109" s="170" t="s">
        <v>176</v>
      </c>
      <c r="S109" s="170"/>
      <c r="T109" s="170"/>
      <c r="U109" s="170"/>
      <c r="V109" s="170"/>
      <c r="W109" s="170"/>
      <c r="X109" s="170"/>
      <c r="Y109" s="220">
        <f>Y107-Y38</f>
        <v>0</v>
      </c>
    </row>
    <row r="110" spans="1:25" ht="18.75" customHeight="1" thickTop="1" x14ac:dyDescent="0.25">
      <c r="A110" s="898" t="s">
        <v>133</v>
      </c>
      <c r="B110" s="898"/>
      <c r="C110" s="898"/>
      <c r="D110" s="898"/>
      <c r="E110" s="898"/>
      <c r="F110" s="898"/>
      <c r="G110" s="898"/>
      <c r="H110" s="898"/>
      <c r="I110" s="235" t="s">
        <v>134</v>
      </c>
      <c r="J110" s="72"/>
      <c r="R110" s="953" t="s">
        <v>136</v>
      </c>
      <c r="S110" s="953"/>
      <c r="T110" s="953"/>
      <c r="U110" s="953"/>
      <c r="V110" s="953"/>
      <c r="W110" s="953"/>
      <c r="X110" s="953"/>
      <c r="Y110" s="953"/>
    </row>
    <row r="111" spans="1:25" ht="15.75" customHeight="1" x14ac:dyDescent="0.25">
      <c r="A111" s="899" t="s">
        <v>135</v>
      </c>
      <c r="B111" s="899"/>
      <c r="C111" s="899"/>
      <c r="D111" s="899"/>
      <c r="E111" s="899"/>
      <c r="F111" s="899"/>
      <c r="G111" s="899"/>
      <c r="H111" s="899"/>
      <c r="I111" s="280"/>
      <c r="J111" s="46">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181</v>
      </c>
      <c r="B114" s="293"/>
      <c r="C114" s="293"/>
      <c r="D114" s="293"/>
      <c r="E114" s="293"/>
      <c r="F114" s="293"/>
      <c r="G114" s="293"/>
      <c r="H114" s="709" t="s">
        <v>432</v>
      </c>
      <c r="I114" s="710">
        <f>IF(I111=1,J111,J109)</f>
        <v>7330143.5999999987</v>
      </c>
      <c r="J114" s="711">
        <f>ROUND(IF(E28=0,0,IF(E28&gt;250,-(((250/E28)*I114)*IF(H114="H",0.02,0.05)),IF(H114="H",-0.02*I114,-0.05*I114))),2)</f>
        <v>-43312.12</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7566911.169999999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12"/>
      <c r="I118" s="713"/>
      <c r="J118" s="718">
        <f>-'Cumulative Payments'!R75</f>
        <v>-4294348.91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3272562.2599999988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654512.44999999995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103290.75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D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X62:Y62"/>
    <mergeCell ref="A59:B59"/>
    <mergeCell ref="X59:Y59"/>
    <mergeCell ref="I60:J60"/>
    <mergeCell ref="R60:Y60"/>
    <mergeCell ref="F62:H62"/>
    <mergeCell ref="F59:H59"/>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7F8-ADC8-4D87-BA31-2337C86B2E39}">
  <dimension ref="A1:Z207"/>
  <sheetViews>
    <sheetView topLeftCell="A101" workbookViewId="0">
      <selection activeCell="J124" sqref="J124"/>
    </sheetView>
  </sheetViews>
  <sheetFormatPr defaultRowHeight="15.75" x14ac:dyDescent="0.25"/>
  <cols>
    <col min="1" max="1" width="13" style="235" customWidth="1"/>
    <col min="2" max="2" width="33.5703125" style="2" customWidth="1"/>
    <col min="3" max="4" width="14.28515625" style="2" customWidth="1"/>
    <col min="5" max="5" width="9" style="2" bestFit="1"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435</v>
      </c>
      <c r="B2" s="102"/>
      <c r="C2" s="102"/>
      <c r="D2" s="102"/>
      <c r="E2" s="100"/>
      <c r="F2" s="100"/>
      <c r="G2" s="100"/>
      <c r="H2" s="100"/>
      <c r="I2" s="100"/>
      <c r="J2" s="100"/>
      <c r="K2" s="6"/>
      <c r="L2" s="6"/>
      <c r="M2" s="6"/>
      <c r="N2" s="6"/>
      <c r="O2" s="6"/>
      <c r="P2" s="6"/>
      <c r="Q2" s="6"/>
      <c r="R2" s="875" t="str">
        <f>Revenue_Estimate_Worksheet_for___________Charter_School</f>
        <v>Revenue Estimate Worksheet: South Tech Charter Academy - 1571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Second'!$C$1:$C$65536,MATCH('1571'!$A$1,'[1]Detail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Second'!$D$1:$D$65536,MATCH('1571'!$A$1,'[1]Detail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0</v>
      </c>
      <c r="D14" s="415"/>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v>
      </c>
      <c r="D15" s="415"/>
      <c r="E15" s="967">
        <f t="shared" si="0"/>
        <v>0</v>
      </c>
      <c r="F15" s="967"/>
      <c r="G15" s="968">
        <v>1</v>
      </c>
      <c r="H15" s="968"/>
      <c r="I15" s="578">
        <f t="shared" si="2"/>
        <v>0</v>
      </c>
      <c r="J15" s="579">
        <f t="shared" si="1"/>
        <v>0</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286.32</v>
      </c>
      <c r="D16" s="415"/>
      <c r="E16" s="967">
        <f t="shared" si="0"/>
        <v>572.64</v>
      </c>
      <c r="F16" s="967"/>
      <c r="G16" s="968">
        <v>0.97199999999999998</v>
      </c>
      <c r="H16" s="968"/>
      <c r="I16" s="578">
        <f t="shared" si="2"/>
        <v>556.60609999999997</v>
      </c>
      <c r="J16" s="579">
        <f t="shared" si="1"/>
        <v>3096581.91</v>
      </c>
      <c r="M16" s="2"/>
      <c r="R16" s="860" t="s">
        <v>24</v>
      </c>
      <c r="S16" s="860"/>
      <c r="T16" s="891">
        <f t="shared" si="3"/>
        <v>0</v>
      </c>
      <c r="U16" s="891"/>
      <c r="V16" s="896">
        <v>1</v>
      </c>
      <c r="W16" s="896"/>
      <c r="X16" s="156">
        <f t="shared" si="4"/>
        <v>0</v>
      </c>
      <c r="Y16" s="266">
        <f t="shared" si="6"/>
        <v>0</v>
      </c>
    </row>
    <row r="17" spans="1:25" x14ac:dyDescent="0.25">
      <c r="A17" s="861" t="s">
        <v>25</v>
      </c>
      <c r="B17" s="861"/>
      <c r="C17" s="415">
        <v>144.72999999999999</v>
      </c>
      <c r="D17" s="415"/>
      <c r="E17" s="967">
        <f t="shared" si="0"/>
        <v>289.45999999999998</v>
      </c>
      <c r="F17" s="967"/>
      <c r="G17" s="968">
        <v>0.97199999999999998</v>
      </c>
      <c r="H17" s="968"/>
      <c r="I17" s="578">
        <f t="shared" si="2"/>
        <v>281.35509999999999</v>
      </c>
      <c r="J17" s="579">
        <f t="shared" si="1"/>
        <v>1565270.51</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1.51</v>
      </c>
      <c r="D26" s="415"/>
      <c r="E26" s="967">
        <f t="shared" si="0"/>
        <v>3.02</v>
      </c>
      <c r="F26" s="967"/>
      <c r="G26" s="968">
        <v>1.165</v>
      </c>
      <c r="H26" s="968"/>
      <c r="I26" s="578">
        <f t="shared" si="2"/>
        <v>3.5183</v>
      </c>
      <c r="J26" s="579">
        <f t="shared" si="1"/>
        <v>19573.45</v>
      </c>
      <c r="M26" s="2"/>
      <c r="R26" s="860" t="s">
        <v>34</v>
      </c>
      <c r="S26" s="860"/>
      <c r="T26" s="891">
        <f t="shared" si="3"/>
        <v>0</v>
      </c>
      <c r="U26" s="891"/>
      <c r="V26" s="896">
        <v>1</v>
      </c>
      <c r="W26" s="896"/>
      <c r="X26" s="156">
        <f t="shared" si="4"/>
        <v>0</v>
      </c>
      <c r="Y26" s="266">
        <f t="shared" si="6"/>
        <v>0</v>
      </c>
    </row>
    <row r="27" spans="1:25" x14ac:dyDescent="0.25">
      <c r="A27" s="866" t="s">
        <v>35</v>
      </c>
      <c r="B27" s="866"/>
      <c r="C27" s="416">
        <v>127.35</v>
      </c>
      <c r="D27" s="416"/>
      <c r="E27" s="963">
        <f t="shared" si="0"/>
        <v>254.7</v>
      </c>
      <c r="F27" s="963"/>
      <c r="G27" s="964">
        <v>1.081</v>
      </c>
      <c r="H27" s="964"/>
      <c r="I27" s="22">
        <f t="shared" si="2"/>
        <v>275.33069999999998</v>
      </c>
      <c r="J27" s="127">
        <f t="shared" si="1"/>
        <v>1531754.8</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559.91</v>
      </c>
      <c r="D28" s="126">
        <f>SUM(D12:D27)</f>
        <v>0</v>
      </c>
      <c r="E28" s="991">
        <f>SUM(E12:E27)</f>
        <v>1119.82</v>
      </c>
      <c r="F28" s="991"/>
      <c r="G28" s="961"/>
      <c r="H28" s="961"/>
      <c r="I28" s="23">
        <f>SUM(I12:I27)</f>
        <v>1116.8101999999999</v>
      </c>
      <c r="J28" s="127">
        <f>SUM(J12:J27)</f>
        <v>6213180.6699999999</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1116.8101999999999</v>
      </c>
      <c r="H33" s="961" t="s">
        <v>45</v>
      </c>
      <c r="I33" s="961"/>
      <c r="J33" s="32">
        <f>SUM(J32,J28)</f>
        <v>6213180.6699999999</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6179477.4900000002</v>
      </c>
      <c r="H36" s="223" t="s">
        <v>49</v>
      </c>
      <c r="I36" s="38">
        <v>6.6699999999999995E-2</v>
      </c>
      <c r="J36" s="131">
        <f>ROUND(G36*I36,2)</f>
        <v>412171.15</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6179477.4900000002</v>
      </c>
      <c r="H37" s="223" t="s">
        <v>49</v>
      </c>
      <c r="I37" s="38">
        <v>5.4000000000000003E-3</v>
      </c>
      <c r="J37" s="131">
        <f>ROUND(G37*I37,2)</f>
        <v>33369.18</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445540.33</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0</v>
      </c>
      <c r="D44" s="415">
        <v>0</v>
      </c>
      <c r="E44" s="954">
        <f t="shared" si="7"/>
        <v>0</v>
      </c>
      <c r="F44" s="954"/>
      <c r="G44" s="47" t="s">
        <v>60</v>
      </c>
      <c r="H44" s="223">
        <v>251</v>
      </c>
      <c r="I44" s="136">
        <f>INDEX('[1]111-112-113 ADDITIONAL FUND'!G$1:G$65536,MATCH($A$1,'[1]111-112-113 ADDITIONAL FUND'!A$1:A$65536))</f>
        <v>1173</v>
      </c>
      <c r="J44" s="13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46">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136.18</v>
      </c>
      <c r="D47" s="415">
        <v>0</v>
      </c>
      <c r="E47" s="954">
        <f t="shared" si="7"/>
        <v>272.36</v>
      </c>
      <c r="F47" s="954"/>
      <c r="G47" s="47" t="s">
        <v>61</v>
      </c>
      <c r="H47" s="223">
        <v>251</v>
      </c>
      <c r="I47" s="136">
        <f>INDEX('[1]111-112-113 ADDITIONAL FUND'!J$1:J$65536,MATCH($A$1,'[1]111-112-113 ADDITIONAL FUND'!A$1:A$65536))</f>
        <v>835</v>
      </c>
      <c r="J47" s="137">
        <f t="shared" si="8"/>
        <v>227420.6</v>
      </c>
      <c r="M47" s="2"/>
      <c r="R47" s="903"/>
      <c r="S47" s="903"/>
      <c r="T47" s="905"/>
      <c r="U47" s="905"/>
      <c r="V47" s="182" t="s">
        <v>61</v>
      </c>
      <c r="W47" s="239">
        <v>251</v>
      </c>
      <c r="X47" s="134">
        <f t="shared" si="9"/>
        <v>835</v>
      </c>
      <c r="Y47" s="269">
        <f t="shared" si="10"/>
        <v>0</v>
      </c>
    </row>
    <row r="48" spans="1:25" ht="15.75" customHeight="1" x14ac:dyDescent="0.25">
      <c r="A48" s="960"/>
      <c r="B48" s="960"/>
      <c r="C48" s="415">
        <v>8.5500000000000007</v>
      </c>
      <c r="D48" s="415">
        <v>0</v>
      </c>
      <c r="E48" s="954">
        <f t="shared" si="7"/>
        <v>17.100000000000001</v>
      </c>
      <c r="F48" s="954"/>
      <c r="G48" s="47" t="s">
        <v>61</v>
      </c>
      <c r="H48" s="223">
        <v>252</v>
      </c>
      <c r="I48" s="136">
        <f>INDEX('[1]111-112-113 ADDITIONAL FUND'!K$1:K$65536,MATCH($A$1,'[1]111-112-113 ADDITIONAL FUND'!A$1:A$65536))</f>
        <v>3168</v>
      </c>
      <c r="J48" s="137">
        <f t="shared" si="8"/>
        <v>54172.800000000003</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233">
        <f>SUM(C41:C49)</f>
        <v>144.73000000000002</v>
      </c>
      <c r="D50" s="233">
        <f>SUM(D41:D49)</f>
        <v>0</v>
      </c>
      <c r="E50" s="956">
        <f>SUM(E41:E49)</f>
        <v>289.46000000000004</v>
      </c>
      <c r="F50" s="956"/>
      <c r="G50" s="912" t="s">
        <v>63</v>
      </c>
      <c r="H50" s="912"/>
      <c r="I50" s="912"/>
      <c r="J50" s="276">
        <f>SUM(J41:J49)</f>
        <v>281593.40000000002</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1119.82</v>
      </c>
      <c r="F53" s="49" t="s">
        <v>66</v>
      </c>
      <c r="G53" s="3"/>
      <c r="H53" s="50" t="s">
        <v>67</v>
      </c>
      <c r="I53" s="702">
        <f>'0040'!I53</f>
        <v>207782.75</v>
      </c>
      <c r="J53" s="70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5.3889999999999997E-3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E56</f>
        <v>1116.8101999999999</v>
      </c>
      <c r="U55" s="184" t="s">
        <v>66</v>
      </c>
      <c r="V55" s="185"/>
      <c r="W55" s="186" t="s">
        <v>71</v>
      </c>
      <c r="X55" s="919">
        <f>I56</f>
        <v>221179.83999999997</v>
      </c>
      <c r="Y55" s="919"/>
    </row>
    <row r="56" spans="1:25" ht="16.5" customHeight="1" x14ac:dyDescent="0.25">
      <c r="A56" s="899" t="s">
        <v>70</v>
      </c>
      <c r="B56" s="899"/>
      <c r="C56" s="237"/>
      <c r="D56" s="237"/>
      <c r="E56" s="48">
        <f>G33</f>
        <v>1116.8101999999999</v>
      </c>
      <c r="F56" s="49" t="s">
        <v>66</v>
      </c>
      <c r="G56" s="3"/>
      <c r="H56" s="50" t="s">
        <v>71</v>
      </c>
      <c r="I56" s="702">
        <f>'0040'!I56</f>
        <v>221179.83999999997</v>
      </c>
      <c r="J56" s="704"/>
      <c r="M56" s="2"/>
      <c r="R56" s="255"/>
      <c r="S56" s="170"/>
      <c r="T56" s="170"/>
      <c r="U56" s="170"/>
      <c r="V56" s="170"/>
      <c r="W56" s="189" t="s">
        <v>68</v>
      </c>
      <c r="X56" s="920">
        <f>ROUND(T55/X55,6)</f>
        <v>5.0489999999999997E-3</v>
      </c>
      <c r="Y56" s="920"/>
    </row>
    <row r="57" spans="1:25" ht="18.75" customHeight="1" x14ac:dyDescent="0.25">
      <c r="A57" s="237"/>
      <c r="H57" s="53" t="s">
        <v>68</v>
      </c>
      <c r="I57" s="945">
        <f>IFERROR(ROUND(E56/I56,6),0)</f>
        <v>5.0489999999999997E-3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1119.82</v>
      </c>
      <c r="F59" s="49" t="s">
        <v>66</v>
      </c>
      <c r="G59" s="990" t="s">
        <v>74</v>
      </c>
      <c r="H59" s="990"/>
      <c r="I59" s="702">
        <f>'0040'!I59</f>
        <v>178931.75</v>
      </c>
      <c r="J59" s="704"/>
      <c r="M59" s="2"/>
      <c r="R59" s="255"/>
      <c r="S59" s="170"/>
      <c r="T59" s="170"/>
      <c r="U59" s="170"/>
      <c r="V59" s="170"/>
      <c r="W59" s="189" t="s">
        <v>68</v>
      </c>
      <c r="X59" s="920">
        <f>ROUND(T58/X58,6)</f>
        <v>0</v>
      </c>
      <c r="Y59" s="920"/>
    </row>
    <row r="60" spans="1:25" ht="18" customHeight="1" x14ac:dyDescent="0.25">
      <c r="A60" s="237"/>
      <c r="H60" s="53" t="s">
        <v>68</v>
      </c>
      <c r="I60" s="945">
        <f>IFERROR(ROUND(E59/I59,6),0)</f>
        <v>6.2579999999999997E-3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1119.82</v>
      </c>
      <c r="F62" s="49" t="s">
        <v>66</v>
      </c>
      <c r="G62" s="990" t="s">
        <v>76</v>
      </c>
      <c r="H62" s="990"/>
      <c r="I62" s="702">
        <f>'0040'!I62</f>
        <v>207463.82</v>
      </c>
      <c r="J62" s="704"/>
      <c r="M62" s="2"/>
      <c r="R62" s="255"/>
      <c r="S62" s="170"/>
      <c r="T62" s="170"/>
      <c r="U62" s="170"/>
      <c r="V62" s="170"/>
      <c r="W62" s="189" t="s">
        <v>68</v>
      </c>
      <c r="X62" s="920">
        <f>ROUND(T61/X61,6)</f>
        <v>0</v>
      </c>
      <c r="Y62" s="920"/>
    </row>
    <row r="63" spans="1:25" ht="19.5" customHeight="1" x14ac:dyDescent="0.25">
      <c r="A63" s="237"/>
      <c r="H63" s="53" t="s">
        <v>68</v>
      </c>
      <c r="I63" s="945">
        <f>IFERROR(ROUND(E62/I62,6),0)</f>
        <v>5.398E-3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1119.82</v>
      </c>
      <c r="F65" s="49" t="s">
        <v>66</v>
      </c>
      <c r="G65" s="990" t="s">
        <v>78</v>
      </c>
      <c r="H65" s="990"/>
      <c r="I65" s="702">
        <f>'0040'!I65</f>
        <v>178612.82</v>
      </c>
      <c r="J65" s="704"/>
      <c r="M65" s="2"/>
      <c r="R65" s="190"/>
      <c r="S65" s="170"/>
      <c r="T65" s="170"/>
      <c r="U65" s="170"/>
      <c r="V65" s="170"/>
      <c r="W65" s="189" t="s">
        <v>68</v>
      </c>
      <c r="X65" s="920">
        <f>ROUND(T64/X64,6)</f>
        <v>0</v>
      </c>
      <c r="Y65" s="920"/>
    </row>
    <row r="66" spans="1:26" ht="19.5" customHeight="1" x14ac:dyDescent="0.25">
      <c r="A66" s="237"/>
      <c r="H66" s="53" t="s">
        <v>68</v>
      </c>
      <c r="I66" s="945">
        <f>IFERROR(ROUND(E65/I65,6),0)</f>
        <v>6.2700000000000004E-3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5.398E-3</v>
      </c>
      <c r="J68" s="138">
        <f>ROUND(G68*I68,2)</f>
        <v>246308.54</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5.3889999999999997E-3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6.2700000000000004E-3</v>
      </c>
      <c r="J71" s="138">
        <f>ROUND(G71*I71,2)</f>
        <v>118716.54</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6.2579999999999997E-3</v>
      </c>
      <c r="J72" s="138">
        <f>ROUND(G72*I72,2)</f>
        <v>70715.48</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v>28.64</v>
      </c>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103.7</v>
      </c>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v>2.5</v>
      </c>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v>1.76</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136.6</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8" t="s">
        <v>101</v>
      </c>
      <c r="B84" s="868"/>
      <c r="C84" s="868"/>
      <c r="D84" s="230"/>
      <c r="G84" s="277">
        <f>'0040'!G84</f>
        <v>58502790</v>
      </c>
      <c r="H84" s="223" t="s">
        <v>81</v>
      </c>
      <c r="I84" s="41">
        <f>IFERROR(ROUND(J81/J82,6),0)</f>
        <v>1.0586999999999999E-2</v>
      </c>
      <c r="J84" s="62">
        <f>ROUND(G84*I84,2)</f>
        <v>619369.04</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5.0489999999999997E-3</v>
      </c>
      <c r="J85" s="138">
        <f>ROUND(G85*I85,2)</f>
        <v>1357253.39</v>
      </c>
      <c r="K85" s="70"/>
      <c r="L85" s="70"/>
      <c r="M85" s="71"/>
      <c r="N85" s="70"/>
      <c r="O85" s="70"/>
      <c r="P85" s="70"/>
      <c r="Q85" s="70"/>
      <c r="R85" s="862" t="s">
        <v>168</v>
      </c>
      <c r="S85" s="862"/>
      <c r="T85" s="862"/>
      <c r="U85" s="253"/>
      <c r="V85" s="171">
        <f>G85</f>
        <v>268816278</v>
      </c>
      <c r="W85" s="239" t="s">
        <v>81</v>
      </c>
      <c r="X85" s="176">
        <f>X56</f>
        <v>5.0489999999999997E-3</v>
      </c>
      <c r="Y85" s="266">
        <f t="shared" ref="Y85:Y87" si="12">ROUND(V85*X85,2)</f>
        <v>1357253.39</v>
      </c>
    </row>
    <row r="86" spans="1:26" ht="14.25" customHeight="1" x14ac:dyDescent="0.25">
      <c r="A86" s="898" t="s">
        <v>104</v>
      </c>
      <c r="B86" s="898"/>
      <c r="C86" s="898"/>
      <c r="D86" s="898"/>
      <c r="E86" s="898"/>
      <c r="F86" s="248" t="s">
        <v>103</v>
      </c>
      <c r="G86" s="139">
        <v>0</v>
      </c>
      <c r="H86" s="223" t="s">
        <v>81</v>
      </c>
      <c r="I86" s="41">
        <f>I57</f>
        <v>5.0489999999999997E-3</v>
      </c>
      <c r="J86" s="138">
        <f>ROUND(G86*I86,2)</f>
        <v>0</v>
      </c>
      <c r="K86" s="70"/>
      <c r="L86" s="71"/>
      <c r="M86" s="76"/>
      <c r="N86" s="76"/>
      <c r="O86" s="76"/>
      <c r="P86" s="76"/>
      <c r="Q86" s="70"/>
      <c r="R86" s="862" t="s">
        <v>169</v>
      </c>
      <c r="S86" s="862"/>
      <c r="T86" s="862"/>
      <c r="U86" s="253"/>
      <c r="V86" s="203">
        <f>G86</f>
        <v>0</v>
      </c>
      <c r="W86" s="239" t="s">
        <v>81</v>
      </c>
      <c r="X86" s="176">
        <f>X56</f>
        <v>5.0489999999999997E-3</v>
      </c>
      <c r="Y86" s="266">
        <f t="shared" si="12"/>
        <v>0</v>
      </c>
    </row>
    <row r="87" spans="1:26" ht="18" customHeight="1" x14ac:dyDescent="0.25">
      <c r="A87" s="898" t="s">
        <v>105</v>
      </c>
      <c r="B87" s="898"/>
      <c r="C87" s="898"/>
      <c r="D87" s="898"/>
      <c r="E87" s="898"/>
      <c r="F87" s="248" t="s">
        <v>84</v>
      </c>
      <c r="G87" s="139">
        <v>0</v>
      </c>
      <c r="H87" s="223" t="s">
        <v>81</v>
      </c>
      <c r="I87" s="41">
        <f>I54</f>
        <v>5.3889999999999997E-3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141">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0</v>
      </c>
      <c r="C91" s="245"/>
      <c r="D91" s="869">
        <f>I6</f>
        <v>1.0355000000000001</v>
      </c>
      <c r="E91" s="869"/>
      <c r="F91" s="869"/>
      <c r="G91" s="122">
        <f>'[1]Detail 2025-26 FEFP Second'!AC3</f>
        <v>915.09</v>
      </c>
      <c r="H91" s="47" t="s">
        <v>68</v>
      </c>
      <c r="I91" s="140">
        <f>ROUND(B91*D91*G91,2)</f>
        <v>0</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1116.8101999999999</v>
      </c>
      <c r="C92" s="109"/>
      <c r="D92" s="869">
        <f>I6</f>
        <v>1.0355000000000001</v>
      </c>
      <c r="E92" s="869"/>
      <c r="F92" s="869"/>
      <c r="G92" s="122">
        <f>'[1]Detail 2025-26 FEFP Second'!AD3</f>
        <v>917.3</v>
      </c>
      <c r="H92" s="47" t="s">
        <v>68</v>
      </c>
      <c r="I92" s="575">
        <f>ROUND(B92*D92*G92,2)</f>
        <v>1060817.97</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1116.8101999999999</v>
      </c>
      <c r="C93" s="109"/>
      <c r="D93" s="109"/>
      <c r="E93" s="939" t="s">
        <v>112</v>
      </c>
      <c r="F93" s="939"/>
      <c r="G93" s="939"/>
      <c r="H93" s="939"/>
      <c r="I93" s="939"/>
      <c r="J93" s="127">
        <f>IF(A1=75,0,I92+I91+I90)</f>
        <v>1060817.97</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823</v>
      </c>
      <c r="D97" s="279">
        <v>0</v>
      </c>
      <c r="E97" s="992">
        <f>(C97+D97)</f>
        <v>823</v>
      </c>
      <c r="F97" s="992"/>
      <c r="G97" s="992"/>
      <c r="H97" s="224" t="s">
        <v>117</v>
      </c>
      <c r="I97" s="130">
        <f>'0040'!I97</f>
        <v>586</v>
      </c>
      <c r="J97" s="138">
        <f>ROUND(I97*E97,2)</f>
        <v>482278</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c r="E98" s="943">
        <f>(C98+D98)/2</f>
        <v>0</v>
      </c>
      <c r="F98" s="943"/>
      <c r="G98" s="943"/>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8"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912" t="s">
        <v>125</v>
      </c>
      <c r="B107" s="912"/>
      <c r="C107" s="912"/>
      <c r="D107" s="912"/>
      <c r="E107" s="912"/>
      <c r="F107" s="912"/>
      <c r="G107" s="912"/>
      <c r="H107" s="912"/>
      <c r="I107" s="912"/>
      <c r="J107" s="580">
        <f>SUM(J106,J105,J98,J97,J93,J86,J85,J71,J70,J68,J33,J72,J50,J87,J84)</f>
        <v>10450233.030000001</v>
      </c>
      <c r="R107" s="862" t="s">
        <v>125</v>
      </c>
      <c r="S107" s="862"/>
      <c r="T107" s="862"/>
      <c r="U107" s="862"/>
      <c r="V107" s="862"/>
      <c r="W107" s="862"/>
      <c r="X107" s="862"/>
      <c r="Y107" s="219">
        <f>SUM(Y106,Y105,Y97,Y96,Y93,Y86,Y85,Y84,Y70,Y69,Y67,Y33,Y71,Y50,Y87,Y83)</f>
        <v>1357253.39</v>
      </c>
    </row>
    <row r="108" spans="1:25" ht="15.75" customHeight="1" thickTop="1" x14ac:dyDescent="0.25">
      <c r="A108" s="868"/>
      <c r="B108" s="868"/>
      <c r="C108" s="868"/>
      <c r="D108" s="868"/>
      <c r="E108" s="868"/>
      <c r="F108" s="868"/>
      <c r="G108" s="868"/>
      <c r="H108" s="868"/>
      <c r="I108" s="868"/>
      <c r="J108" s="868"/>
      <c r="R108" s="876"/>
      <c r="S108" s="876"/>
      <c r="T108" s="876"/>
      <c r="U108" s="876"/>
      <c r="V108" s="876"/>
      <c r="W108" s="876"/>
      <c r="X108" s="876"/>
      <c r="Y108" s="876"/>
    </row>
    <row r="109" spans="1:25" ht="17.25" customHeight="1" thickBot="1" x14ac:dyDescent="0.3">
      <c r="A109" s="898" t="s">
        <v>131</v>
      </c>
      <c r="B109" s="898"/>
      <c r="C109" s="898"/>
      <c r="D109" s="898"/>
      <c r="E109" s="898"/>
      <c r="F109" s="868"/>
      <c r="G109" s="868"/>
      <c r="H109" s="868"/>
      <c r="I109" s="2" t="s">
        <v>132</v>
      </c>
      <c r="J109" s="582">
        <f>J107-J38</f>
        <v>10004692.700000001</v>
      </c>
      <c r="R109" s="170" t="s">
        <v>176</v>
      </c>
      <c r="S109" s="170"/>
      <c r="T109" s="170"/>
      <c r="U109" s="170"/>
      <c r="V109" s="170"/>
      <c r="W109" s="170"/>
      <c r="X109" s="170"/>
      <c r="Y109" s="220">
        <f>Y107-Y38</f>
        <v>1357253.39</v>
      </c>
    </row>
    <row r="110" spans="1:25" ht="18.75" customHeight="1" thickTop="1" x14ac:dyDescent="0.25">
      <c r="A110" s="898" t="s">
        <v>133</v>
      </c>
      <c r="B110" s="898"/>
      <c r="C110" s="898"/>
      <c r="D110" s="898"/>
      <c r="E110" s="898"/>
      <c r="F110" s="898"/>
      <c r="G110" s="898"/>
      <c r="H110" s="898"/>
      <c r="I110" s="235" t="s">
        <v>134</v>
      </c>
      <c r="J110" s="72"/>
      <c r="R110" s="953" t="s">
        <v>136</v>
      </c>
      <c r="S110" s="953"/>
      <c r="T110" s="953"/>
      <c r="U110" s="953"/>
      <c r="V110" s="953"/>
      <c r="W110" s="953"/>
      <c r="X110" s="953"/>
      <c r="Y110" s="953"/>
    </row>
    <row r="111" spans="1:25" ht="15.75" customHeight="1" x14ac:dyDescent="0.25">
      <c r="A111" s="899" t="s">
        <v>135</v>
      </c>
      <c r="B111" s="899"/>
      <c r="C111" s="899"/>
      <c r="D111" s="899"/>
      <c r="E111" s="899"/>
      <c r="F111" s="899"/>
      <c r="G111" s="899"/>
      <c r="H111" s="899"/>
      <c r="I111" s="280"/>
      <c r="J111" s="46">
        <f>Y109</f>
        <v>1357253.39</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181</v>
      </c>
      <c r="B114" s="293"/>
      <c r="C114" s="293"/>
      <c r="D114" s="293"/>
      <c r="E114" s="293"/>
      <c r="F114" s="293"/>
      <c r="G114" s="293"/>
      <c r="H114" s="709" t="s">
        <v>432</v>
      </c>
      <c r="I114" s="710">
        <f>IF(I111=1,J111,J109)</f>
        <v>10004692.700000001</v>
      </c>
      <c r="J114" s="711">
        <f>ROUND(IF(E28=0,0,IF(E28&gt;250,-(((250/E28)*I114)*IF(H114="H",0.02,0.05)),IF(H114="H",-0.02*I114,-0.05*I114))),2)</f>
        <v>-44670.99</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10405562.040000001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12"/>
      <c r="I118" s="713"/>
      <c r="J118" s="718">
        <f>-'Cumulative Payments'!R76</f>
        <v>-5923278.9100000011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4482283.13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896456.63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155422.85999999999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X62:Y62"/>
    <mergeCell ref="A59:B59"/>
    <mergeCell ref="G59:H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5E08-26EF-42D2-A8F6-5DD120B76666}">
  <dimension ref="A1:Z207"/>
  <sheetViews>
    <sheetView topLeftCell="A98" workbookViewId="0">
      <selection activeCell="Y79" sqref="Y79"/>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3.28515625" style="5" bestFit="1"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436</v>
      </c>
      <c r="B2" s="102"/>
      <c r="C2" s="102"/>
      <c r="D2" s="102"/>
      <c r="E2" s="100"/>
      <c r="F2" s="100"/>
      <c r="G2" s="100"/>
      <c r="H2" s="100"/>
      <c r="I2" s="100"/>
      <c r="J2" s="100"/>
      <c r="K2" s="6"/>
      <c r="L2" s="6"/>
      <c r="M2" s="6"/>
      <c r="N2" s="6"/>
      <c r="O2" s="6"/>
      <c r="P2" s="6"/>
      <c r="Q2" s="6"/>
      <c r="R2" s="875" t="str">
        <f>Revenue_Estimate_Worksheet_for___________Charter_School</f>
        <v>Revenue Estimate Worksheet: Ed Venture Charter School - 2521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Second'!$C$1:$C$65536,MATCH('2521'!$A$1,'[1]Detail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Second'!$D$1:$D$65536,MATCH('2521'!$A$1,'[1]Detail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0</v>
      </c>
      <c r="D14" s="415"/>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v>
      </c>
      <c r="D15" s="415"/>
      <c r="E15" s="967">
        <f t="shared" si="0"/>
        <v>0</v>
      </c>
      <c r="F15" s="967"/>
      <c r="G15" s="968">
        <v>1</v>
      </c>
      <c r="H15" s="968"/>
      <c r="I15" s="578">
        <f t="shared" si="2"/>
        <v>0</v>
      </c>
      <c r="J15" s="579">
        <f t="shared" si="1"/>
        <v>0</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27.79</v>
      </c>
      <c r="D17" s="415">
        <v>0</v>
      </c>
      <c r="E17" s="967">
        <f t="shared" si="0"/>
        <v>55.58</v>
      </c>
      <c r="F17" s="967"/>
      <c r="G17" s="968">
        <v>0.97199999999999998</v>
      </c>
      <c r="H17" s="968"/>
      <c r="I17" s="578">
        <f t="shared" si="2"/>
        <v>54.023800000000001</v>
      </c>
      <c r="J17" s="579">
        <f t="shared" si="1"/>
        <v>300552.08</v>
      </c>
      <c r="M17" s="2"/>
      <c r="R17" s="860" t="s">
        <v>25</v>
      </c>
      <c r="S17" s="860"/>
      <c r="T17" s="891">
        <f t="shared" si="3"/>
        <v>55.58</v>
      </c>
      <c r="U17" s="891"/>
      <c r="V17" s="896">
        <v>1</v>
      </c>
      <c r="W17" s="896"/>
      <c r="X17" s="156">
        <f t="shared" si="4"/>
        <v>55.58</v>
      </c>
      <c r="Y17" s="266">
        <f t="shared" si="6"/>
        <v>309209.73</v>
      </c>
    </row>
    <row r="18" spans="1:25" x14ac:dyDescent="0.25">
      <c r="A18" s="861" t="s">
        <v>26</v>
      </c>
      <c r="B18" s="861"/>
      <c r="C18" s="415">
        <v>0</v>
      </c>
      <c r="D18" s="415"/>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9.35</v>
      </c>
      <c r="D20" s="415">
        <v>0</v>
      </c>
      <c r="E20" s="967">
        <f t="shared" si="0"/>
        <v>18.7</v>
      </c>
      <c r="F20" s="967"/>
      <c r="G20" s="968">
        <v>3.609</v>
      </c>
      <c r="H20" s="968"/>
      <c r="I20" s="578">
        <f t="shared" si="2"/>
        <v>67.488299999999995</v>
      </c>
      <c r="J20" s="579">
        <f t="shared" si="1"/>
        <v>375459.5</v>
      </c>
      <c r="M20" s="2"/>
      <c r="R20" s="860" t="s">
        <v>28</v>
      </c>
      <c r="S20" s="860"/>
      <c r="T20" s="891">
        <f t="shared" si="3"/>
        <v>18.7</v>
      </c>
      <c r="U20" s="891"/>
      <c r="V20" s="896">
        <v>1</v>
      </c>
      <c r="W20" s="896"/>
      <c r="X20" s="156">
        <f t="shared" si="4"/>
        <v>18.7</v>
      </c>
      <c r="Y20" s="266">
        <f t="shared" si="6"/>
        <v>104034.22</v>
      </c>
    </row>
    <row r="21" spans="1:25" ht="15" customHeight="1" x14ac:dyDescent="0.25">
      <c r="A21" s="861" t="s">
        <v>29</v>
      </c>
      <c r="B21" s="861"/>
      <c r="C21" s="415">
        <v>0</v>
      </c>
      <c r="D21" s="415"/>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37.14</v>
      </c>
      <c r="D28" s="126">
        <f>SUM(D12:D27)</f>
        <v>0</v>
      </c>
      <c r="E28" s="966">
        <f>SUM(E12:E27)</f>
        <v>74.28</v>
      </c>
      <c r="F28" s="966"/>
      <c r="G28" s="961"/>
      <c r="H28" s="961"/>
      <c r="I28" s="23">
        <f>SUM(I12:I27)</f>
        <v>121.5121</v>
      </c>
      <c r="J28" s="127">
        <f>SUM(J12:J27)</f>
        <v>676011.58000000007</v>
      </c>
      <c r="M28" s="2"/>
      <c r="R28" s="907" t="s">
        <v>36</v>
      </c>
      <c r="S28" s="907"/>
      <c r="T28" s="908">
        <f>SUM(T12:T27)</f>
        <v>74.28</v>
      </c>
      <c r="U28" s="908"/>
      <c r="V28" s="909"/>
      <c r="W28" s="909"/>
      <c r="X28" s="158">
        <f>SUM(X12:X27)</f>
        <v>74.28</v>
      </c>
      <c r="Y28" s="266">
        <f>SUM(Y12:Y27)</f>
        <v>413243.94999999995</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121.5121</v>
      </c>
      <c r="H33" s="961" t="s">
        <v>45</v>
      </c>
      <c r="I33" s="961"/>
      <c r="J33" s="32">
        <f>SUM(J32,J28)</f>
        <v>676011.58000000007</v>
      </c>
      <c r="M33" s="2"/>
      <c r="R33" s="911" t="s">
        <v>44</v>
      </c>
      <c r="S33" s="911"/>
      <c r="T33" s="911"/>
      <c r="U33" s="911"/>
      <c r="V33" s="164" t="e">
        <f>V32+X28</f>
        <v>#REF!</v>
      </c>
      <c r="W33" s="909" t="s">
        <v>45</v>
      </c>
      <c r="X33" s="909"/>
      <c r="Y33" s="165">
        <f>SUM(Y32,Y28)</f>
        <v>413243.94999999995</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707050.5</v>
      </c>
      <c r="H36" s="223" t="s">
        <v>49</v>
      </c>
      <c r="I36" s="38">
        <v>6.6699999999999995E-2</v>
      </c>
      <c r="J36" s="131">
        <f>ROUND(G36*I36,2)</f>
        <v>47160.27</v>
      </c>
      <c r="K36" s="39"/>
      <c r="L36" s="233"/>
      <c r="M36" s="233"/>
      <c r="N36" s="233"/>
      <c r="O36" s="31"/>
      <c r="P36" s="232"/>
      <c r="Q36" s="232"/>
      <c r="R36" s="860" t="s">
        <v>47</v>
      </c>
      <c r="S36" s="860"/>
      <c r="T36" s="860"/>
      <c r="U36" s="253"/>
      <c r="V36" s="172">
        <v>412576.36</v>
      </c>
      <c r="W36" s="239" t="s">
        <v>49</v>
      </c>
      <c r="X36" s="174">
        <v>6.6699999999999995E-2</v>
      </c>
      <c r="Y36" s="266">
        <f>J36</f>
        <v>47160.27</v>
      </c>
    </row>
    <row r="37" spans="1:25" ht="20.25" customHeight="1" x14ac:dyDescent="0.25">
      <c r="A37" s="861" t="s">
        <v>50</v>
      </c>
      <c r="B37" s="861"/>
      <c r="C37" s="861"/>
      <c r="D37" s="861"/>
      <c r="E37" s="861"/>
      <c r="F37" s="248" t="s">
        <v>48</v>
      </c>
      <c r="G37" s="132">
        <v>707050.5</v>
      </c>
      <c r="H37" s="223" t="s">
        <v>49</v>
      </c>
      <c r="I37" s="38">
        <v>5.4000000000000003E-3</v>
      </c>
      <c r="J37" s="131">
        <f>ROUND(G37*I37,2)</f>
        <v>3818.07</v>
      </c>
      <c r="K37" s="39"/>
      <c r="L37" s="233"/>
      <c r="M37" s="233"/>
      <c r="N37" s="233"/>
      <c r="O37" s="31"/>
      <c r="P37" s="232"/>
      <c r="Q37" s="232"/>
      <c r="R37" s="860" t="s">
        <v>50</v>
      </c>
      <c r="S37" s="860"/>
      <c r="T37" s="860"/>
      <c r="U37" s="253"/>
      <c r="V37" s="172">
        <v>412576.36</v>
      </c>
      <c r="W37" s="239" t="s">
        <v>49</v>
      </c>
      <c r="X37" s="174">
        <v>5.4000000000000003E-3</v>
      </c>
      <c r="Y37" s="266">
        <f>J37</f>
        <v>3818.07</v>
      </c>
    </row>
    <row r="38" spans="1:25" ht="20.25" customHeight="1" x14ac:dyDescent="0.25">
      <c r="A38" s="898" t="s">
        <v>51</v>
      </c>
      <c r="B38" s="898"/>
      <c r="C38" s="898"/>
      <c r="D38" s="898"/>
      <c r="E38" s="898"/>
      <c r="F38" s="248" t="s">
        <v>52</v>
      </c>
      <c r="G38" s="40"/>
      <c r="H38" s="223"/>
      <c r="I38" s="41"/>
      <c r="J38" s="131">
        <f>SUM(J36:J37)</f>
        <v>50978.34</v>
      </c>
      <c r="K38" s="39"/>
      <c r="L38" s="233"/>
      <c r="M38" s="233"/>
      <c r="N38" s="233"/>
      <c r="O38" s="31"/>
      <c r="P38" s="232"/>
      <c r="Q38" s="232"/>
      <c r="R38" s="862" t="s">
        <v>51</v>
      </c>
      <c r="S38" s="862"/>
      <c r="T38" s="862"/>
      <c r="U38" s="253" t="s">
        <v>52</v>
      </c>
      <c r="V38" s="175"/>
      <c r="W38" s="239"/>
      <c r="X38" s="176"/>
      <c r="Y38" s="266">
        <f>Y36+Y37</f>
        <v>50978.34</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0</v>
      </c>
      <c r="D44" s="415">
        <v>0</v>
      </c>
      <c r="E44" s="954">
        <f t="shared" si="7"/>
        <v>0</v>
      </c>
      <c r="F44" s="954"/>
      <c r="G44" s="47" t="s">
        <v>60</v>
      </c>
      <c r="H44" s="223">
        <v>251</v>
      </c>
      <c r="I44" s="136">
        <f>INDEX('[1]111-112-113 ADDITIONAL FUND'!G$1:G$65536,MATCH($A$1,'[1]111-112-113 ADDITIONAL FUND'!A$1:A$65536))</f>
        <v>1173</v>
      </c>
      <c r="J44" s="13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46">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0.51</v>
      </c>
      <c r="D48" s="415">
        <v>0</v>
      </c>
      <c r="E48" s="954">
        <f t="shared" si="7"/>
        <v>1.02</v>
      </c>
      <c r="F48" s="954"/>
      <c r="G48" s="47" t="s">
        <v>61</v>
      </c>
      <c r="H48" s="223">
        <v>252</v>
      </c>
      <c r="I48" s="136">
        <f>INDEX('[1]111-112-113 ADDITIONAL FUND'!K$1:K$65536,MATCH($A$1,'[1]111-112-113 ADDITIONAL FUND'!A$1:A$65536))</f>
        <v>3168</v>
      </c>
      <c r="J48" s="137">
        <f t="shared" si="8"/>
        <v>3231.36</v>
      </c>
      <c r="M48" s="2"/>
      <c r="R48" s="903"/>
      <c r="S48" s="903"/>
      <c r="T48" s="905"/>
      <c r="U48" s="905"/>
      <c r="V48" s="182" t="s">
        <v>61</v>
      </c>
      <c r="W48" s="239">
        <v>252</v>
      </c>
      <c r="X48" s="134">
        <f t="shared" si="9"/>
        <v>3168</v>
      </c>
      <c r="Y48" s="269">
        <f t="shared" si="10"/>
        <v>0</v>
      </c>
    </row>
    <row r="49" spans="1:25" ht="15.75" customHeight="1" thickBot="1" x14ac:dyDescent="0.3">
      <c r="A49" s="960"/>
      <c r="B49" s="960"/>
      <c r="C49" s="415">
        <v>27.28</v>
      </c>
      <c r="D49" s="415">
        <v>0</v>
      </c>
      <c r="E49" s="955">
        <f t="shared" si="7"/>
        <v>54.56</v>
      </c>
      <c r="F49" s="955"/>
      <c r="G49" s="47" t="s">
        <v>61</v>
      </c>
      <c r="H49" s="223">
        <v>253</v>
      </c>
      <c r="I49" s="136">
        <f>INDEX('[1]111-112-113 ADDITIONAL FUND'!L$1:L$65536,MATCH($A$1,'[1]111-112-113 ADDITIONAL FUND'!A$1:A$65536))</f>
        <v>6685</v>
      </c>
      <c r="J49" s="137">
        <f t="shared" si="8"/>
        <v>364733.6</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233">
        <f>SUM(C41:C49)</f>
        <v>27.790000000000003</v>
      </c>
      <c r="D50" s="233">
        <f>SUM(D41:D49)</f>
        <v>0</v>
      </c>
      <c r="E50" s="956">
        <f>SUM(E41:E49)</f>
        <v>55.580000000000005</v>
      </c>
      <c r="F50" s="956"/>
      <c r="G50" s="912" t="s">
        <v>63</v>
      </c>
      <c r="H50" s="912"/>
      <c r="I50" s="912"/>
      <c r="J50" s="276">
        <f>SUM(J41:J49)</f>
        <v>367964.95999999996</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74.28</v>
      </c>
      <c r="U52" s="184" t="s">
        <v>66</v>
      </c>
      <c r="V52" s="185"/>
      <c r="W52" s="186" t="s">
        <v>67</v>
      </c>
      <c r="X52" s="919">
        <f>I53</f>
        <v>207782.75</v>
      </c>
      <c r="Y52" s="919"/>
    </row>
    <row r="53" spans="1:25" ht="16.5" customHeight="1" x14ac:dyDescent="0.25">
      <c r="A53" s="899" t="s">
        <v>65</v>
      </c>
      <c r="B53" s="899"/>
      <c r="C53" s="237"/>
      <c r="D53" s="237"/>
      <c r="E53" s="48">
        <f>E28</f>
        <v>74.28</v>
      </c>
      <c r="F53" s="49" t="s">
        <v>66</v>
      </c>
      <c r="G53" s="3"/>
      <c r="H53" s="50" t="s">
        <v>67</v>
      </c>
      <c r="I53" s="702">
        <f>'0040'!I53</f>
        <v>207782.75</v>
      </c>
      <c r="J53" s="704"/>
      <c r="M53" s="2"/>
      <c r="R53" s="255"/>
      <c r="S53" s="243"/>
      <c r="T53" s="170"/>
      <c r="U53" s="170"/>
      <c r="V53" s="170"/>
      <c r="W53" s="189" t="s">
        <v>68</v>
      </c>
      <c r="X53" s="920">
        <f>ROUND(T52/X52,6)</f>
        <v>3.57E-4</v>
      </c>
      <c r="Y53" s="920"/>
    </row>
    <row r="54" spans="1:25" ht="22.5" customHeight="1" x14ac:dyDescent="0.25">
      <c r="A54" s="237"/>
      <c r="B54" s="230"/>
      <c r="C54" s="230"/>
      <c r="D54" s="230"/>
      <c r="H54" s="53" t="s">
        <v>68</v>
      </c>
      <c r="I54" s="945">
        <f>IFERROR(ROUND(E53/I53,6),0)</f>
        <v>3.57E-4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74.28</v>
      </c>
      <c r="U55" s="184" t="s">
        <v>66</v>
      </c>
      <c r="V55" s="185"/>
      <c r="W55" s="186" t="s">
        <v>71</v>
      </c>
      <c r="X55" s="919">
        <f>I56</f>
        <v>221179.83999999997</v>
      </c>
      <c r="Y55" s="919"/>
    </row>
    <row r="56" spans="1:25" ht="16.5" customHeight="1" x14ac:dyDescent="0.25">
      <c r="A56" s="899" t="s">
        <v>70</v>
      </c>
      <c r="B56" s="899"/>
      <c r="C56" s="237"/>
      <c r="D56" s="237"/>
      <c r="E56" s="48">
        <f>G33</f>
        <v>121.5121</v>
      </c>
      <c r="F56" s="49" t="s">
        <v>66</v>
      </c>
      <c r="G56" s="3"/>
      <c r="H56" s="50" t="s">
        <v>71</v>
      </c>
      <c r="I56" s="702">
        <f>'0040'!I56</f>
        <v>221179.83999999997</v>
      </c>
      <c r="J56" s="704"/>
      <c r="M56" s="2"/>
      <c r="R56" s="255"/>
      <c r="S56" s="170"/>
      <c r="T56" s="170"/>
      <c r="U56" s="170"/>
      <c r="V56" s="170"/>
      <c r="W56" s="189" t="s">
        <v>68</v>
      </c>
      <c r="X56" s="920">
        <f>ROUND(T55/X55,6)</f>
        <v>3.3599999999999998E-4</v>
      </c>
      <c r="Y56" s="920"/>
    </row>
    <row r="57" spans="1:25" ht="18.75" customHeight="1" x14ac:dyDescent="0.25">
      <c r="A57" s="237"/>
      <c r="H57" s="53" t="s">
        <v>68</v>
      </c>
      <c r="I57" s="945">
        <f>IFERROR(ROUND(E56/I56,6),0)</f>
        <v>5.4900000000000001E-4</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74.28</v>
      </c>
      <c r="U58" s="184" t="s">
        <v>66</v>
      </c>
      <c r="V58" s="918" t="s">
        <v>74</v>
      </c>
      <c r="W58" s="918"/>
      <c r="X58" s="919">
        <f>I59</f>
        <v>178931.75</v>
      </c>
      <c r="Y58" s="919"/>
    </row>
    <row r="59" spans="1:25" ht="18.75" customHeight="1" x14ac:dyDescent="0.25">
      <c r="A59" s="899" t="s">
        <v>73</v>
      </c>
      <c r="B59" s="899"/>
      <c r="C59" s="237"/>
      <c r="D59" s="237"/>
      <c r="E59" s="48">
        <f>E28</f>
        <v>74.28</v>
      </c>
      <c r="F59" s="49" t="s">
        <v>66</v>
      </c>
      <c r="G59" s="990" t="s">
        <v>74</v>
      </c>
      <c r="H59" s="990"/>
      <c r="I59" s="702">
        <f>'0040'!I59</f>
        <v>178931.75</v>
      </c>
      <c r="J59" s="704"/>
      <c r="M59" s="2"/>
      <c r="R59" s="255"/>
      <c r="S59" s="170"/>
      <c r="T59" s="170"/>
      <c r="U59" s="170"/>
      <c r="V59" s="170"/>
      <c r="W59" s="189" t="s">
        <v>68</v>
      </c>
      <c r="X59" s="920">
        <f>ROUND(T58/X58,6)</f>
        <v>4.15E-4</v>
      </c>
      <c r="Y59" s="920"/>
    </row>
    <row r="60" spans="1:25" ht="18" customHeight="1" x14ac:dyDescent="0.25">
      <c r="A60" s="237"/>
      <c r="H60" s="53" t="s">
        <v>68</v>
      </c>
      <c r="I60" s="945">
        <f>IFERROR(ROUND(E59/I59,6),0)</f>
        <v>4.15E-4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74.28</v>
      </c>
      <c r="U61" s="184" t="s">
        <v>66</v>
      </c>
      <c r="V61" s="918" t="s">
        <v>76</v>
      </c>
      <c r="W61" s="918"/>
      <c r="X61" s="919">
        <f>I62</f>
        <v>207463.82</v>
      </c>
      <c r="Y61" s="919"/>
    </row>
    <row r="62" spans="1:25" x14ac:dyDescent="0.25">
      <c r="A62" s="899" t="s">
        <v>73</v>
      </c>
      <c r="B62" s="899"/>
      <c r="C62" s="237"/>
      <c r="D62" s="237"/>
      <c r="E62" s="48">
        <f>E28</f>
        <v>74.28</v>
      </c>
      <c r="F62" s="49" t="s">
        <v>66</v>
      </c>
      <c r="G62" s="990" t="s">
        <v>76</v>
      </c>
      <c r="H62" s="990"/>
      <c r="I62" s="702">
        <f>'0040'!I62</f>
        <v>207463.82</v>
      </c>
      <c r="J62" s="704"/>
      <c r="M62" s="2"/>
      <c r="R62" s="255"/>
      <c r="S62" s="170"/>
      <c r="T62" s="170"/>
      <c r="U62" s="170"/>
      <c r="V62" s="170"/>
      <c r="W62" s="189" t="s">
        <v>68</v>
      </c>
      <c r="X62" s="920">
        <f>ROUND(T61/X61,6)</f>
        <v>3.5799999999999997E-4</v>
      </c>
      <c r="Y62" s="920"/>
    </row>
    <row r="63" spans="1:25" ht="19.5" customHeight="1" x14ac:dyDescent="0.25">
      <c r="A63" s="237"/>
      <c r="H63" s="53" t="s">
        <v>68</v>
      </c>
      <c r="I63" s="945">
        <f>IFERROR(ROUND(E62/I62,6),0)</f>
        <v>3.5799999999999997E-4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74.28</v>
      </c>
      <c r="U64" s="184" t="s">
        <v>66</v>
      </c>
      <c r="V64" s="993" t="s">
        <v>161</v>
      </c>
      <c r="W64" s="993"/>
      <c r="X64" s="919">
        <f>I65</f>
        <v>178612.82</v>
      </c>
      <c r="Y64" s="919"/>
    </row>
    <row r="65" spans="1:26" ht="49.5" customHeight="1" x14ac:dyDescent="0.25">
      <c r="A65" s="899" t="s">
        <v>73</v>
      </c>
      <c r="B65" s="899"/>
      <c r="C65" s="237"/>
      <c r="D65" s="237"/>
      <c r="E65" s="48">
        <f>E28</f>
        <v>74.28</v>
      </c>
      <c r="F65" s="49" t="s">
        <v>66</v>
      </c>
      <c r="G65" s="990" t="s">
        <v>78</v>
      </c>
      <c r="H65" s="990"/>
      <c r="I65" s="702">
        <f>'0040'!I65</f>
        <v>178612.82</v>
      </c>
      <c r="J65" s="704"/>
      <c r="M65" s="2"/>
      <c r="R65" s="190"/>
      <c r="S65" s="170"/>
      <c r="T65" s="170"/>
      <c r="U65" s="170"/>
      <c r="V65" s="170"/>
      <c r="W65" s="189" t="s">
        <v>68</v>
      </c>
      <c r="X65" s="920">
        <f>ROUND(T64/X64,6)</f>
        <v>4.1599999999999997E-4</v>
      </c>
      <c r="Y65" s="920"/>
    </row>
    <row r="66" spans="1:26" ht="19.5" customHeight="1" x14ac:dyDescent="0.25">
      <c r="A66" s="237"/>
      <c r="H66" s="53" t="s">
        <v>68</v>
      </c>
      <c r="I66" s="945">
        <f>IFERROR(ROUND(E65/I65,6),0)</f>
        <v>4.1599999999999997E-4</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3.5799999999999997E-4</v>
      </c>
      <c r="Y67" s="271">
        <f>ROUND(V67*X67,2)</f>
        <v>16335.39</v>
      </c>
    </row>
    <row r="68" spans="1:26" ht="30.75" customHeight="1" x14ac:dyDescent="0.25">
      <c r="A68" s="946" t="s">
        <v>79</v>
      </c>
      <c r="B68" s="946"/>
      <c r="C68" s="946"/>
      <c r="D68" s="946"/>
      <c r="E68" s="946"/>
      <c r="F68" s="248" t="s">
        <v>80</v>
      </c>
      <c r="G68" s="277">
        <f>'0040'!G68</f>
        <v>45629593</v>
      </c>
      <c r="H68" s="223" t="s">
        <v>81</v>
      </c>
      <c r="I68" s="41">
        <f>I63</f>
        <v>3.5799999999999997E-4</v>
      </c>
      <c r="J68" s="138">
        <f>ROUND(G68*I68,2)</f>
        <v>16335.39</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3.57E-4</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3.57E-4</v>
      </c>
      <c r="J70" s="138">
        <f>ROUND(G70*I70,2)</f>
        <v>0</v>
      </c>
      <c r="M70" s="2"/>
      <c r="R70" s="862" t="s">
        <v>163</v>
      </c>
      <c r="S70" s="862"/>
      <c r="T70" s="862"/>
      <c r="U70" s="253"/>
      <c r="V70" s="193">
        <f>G71</f>
        <v>18934058</v>
      </c>
      <c r="W70" s="239" t="s">
        <v>81</v>
      </c>
      <c r="X70" s="176">
        <f>X65</f>
        <v>4.1599999999999997E-4</v>
      </c>
      <c r="Y70" s="266">
        <f t="shared" si="11"/>
        <v>7876.57</v>
      </c>
    </row>
    <row r="71" spans="1:26" ht="19.5" customHeight="1" x14ac:dyDescent="0.25">
      <c r="A71" s="898" t="s">
        <v>85</v>
      </c>
      <c r="B71" s="898"/>
      <c r="C71" s="898"/>
      <c r="D71" s="898"/>
      <c r="E71" s="898"/>
      <c r="F71" s="248" t="s">
        <v>86</v>
      </c>
      <c r="G71" s="277">
        <f>'0040'!G71</f>
        <v>18934058</v>
      </c>
      <c r="H71" s="223" t="s">
        <v>81</v>
      </c>
      <c r="I71" s="41">
        <f>I66</f>
        <v>4.1599999999999997E-4</v>
      </c>
      <c r="J71" s="138">
        <f>ROUND(G71*I71,2)</f>
        <v>7876.57</v>
      </c>
      <c r="M71" s="2"/>
      <c r="R71" s="240" t="s">
        <v>164</v>
      </c>
      <c r="S71" s="240"/>
      <c r="T71" s="240"/>
      <c r="U71" s="253"/>
      <c r="V71" s="171">
        <f>G72</f>
        <v>11300012</v>
      </c>
      <c r="W71" s="239" t="s">
        <v>81</v>
      </c>
      <c r="X71" s="176">
        <f>X59</f>
        <v>4.15E-4</v>
      </c>
      <c r="Y71" s="266">
        <f t="shared" si="11"/>
        <v>4689.5</v>
      </c>
    </row>
    <row r="72" spans="1:26" ht="19.5" customHeight="1" x14ac:dyDescent="0.25">
      <c r="A72" s="235" t="s">
        <v>87</v>
      </c>
      <c r="B72" s="235"/>
      <c r="C72" s="235"/>
      <c r="D72" s="235"/>
      <c r="E72" s="235"/>
      <c r="F72" s="248" t="s">
        <v>88</v>
      </c>
      <c r="G72" s="277">
        <f>'0040'!G72</f>
        <v>11300012</v>
      </c>
      <c r="H72" s="223" t="s">
        <v>81</v>
      </c>
      <c r="I72" s="41">
        <f>I60</f>
        <v>4.15E-4</v>
      </c>
      <c r="J72" s="138">
        <f>ROUND(G72*I72,2)</f>
        <v>4689.5</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f>J79</f>
        <v>1</v>
      </c>
      <c r="Z78" s="72"/>
    </row>
    <row r="79" spans="1:26" ht="18.75" customHeight="1" x14ac:dyDescent="0.25">
      <c r="A79" s="839" t="s">
        <v>97</v>
      </c>
      <c r="B79" s="839"/>
      <c r="C79" s="236"/>
      <c r="D79" s="236"/>
      <c r="E79" s="65"/>
      <c r="F79" s="65"/>
      <c r="G79" s="65"/>
      <c r="H79" s="65"/>
      <c r="I79" s="65"/>
      <c r="J79" s="129">
        <v>1</v>
      </c>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1</v>
      </c>
      <c r="Z80" s="72"/>
    </row>
    <row r="81" spans="1:26" ht="17.25" customHeight="1" x14ac:dyDescent="0.25">
      <c r="A81" s="233"/>
      <c r="B81" s="233"/>
      <c r="C81" s="233"/>
      <c r="D81" s="233"/>
      <c r="E81" s="233"/>
      <c r="F81" s="233"/>
      <c r="G81" s="31"/>
      <c r="H81" s="232"/>
      <c r="I81" s="232" t="s">
        <v>99</v>
      </c>
      <c r="J81" s="74">
        <f>SUM(J75:J80)</f>
        <v>1</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7.7999999999999999E-5</v>
      </c>
      <c r="Y83" s="266">
        <f>ROUND(V83*X83,2)</f>
        <v>4563.22</v>
      </c>
      <c r="Z83" s="72"/>
    </row>
    <row r="84" spans="1:26" ht="21" customHeight="1" x14ac:dyDescent="0.25">
      <c r="A84" s="868" t="s">
        <v>101</v>
      </c>
      <c r="B84" s="868"/>
      <c r="C84" s="868"/>
      <c r="D84" s="230"/>
      <c r="G84" s="121">
        <f>'0040'!G84</f>
        <v>58502790</v>
      </c>
      <c r="H84" s="223" t="s">
        <v>81</v>
      </c>
      <c r="I84" s="41">
        <f>IFERROR(ROUND(J81/J82,6),0)</f>
        <v>7.7999999999999999E-5</v>
      </c>
      <c r="J84" s="138">
        <f>ROUND(G84*I84,2)</f>
        <v>4563.22</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121">
        <f>'0040'!G85</f>
        <v>268816278</v>
      </c>
      <c r="H85" s="223" t="s">
        <v>81</v>
      </c>
      <c r="I85" s="41">
        <f>I57</f>
        <v>5.4900000000000001E-4</v>
      </c>
      <c r="J85" s="138">
        <f>ROUND(G85*I85,2)</f>
        <v>147580.14000000001</v>
      </c>
      <c r="K85" s="70"/>
      <c r="L85" s="70"/>
      <c r="M85" s="71"/>
      <c r="N85" s="70"/>
      <c r="O85" s="70"/>
      <c r="P85" s="70"/>
      <c r="Q85" s="70"/>
      <c r="R85" s="862" t="s">
        <v>168</v>
      </c>
      <c r="S85" s="862"/>
      <c r="T85" s="862"/>
      <c r="U85" s="253"/>
      <c r="V85" s="171">
        <f>G85</f>
        <v>268816278</v>
      </c>
      <c r="W85" s="239" t="s">
        <v>81</v>
      </c>
      <c r="X85" s="176">
        <f>X56</f>
        <v>3.3599999999999998E-4</v>
      </c>
      <c r="Y85" s="266">
        <f t="shared" ref="Y85:Y87" si="12">ROUND(V85*X85,2)</f>
        <v>90322.27</v>
      </c>
    </row>
    <row r="86" spans="1:26" ht="14.25" customHeight="1" x14ac:dyDescent="0.25">
      <c r="A86" s="898" t="s">
        <v>104</v>
      </c>
      <c r="B86" s="898"/>
      <c r="C86" s="898"/>
      <c r="D86" s="898"/>
      <c r="E86" s="898"/>
      <c r="F86" s="248" t="s">
        <v>103</v>
      </c>
      <c r="G86" s="139">
        <v>0</v>
      </c>
      <c r="H86" s="223" t="s">
        <v>81</v>
      </c>
      <c r="I86" s="41">
        <f>I57</f>
        <v>5.4900000000000001E-4</v>
      </c>
      <c r="J86" s="138">
        <f>ROUND(G86*I86,2)</f>
        <v>0</v>
      </c>
      <c r="K86" s="70"/>
      <c r="L86" s="71"/>
      <c r="M86" s="76"/>
      <c r="N86" s="76"/>
      <c r="O86" s="76"/>
      <c r="P86" s="76"/>
      <c r="Q86" s="70"/>
      <c r="R86" s="862" t="s">
        <v>169</v>
      </c>
      <c r="S86" s="862"/>
      <c r="T86" s="862"/>
      <c r="U86" s="253"/>
      <c r="V86" s="203">
        <f>G86</f>
        <v>0</v>
      </c>
      <c r="W86" s="239" t="s">
        <v>81</v>
      </c>
      <c r="X86" s="176">
        <f>X56</f>
        <v>3.3599999999999998E-4</v>
      </c>
      <c r="Y86" s="266">
        <f t="shared" si="12"/>
        <v>0</v>
      </c>
    </row>
    <row r="87" spans="1:26" ht="18" customHeight="1" x14ac:dyDescent="0.25">
      <c r="A87" s="898" t="s">
        <v>105</v>
      </c>
      <c r="B87" s="898"/>
      <c r="C87" s="898"/>
      <c r="D87" s="898"/>
      <c r="E87" s="898"/>
      <c r="F87" s="248" t="s">
        <v>84</v>
      </c>
      <c r="G87" s="139">
        <v>0</v>
      </c>
      <c r="H87" s="223" t="s">
        <v>81</v>
      </c>
      <c r="I87" s="41">
        <f>I54</f>
        <v>3.57E-4</v>
      </c>
      <c r="J87" s="62">
        <f>ROUND(G87*I87,2)</f>
        <v>0</v>
      </c>
      <c r="K87" s="77"/>
      <c r="L87" s="70"/>
      <c r="M87" s="71"/>
      <c r="N87" s="70"/>
      <c r="O87" s="70"/>
      <c r="P87" s="70"/>
      <c r="Q87" s="70"/>
      <c r="R87" s="240" t="s">
        <v>170</v>
      </c>
      <c r="S87" s="240"/>
      <c r="T87" s="240"/>
      <c r="U87" s="253"/>
      <c r="V87" s="203">
        <f>G87</f>
        <v>0</v>
      </c>
      <c r="W87" s="239" t="s">
        <v>81</v>
      </c>
      <c r="X87" s="176">
        <f>X53</f>
        <v>3.57E-4</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141">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0</v>
      </c>
      <c r="C91" s="245"/>
      <c r="D91" s="869">
        <f>I6</f>
        <v>1.0355000000000001</v>
      </c>
      <c r="E91" s="869"/>
      <c r="F91" s="869"/>
      <c r="G91" s="122">
        <f>'[1]Detail 2025-26 FEFP Second'!AC3</f>
        <v>915.09</v>
      </c>
      <c r="H91" s="47" t="s">
        <v>68</v>
      </c>
      <c r="I91" s="140">
        <f>ROUND(B91*D91*G91,2)</f>
        <v>0</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121.5121</v>
      </c>
      <c r="C92" s="109"/>
      <c r="D92" s="869">
        <f>I6</f>
        <v>1.0355000000000001</v>
      </c>
      <c r="E92" s="869"/>
      <c r="F92" s="869"/>
      <c r="G92" s="122">
        <f>'[1]Detail 2025-26 FEFP Second'!AD3</f>
        <v>917.3</v>
      </c>
      <c r="H92" s="47" t="s">
        <v>68</v>
      </c>
      <c r="I92" s="575">
        <f>ROUND(B92*D92*G92,2)</f>
        <v>115419.99</v>
      </c>
      <c r="K92" s="70"/>
      <c r="L92" s="70"/>
      <c r="M92" s="71"/>
      <c r="N92" s="70"/>
      <c r="O92" s="70"/>
      <c r="P92" s="70"/>
      <c r="Q92" s="70"/>
      <c r="R92" s="207" t="s">
        <v>61</v>
      </c>
      <c r="S92" s="208">
        <f>X16+X17+X20+X23+X26+X27</f>
        <v>74.28</v>
      </c>
      <c r="T92" s="924">
        <f>X6</f>
        <v>1.0355000000000001</v>
      </c>
      <c r="U92" s="924"/>
      <c r="V92" s="122">
        <f>G92</f>
        <v>917.3</v>
      </c>
      <c r="W92" s="182" t="s">
        <v>68</v>
      </c>
      <c r="X92" s="272">
        <f>ROUND(S92*T92*V92,2)</f>
        <v>70555.91</v>
      </c>
      <c r="Y92" s="170"/>
    </row>
    <row r="93" spans="1:26" ht="18.75" customHeight="1" thickBot="1" x14ac:dyDescent="0.3">
      <c r="A93" s="247" t="s">
        <v>111</v>
      </c>
      <c r="B93" s="109">
        <f>SUM(B90:B92)</f>
        <v>121.5121</v>
      </c>
      <c r="C93" s="109"/>
      <c r="D93" s="109"/>
      <c r="E93" s="939" t="s">
        <v>112</v>
      </c>
      <c r="F93" s="939"/>
      <c r="G93" s="939"/>
      <c r="H93" s="939"/>
      <c r="I93" s="939"/>
      <c r="J93" s="127">
        <f>IF(A1=75,0,I92+I91+I90)</f>
        <v>115419.99</v>
      </c>
      <c r="K93" s="70"/>
      <c r="L93" s="70"/>
      <c r="M93" s="71"/>
      <c r="N93" s="70"/>
      <c r="O93" s="70"/>
      <c r="P93" s="70"/>
      <c r="Q93" s="70"/>
      <c r="R93" s="252" t="s">
        <v>111</v>
      </c>
      <c r="S93" s="210">
        <f>SUM(S90:S92)</f>
        <v>74.28</v>
      </c>
      <c r="T93" s="925" t="s">
        <v>112</v>
      </c>
      <c r="U93" s="926"/>
      <c r="V93" s="926"/>
      <c r="W93" s="926"/>
      <c r="X93" s="926"/>
      <c r="Y93" s="266">
        <f>IF(R1=75,0,X92+X91+X90)</f>
        <v>70555.91</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47</v>
      </c>
      <c r="U96" s="930"/>
      <c r="V96" s="930"/>
      <c r="W96" s="261" t="s">
        <v>117</v>
      </c>
      <c r="X96" s="212">
        <f>I97</f>
        <v>586</v>
      </c>
      <c r="Y96" s="266">
        <f>ROUND(X96*T96,2)</f>
        <v>27542</v>
      </c>
    </row>
    <row r="97" spans="1:25" ht="17.25" customHeight="1" x14ac:dyDescent="0.25">
      <c r="A97" s="912" t="s">
        <v>116</v>
      </c>
      <c r="B97" s="912"/>
      <c r="C97" s="279">
        <v>47</v>
      </c>
      <c r="D97" s="279">
        <v>0</v>
      </c>
      <c r="E97" s="988">
        <f>(C97+D97)</f>
        <v>47</v>
      </c>
      <c r="F97" s="942"/>
      <c r="G97" s="942"/>
      <c r="H97" s="224" t="s">
        <v>117</v>
      </c>
      <c r="I97" s="130">
        <f>'0040'!I97</f>
        <v>586</v>
      </c>
      <c r="J97" s="138">
        <f>ROUND(I97*E97,2)</f>
        <v>27542</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c r="E98" s="943">
        <f>(C98+D98)/2</f>
        <v>0</v>
      </c>
      <c r="F98" s="943"/>
      <c r="G98" s="943"/>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912" t="s">
        <v>125</v>
      </c>
      <c r="B107" s="912"/>
      <c r="C107" s="912"/>
      <c r="D107" s="912"/>
      <c r="E107" s="912"/>
      <c r="F107" s="912"/>
      <c r="G107" s="912"/>
      <c r="H107" s="912"/>
      <c r="I107" s="912"/>
      <c r="J107" s="95">
        <f>SUM(J106,J105,J98,J97,J93,J86,J85,J71,J70,J68,J33,J72,J50,J87,J84)</f>
        <v>1367983.35</v>
      </c>
      <c r="L107" s="576"/>
      <c r="R107" s="862" t="s">
        <v>125</v>
      </c>
      <c r="S107" s="862"/>
      <c r="T107" s="862"/>
      <c r="U107" s="862"/>
      <c r="V107" s="862"/>
      <c r="W107" s="862"/>
      <c r="X107" s="862"/>
      <c r="Y107" s="219">
        <f>SUM(Y106,Y105,Y97,Y96,Y93,Y86,Y85,Y84,Y70,Y69,Y67,Y33,Y71,Y50,Y87,Y83)</f>
        <v>635128.80999999994</v>
      </c>
    </row>
    <row r="108" spans="1:25" ht="15.75" customHeight="1" thickTop="1" x14ac:dyDescent="0.25">
      <c r="A108" s="868"/>
      <c r="B108" s="868"/>
      <c r="C108" s="868"/>
      <c r="D108" s="868"/>
      <c r="E108" s="868"/>
      <c r="F108" s="868"/>
      <c r="G108" s="868"/>
      <c r="H108" s="868"/>
      <c r="I108" s="868"/>
      <c r="J108" s="868"/>
      <c r="R108" s="876"/>
      <c r="S108" s="876"/>
      <c r="T108" s="876"/>
      <c r="U108" s="876"/>
      <c r="V108" s="876"/>
      <c r="W108" s="876"/>
      <c r="X108" s="876"/>
      <c r="Y108" s="876"/>
    </row>
    <row r="109" spans="1:25" ht="17.25" customHeight="1" thickBot="1" x14ac:dyDescent="0.3">
      <c r="A109" s="898" t="s">
        <v>131</v>
      </c>
      <c r="B109" s="898"/>
      <c r="C109" s="898"/>
      <c r="D109" s="898"/>
      <c r="E109" s="898"/>
      <c r="F109" s="868"/>
      <c r="G109" s="868"/>
      <c r="H109" s="868"/>
      <c r="I109" s="2" t="s">
        <v>132</v>
      </c>
      <c r="J109" s="96">
        <f>J107-J38</f>
        <v>1317005.01</v>
      </c>
      <c r="R109" s="170" t="s">
        <v>176</v>
      </c>
      <c r="S109" s="170"/>
      <c r="T109" s="170"/>
      <c r="U109" s="170"/>
      <c r="V109" s="170"/>
      <c r="W109" s="170"/>
      <c r="X109" s="170"/>
      <c r="Y109" s="220">
        <f>Y107-Y38</f>
        <v>584150.47</v>
      </c>
    </row>
    <row r="110" spans="1:25" ht="18.75" customHeight="1" thickTop="1" x14ac:dyDescent="0.25">
      <c r="A110" s="898" t="s">
        <v>133</v>
      </c>
      <c r="B110" s="898"/>
      <c r="C110" s="898"/>
      <c r="D110" s="898"/>
      <c r="E110" s="898"/>
      <c r="F110" s="898"/>
      <c r="G110" s="898"/>
      <c r="H110" s="898"/>
      <c r="I110" s="235" t="s">
        <v>134</v>
      </c>
      <c r="J110" s="72"/>
      <c r="R110" s="953" t="s">
        <v>136</v>
      </c>
      <c r="S110" s="953"/>
      <c r="T110" s="953"/>
      <c r="U110" s="953"/>
      <c r="V110" s="953"/>
      <c r="W110" s="953"/>
      <c r="X110" s="953"/>
      <c r="Y110" s="953"/>
    </row>
    <row r="111" spans="1:25" ht="15.75" customHeight="1" x14ac:dyDescent="0.25">
      <c r="A111" s="899" t="s">
        <v>135</v>
      </c>
      <c r="B111" s="899"/>
      <c r="C111" s="899"/>
      <c r="D111" s="899"/>
      <c r="E111" s="899"/>
      <c r="F111" s="899"/>
      <c r="G111" s="899"/>
      <c r="H111" s="899"/>
      <c r="I111" s="280">
        <v>1</v>
      </c>
      <c r="J111" s="46">
        <f>Y109</f>
        <v>584150.47</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602"/>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10">
        <f>IF(I111=1,J111,J109)</f>
        <v>584150.47</v>
      </c>
      <c r="J114" s="711">
        <f>ROUND(IF(E28=0,0,IF(E28&gt;250,-(((250/E28)*I114)*IF(H113="H",0.02,0.05)),IF(H113="H",-0.02*I114,-0.05*I114))),2)</f>
        <v>-29207.52</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1338775.83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12"/>
      <c r="I118" s="713"/>
      <c r="J118" s="718">
        <f>-'Cumulative Payments'!R77</f>
        <v>-775973.97000000009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562801.86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112560.37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X62:Y62"/>
    <mergeCell ref="A59:B59"/>
    <mergeCell ref="G59:H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17-8300-4415-9334-B0335F4A03A8}">
  <dimension ref="A1:Z207"/>
  <sheetViews>
    <sheetView topLeftCell="A101"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437</v>
      </c>
      <c r="B2" s="102"/>
      <c r="C2" s="102"/>
      <c r="D2" s="102"/>
      <c r="E2" s="100"/>
      <c r="F2" s="100"/>
      <c r="G2" s="100"/>
      <c r="H2" s="100"/>
      <c r="I2" s="100"/>
      <c r="J2" s="100"/>
      <c r="K2" s="6"/>
      <c r="L2" s="6"/>
      <c r="M2" s="6"/>
      <c r="N2" s="6"/>
      <c r="O2" s="6"/>
      <c r="P2" s="6"/>
      <c r="Q2" s="6"/>
      <c r="R2" s="875" t="str">
        <f>Revenue_Estimate_Worksheet_for___________Charter_School</f>
        <v>Revenue Estimate Worksheet: Bodwell Academy - 2531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Second'!$C$1:$C$65536,MATCH('2531'!$A$1,'[1]Detail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Second'!$D$1:$D$65536,MATCH('2531'!$A$1,'[1]Detail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v>
      </c>
      <c r="D15" s="415">
        <v>0</v>
      </c>
      <c r="E15" s="967">
        <f t="shared" si="0"/>
        <v>0</v>
      </c>
      <c r="F15" s="967"/>
      <c r="G15" s="968">
        <v>1</v>
      </c>
      <c r="H15" s="968"/>
      <c r="I15" s="578">
        <f t="shared" si="2"/>
        <v>0</v>
      </c>
      <c r="J15" s="579">
        <f t="shared" si="1"/>
        <v>0</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11.5</v>
      </c>
      <c r="D17" s="415">
        <v>0</v>
      </c>
      <c r="E17" s="967">
        <f t="shared" si="0"/>
        <v>23</v>
      </c>
      <c r="F17" s="967"/>
      <c r="G17" s="968">
        <v>0.97199999999999998</v>
      </c>
      <c r="H17" s="968"/>
      <c r="I17" s="578">
        <f t="shared" si="2"/>
        <v>22.356000000000002</v>
      </c>
      <c r="J17" s="579">
        <f t="shared" si="1"/>
        <v>124373.75</v>
      </c>
      <c r="M17" s="2"/>
      <c r="R17" s="860" t="s">
        <v>25</v>
      </c>
      <c r="S17" s="860"/>
      <c r="T17" s="891">
        <f t="shared" si="3"/>
        <v>23</v>
      </c>
      <c r="U17" s="891"/>
      <c r="V17" s="896">
        <v>1</v>
      </c>
      <c r="W17" s="896"/>
      <c r="X17" s="156">
        <f t="shared" si="4"/>
        <v>23</v>
      </c>
      <c r="Y17" s="266">
        <f t="shared" si="6"/>
        <v>127956.53</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0.5</v>
      </c>
      <c r="D19" s="415">
        <v>0</v>
      </c>
      <c r="E19" s="967">
        <f t="shared" si="0"/>
        <v>1</v>
      </c>
      <c r="F19" s="967"/>
      <c r="G19" s="968">
        <v>3.609</v>
      </c>
      <c r="H19" s="968"/>
      <c r="I19" s="578">
        <f t="shared" si="2"/>
        <v>3.609</v>
      </c>
      <c r="J19" s="579">
        <f t="shared" si="1"/>
        <v>20078.05</v>
      </c>
      <c r="M19" s="2"/>
      <c r="R19" s="860" t="s">
        <v>27</v>
      </c>
      <c r="S19" s="860"/>
      <c r="T19" s="891">
        <f t="shared" si="3"/>
        <v>1</v>
      </c>
      <c r="U19" s="891"/>
      <c r="V19" s="896">
        <v>1</v>
      </c>
      <c r="W19" s="896"/>
      <c r="X19" s="156">
        <f t="shared" si="4"/>
        <v>1</v>
      </c>
      <c r="Y19" s="266">
        <f t="shared" si="6"/>
        <v>5563.33</v>
      </c>
    </row>
    <row r="20" spans="1:25" x14ac:dyDescent="0.25">
      <c r="A20" s="861" t="s">
        <v>28</v>
      </c>
      <c r="B20" s="861"/>
      <c r="C20" s="415">
        <v>1.5</v>
      </c>
      <c r="D20" s="415">
        <v>0</v>
      </c>
      <c r="E20" s="967">
        <f t="shared" si="0"/>
        <v>3</v>
      </c>
      <c r="F20" s="967"/>
      <c r="G20" s="968">
        <v>3.609</v>
      </c>
      <c r="H20" s="968"/>
      <c r="I20" s="578">
        <f t="shared" si="2"/>
        <v>10.827</v>
      </c>
      <c r="J20" s="579">
        <f t="shared" si="1"/>
        <v>60234.14</v>
      </c>
      <c r="M20" s="2"/>
      <c r="R20" s="860" t="s">
        <v>28</v>
      </c>
      <c r="S20" s="860"/>
      <c r="T20" s="891">
        <f t="shared" si="3"/>
        <v>3</v>
      </c>
      <c r="U20" s="891"/>
      <c r="V20" s="896">
        <v>1</v>
      </c>
      <c r="W20" s="896"/>
      <c r="X20" s="156">
        <f t="shared" si="4"/>
        <v>3</v>
      </c>
      <c r="Y20" s="266">
        <f t="shared" si="6"/>
        <v>16689.98</v>
      </c>
    </row>
    <row r="21" spans="1:25" ht="15" customHeight="1" x14ac:dyDescent="0.25">
      <c r="A21" s="861" t="s">
        <v>29</v>
      </c>
      <c r="B21" s="861"/>
      <c r="C21" s="415">
        <v>4</v>
      </c>
      <c r="D21" s="415">
        <v>0</v>
      </c>
      <c r="E21" s="967">
        <f t="shared" si="0"/>
        <v>8</v>
      </c>
      <c r="F21" s="967"/>
      <c r="G21" s="968">
        <v>6.0640000000000001</v>
      </c>
      <c r="H21" s="968"/>
      <c r="I21" s="578">
        <f t="shared" si="2"/>
        <v>48.512</v>
      </c>
      <c r="J21" s="579">
        <f t="shared" si="1"/>
        <v>269888.13</v>
      </c>
      <c r="M21" s="2"/>
      <c r="R21" s="860" t="s">
        <v>29</v>
      </c>
      <c r="S21" s="860"/>
      <c r="T21" s="891">
        <f t="shared" si="3"/>
        <v>8</v>
      </c>
      <c r="U21" s="891"/>
      <c r="V21" s="896">
        <v>1</v>
      </c>
      <c r="W21" s="896"/>
      <c r="X21" s="156">
        <f t="shared" si="4"/>
        <v>8</v>
      </c>
      <c r="Y21" s="266">
        <f t="shared" si="6"/>
        <v>44506.62</v>
      </c>
    </row>
    <row r="22" spans="1:25" ht="15" customHeight="1" x14ac:dyDescent="0.25">
      <c r="A22" s="861" t="s">
        <v>30</v>
      </c>
      <c r="B22" s="861"/>
      <c r="C22" s="415">
        <v>2.5</v>
      </c>
      <c r="D22" s="415">
        <v>0</v>
      </c>
      <c r="E22" s="967">
        <f t="shared" si="0"/>
        <v>5</v>
      </c>
      <c r="F22" s="967"/>
      <c r="G22" s="968">
        <v>6.0640000000000001</v>
      </c>
      <c r="H22" s="968"/>
      <c r="I22" s="578">
        <f t="shared" si="2"/>
        <v>30.32</v>
      </c>
      <c r="J22" s="579">
        <f t="shared" si="1"/>
        <v>168680.08</v>
      </c>
      <c r="M22" s="2"/>
      <c r="R22" s="860" t="s">
        <v>30</v>
      </c>
      <c r="S22" s="860"/>
      <c r="T22" s="891">
        <f t="shared" si="3"/>
        <v>5</v>
      </c>
      <c r="U22" s="891"/>
      <c r="V22" s="896">
        <v>1</v>
      </c>
      <c r="W22" s="896"/>
      <c r="X22" s="156">
        <f t="shared" si="4"/>
        <v>5</v>
      </c>
      <c r="Y22" s="266">
        <f t="shared" si="6"/>
        <v>27816.639999999999</v>
      </c>
    </row>
    <row r="23" spans="1:25" ht="15" customHeight="1" x14ac:dyDescent="0.25">
      <c r="A23" s="861" t="s">
        <v>31</v>
      </c>
      <c r="B23" s="861"/>
      <c r="C23" s="415">
        <v>4</v>
      </c>
      <c r="D23" s="415">
        <v>0</v>
      </c>
      <c r="E23" s="967">
        <f t="shared" si="0"/>
        <v>8</v>
      </c>
      <c r="F23" s="967"/>
      <c r="G23" s="968">
        <v>6.0640000000000001</v>
      </c>
      <c r="H23" s="968"/>
      <c r="I23" s="578">
        <f t="shared" si="2"/>
        <v>48.512</v>
      </c>
      <c r="J23" s="579">
        <f t="shared" si="1"/>
        <v>269888.13</v>
      </c>
      <c r="M23" s="2"/>
      <c r="R23" s="860" t="s">
        <v>31</v>
      </c>
      <c r="S23" s="860"/>
      <c r="T23" s="891">
        <f t="shared" si="3"/>
        <v>8</v>
      </c>
      <c r="U23" s="891"/>
      <c r="V23" s="896">
        <v>1</v>
      </c>
      <c r="W23" s="896"/>
      <c r="X23" s="156">
        <f t="shared" si="4"/>
        <v>8</v>
      </c>
      <c r="Y23" s="266">
        <f t="shared" si="6"/>
        <v>44506.62</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24</v>
      </c>
      <c r="D28" s="126">
        <f>SUM(D12:D27)</f>
        <v>0</v>
      </c>
      <c r="E28" s="966">
        <f>SUM(E12:E27)</f>
        <v>48</v>
      </c>
      <c r="F28" s="966"/>
      <c r="G28" s="961"/>
      <c r="H28" s="961"/>
      <c r="I28" s="23">
        <f>SUM(I12:I27)</f>
        <v>164.136</v>
      </c>
      <c r="J28" s="127">
        <f>SUM(J12:J27)</f>
        <v>913142.28</v>
      </c>
      <c r="M28" s="2"/>
      <c r="R28" s="907" t="s">
        <v>36</v>
      </c>
      <c r="S28" s="907"/>
      <c r="T28" s="908">
        <f>SUM(T12:T27)</f>
        <v>48</v>
      </c>
      <c r="U28" s="908"/>
      <c r="V28" s="909"/>
      <c r="W28" s="909"/>
      <c r="X28" s="158">
        <f>SUM(X12:X27)</f>
        <v>48</v>
      </c>
      <c r="Y28" s="266">
        <f>SUM(Y12:Y27)</f>
        <v>267039.71999999997</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164.136</v>
      </c>
      <c r="H33" s="961" t="s">
        <v>45</v>
      </c>
      <c r="I33" s="961"/>
      <c r="J33" s="32">
        <f>SUM(J32,J28)</f>
        <v>913142.28</v>
      </c>
      <c r="M33" s="2"/>
      <c r="R33" s="911" t="s">
        <v>44</v>
      </c>
      <c r="S33" s="911"/>
      <c r="T33" s="911"/>
      <c r="U33" s="911"/>
      <c r="V33" s="164" t="e">
        <f>V32+X28</f>
        <v>#REF!</v>
      </c>
      <c r="W33" s="909" t="s">
        <v>45</v>
      </c>
      <c r="X33" s="909"/>
      <c r="Y33" s="165">
        <f>SUM(Y32,Y28)</f>
        <v>267039.71999999997</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1046534.2</v>
      </c>
      <c r="H36" s="223" t="s">
        <v>49</v>
      </c>
      <c r="I36" s="38">
        <v>6.6699999999999995E-2</v>
      </c>
      <c r="J36" s="131">
        <f>ROUND(G36*I36,2)</f>
        <v>69803.83</v>
      </c>
      <c r="K36" s="39"/>
      <c r="L36" s="233"/>
      <c r="M36" s="233"/>
      <c r="N36" s="233"/>
      <c r="O36" s="31"/>
      <c r="P36" s="232"/>
      <c r="Q36" s="232"/>
      <c r="R36" s="860" t="s">
        <v>47</v>
      </c>
      <c r="S36" s="860"/>
      <c r="T36" s="860"/>
      <c r="U36" s="253"/>
      <c r="V36" s="172">
        <v>272603.03000000003</v>
      </c>
      <c r="W36" s="239" t="s">
        <v>49</v>
      </c>
      <c r="X36" s="174">
        <v>6.6699999999999995E-2</v>
      </c>
      <c r="Y36" s="266">
        <f>J36</f>
        <v>69803.83</v>
      </c>
    </row>
    <row r="37" spans="1:25" ht="20.25" customHeight="1" x14ac:dyDescent="0.25">
      <c r="A37" s="861" t="s">
        <v>50</v>
      </c>
      <c r="B37" s="861"/>
      <c r="C37" s="861"/>
      <c r="D37" s="861"/>
      <c r="E37" s="861"/>
      <c r="F37" s="248" t="s">
        <v>48</v>
      </c>
      <c r="G37" s="132">
        <v>1046534.2</v>
      </c>
      <c r="H37" s="223" t="s">
        <v>49</v>
      </c>
      <c r="I37" s="38">
        <v>5.4000000000000003E-3</v>
      </c>
      <c r="J37" s="131">
        <f>ROUND(G37*I37,2)</f>
        <v>5651.28</v>
      </c>
      <c r="K37" s="39"/>
      <c r="L37" s="233"/>
      <c r="M37" s="233"/>
      <c r="N37" s="233"/>
      <c r="O37" s="31"/>
      <c r="P37" s="232"/>
      <c r="Q37" s="232"/>
      <c r="R37" s="860" t="s">
        <v>50</v>
      </c>
      <c r="S37" s="860"/>
      <c r="T37" s="860"/>
      <c r="U37" s="253"/>
      <c r="V37" s="172">
        <v>272603.03000000003</v>
      </c>
      <c r="W37" s="239" t="s">
        <v>49</v>
      </c>
      <c r="X37" s="174">
        <v>5.4000000000000003E-3</v>
      </c>
      <c r="Y37" s="266">
        <f>J37</f>
        <v>5651.28</v>
      </c>
    </row>
    <row r="38" spans="1:25" ht="20.25" customHeight="1" x14ac:dyDescent="0.25">
      <c r="A38" s="898" t="s">
        <v>51</v>
      </c>
      <c r="B38" s="898"/>
      <c r="C38" s="898"/>
      <c r="D38" s="898"/>
      <c r="E38" s="898"/>
      <c r="F38" s="248" t="s">
        <v>52</v>
      </c>
      <c r="G38" s="40"/>
      <c r="H38" s="223"/>
      <c r="I38" s="41"/>
      <c r="J38" s="131">
        <f>SUM(J36:J37)</f>
        <v>75455.11</v>
      </c>
      <c r="K38" s="39"/>
      <c r="L38" s="233"/>
      <c r="M38" s="233"/>
      <c r="N38" s="233"/>
      <c r="O38" s="31"/>
      <c r="P38" s="232"/>
      <c r="Q38" s="232"/>
      <c r="R38" s="862" t="s">
        <v>51</v>
      </c>
      <c r="S38" s="862"/>
      <c r="T38" s="862"/>
      <c r="U38" s="253" t="s">
        <v>52</v>
      </c>
      <c r="V38" s="175"/>
      <c r="W38" s="239"/>
      <c r="X38" s="176"/>
      <c r="Y38" s="157">
        <f>Y36+Y37</f>
        <v>75455.11</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0</v>
      </c>
      <c r="D44" s="415">
        <v>0</v>
      </c>
      <c r="E44" s="954">
        <f t="shared" si="7"/>
        <v>0</v>
      </c>
      <c r="F44" s="954"/>
      <c r="G44" s="47" t="s">
        <v>60</v>
      </c>
      <c r="H44" s="223">
        <v>251</v>
      </c>
      <c r="I44" s="136">
        <f>INDEX('[1]111-112-113 ADDITIONAL FUND'!G$1:G$65536,MATCH($A$1,'[1]111-112-113 ADDITIONAL FUND'!A$1:A$65536))</f>
        <v>1173</v>
      </c>
      <c r="J44" s="13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46">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0.5</v>
      </c>
      <c r="D48" s="415">
        <v>0</v>
      </c>
      <c r="E48" s="954">
        <f t="shared" si="7"/>
        <v>1</v>
      </c>
      <c r="F48" s="954"/>
      <c r="G48" s="47" t="s">
        <v>61</v>
      </c>
      <c r="H48" s="223">
        <v>252</v>
      </c>
      <c r="I48" s="136">
        <f>INDEX('[1]111-112-113 ADDITIONAL FUND'!K$1:K$65536,MATCH($A$1,'[1]111-112-113 ADDITIONAL FUND'!A$1:A$65536))</f>
        <v>3168</v>
      </c>
      <c r="J48" s="46">
        <f t="shared" si="8"/>
        <v>3168</v>
      </c>
      <c r="M48" s="2"/>
      <c r="R48" s="903"/>
      <c r="S48" s="903"/>
      <c r="T48" s="905"/>
      <c r="U48" s="905"/>
      <c r="V48" s="182" t="s">
        <v>61</v>
      </c>
      <c r="W48" s="239">
        <v>252</v>
      </c>
      <c r="X48" s="134">
        <f t="shared" si="9"/>
        <v>3168</v>
      </c>
      <c r="Y48" s="269">
        <f t="shared" si="10"/>
        <v>0</v>
      </c>
    </row>
    <row r="49" spans="1:25" ht="15.75" customHeight="1" thickBot="1" x14ac:dyDescent="0.3">
      <c r="A49" s="960"/>
      <c r="B49" s="960"/>
      <c r="C49" s="415">
        <v>11</v>
      </c>
      <c r="D49" s="415">
        <v>0</v>
      </c>
      <c r="E49" s="955">
        <f t="shared" si="7"/>
        <v>22</v>
      </c>
      <c r="F49" s="955"/>
      <c r="G49" s="47" t="s">
        <v>61</v>
      </c>
      <c r="H49" s="223">
        <v>253</v>
      </c>
      <c r="I49" s="136">
        <f>INDEX('[1]111-112-113 ADDITIONAL FUND'!L$1:L$65536,MATCH($A$1,'[1]111-112-113 ADDITIONAL FUND'!A$1:A$65536))</f>
        <v>6685</v>
      </c>
      <c r="J49" s="46">
        <f t="shared" si="8"/>
        <v>147070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11.5</v>
      </c>
      <c r="D50" s="233">
        <f>SUM(D41:D49)</f>
        <v>0</v>
      </c>
      <c r="E50" s="956">
        <f>SUM(E41:E49)</f>
        <v>23</v>
      </c>
      <c r="F50" s="956"/>
      <c r="G50" s="912" t="s">
        <v>63</v>
      </c>
      <c r="H50" s="912"/>
      <c r="I50" s="912"/>
      <c r="J50" s="276">
        <f>SUM(J41:J49)</f>
        <v>150238</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48</v>
      </c>
      <c r="U52" s="184" t="s">
        <v>66</v>
      </c>
      <c r="V52" s="185"/>
      <c r="W52" s="186" t="s">
        <v>67</v>
      </c>
      <c r="X52" s="919">
        <f>I53</f>
        <v>207782.75</v>
      </c>
      <c r="Y52" s="919"/>
    </row>
    <row r="53" spans="1:25" ht="16.5" customHeight="1" x14ac:dyDescent="0.25">
      <c r="A53" s="899" t="s">
        <v>65</v>
      </c>
      <c r="B53" s="899"/>
      <c r="C53" s="237"/>
      <c r="D53" s="237"/>
      <c r="E53" s="48">
        <f>E28</f>
        <v>48</v>
      </c>
      <c r="F53" s="49" t="s">
        <v>66</v>
      </c>
      <c r="G53" s="3"/>
      <c r="H53" s="50" t="s">
        <v>67</v>
      </c>
      <c r="I53" s="994">
        <f>'0040'!I53</f>
        <v>207782.75</v>
      </c>
      <c r="J53" s="994"/>
      <c r="M53" s="2"/>
      <c r="R53" s="255"/>
      <c r="S53" s="243"/>
      <c r="T53" s="170"/>
      <c r="U53" s="170"/>
      <c r="V53" s="170"/>
      <c r="W53" s="189" t="s">
        <v>68</v>
      </c>
      <c r="X53" s="920">
        <f>ROUND(T52/X52,6)</f>
        <v>2.31E-4</v>
      </c>
      <c r="Y53" s="920"/>
    </row>
    <row r="54" spans="1:25" ht="22.5" customHeight="1" x14ac:dyDescent="0.25">
      <c r="A54" s="237"/>
      <c r="B54" s="230"/>
      <c r="C54" s="230"/>
      <c r="D54" s="230"/>
      <c r="H54" s="53" t="s">
        <v>68</v>
      </c>
      <c r="I54" s="945">
        <f>IFERROR(ROUND(E53/I53,6),0)</f>
        <v>2.31E-4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48</v>
      </c>
      <c r="U55" s="184" t="s">
        <v>66</v>
      </c>
      <c r="V55" s="185"/>
      <c r="W55" s="186" t="s">
        <v>71</v>
      </c>
      <c r="X55" s="919">
        <f>I56</f>
        <v>221179.83999999997</v>
      </c>
      <c r="Y55" s="919"/>
    </row>
    <row r="56" spans="1:25" ht="16.5" customHeight="1" x14ac:dyDescent="0.25">
      <c r="A56" s="899" t="s">
        <v>70</v>
      </c>
      <c r="B56" s="899"/>
      <c r="C56" s="237"/>
      <c r="D56" s="237"/>
      <c r="E56" s="48">
        <f>G33</f>
        <v>164.136</v>
      </c>
      <c r="F56" s="49" t="s">
        <v>66</v>
      </c>
      <c r="G56" s="3"/>
      <c r="H56" s="50" t="s">
        <v>71</v>
      </c>
      <c r="I56" s="994">
        <f>'0040'!I56</f>
        <v>221179.83999999997</v>
      </c>
      <c r="J56" s="994"/>
      <c r="M56" s="2"/>
      <c r="R56" s="255"/>
      <c r="S56" s="170"/>
      <c r="T56" s="170"/>
      <c r="U56" s="170"/>
      <c r="V56" s="170"/>
      <c r="W56" s="189" t="s">
        <v>68</v>
      </c>
      <c r="X56" s="920">
        <f>ROUND(T55/X55,6)</f>
        <v>2.1699999999999999E-4</v>
      </c>
      <c r="Y56" s="920"/>
    </row>
    <row r="57" spans="1:25" ht="18.75" customHeight="1" x14ac:dyDescent="0.25">
      <c r="A57" s="237"/>
      <c r="H57" s="53" t="s">
        <v>68</v>
      </c>
      <c r="I57" s="945">
        <f>IFERROR(ROUND(E56/I56,6),0)</f>
        <v>7.4200000000000004E-4</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48</v>
      </c>
      <c r="U58" s="184" t="s">
        <v>66</v>
      </c>
      <c r="V58" s="918" t="s">
        <v>74</v>
      </c>
      <c r="W58" s="918"/>
      <c r="X58" s="919">
        <f>I59</f>
        <v>178931.75</v>
      </c>
      <c r="Y58" s="919"/>
    </row>
    <row r="59" spans="1:25" ht="18.75" customHeight="1" x14ac:dyDescent="0.25">
      <c r="A59" s="899" t="s">
        <v>73</v>
      </c>
      <c r="B59" s="899"/>
      <c r="C59" s="237"/>
      <c r="D59" s="237"/>
      <c r="E59" s="48">
        <f>E28</f>
        <v>48</v>
      </c>
      <c r="F59" s="49" t="s">
        <v>66</v>
      </c>
      <c r="G59" s="990" t="s">
        <v>74</v>
      </c>
      <c r="H59" s="990"/>
      <c r="I59" s="994">
        <f>'0040'!I59</f>
        <v>178931.75</v>
      </c>
      <c r="J59" s="994"/>
      <c r="M59" s="2"/>
      <c r="R59" s="255"/>
      <c r="S59" s="170"/>
      <c r="T59" s="170"/>
      <c r="U59" s="170"/>
      <c r="V59" s="170"/>
      <c r="W59" s="189" t="s">
        <v>68</v>
      </c>
      <c r="X59" s="920">
        <f>ROUND(T58/X58,6)</f>
        <v>2.6800000000000001E-4</v>
      </c>
      <c r="Y59" s="920"/>
    </row>
    <row r="60" spans="1:25" ht="18" customHeight="1" x14ac:dyDescent="0.25">
      <c r="A60" s="237"/>
      <c r="H60" s="53" t="s">
        <v>68</v>
      </c>
      <c r="I60" s="945">
        <f>IFERROR(ROUND(E59/I59,6),0)</f>
        <v>2.6800000000000001E-4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48</v>
      </c>
      <c r="U61" s="184" t="s">
        <v>66</v>
      </c>
      <c r="V61" s="918" t="s">
        <v>76</v>
      </c>
      <c r="W61" s="918"/>
      <c r="X61" s="919">
        <f>I62</f>
        <v>207463.82</v>
      </c>
      <c r="Y61" s="919"/>
    </row>
    <row r="62" spans="1:25" ht="30.75" customHeight="1" x14ac:dyDescent="0.25">
      <c r="A62" s="899" t="s">
        <v>73</v>
      </c>
      <c r="B62" s="899"/>
      <c r="C62" s="237"/>
      <c r="D62" s="237"/>
      <c r="E62" s="48">
        <f>E28</f>
        <v>48</v>
      </c>
      <c r="F62" s="49" t="s">
        <v>66</v>
      </c>
      <c r="G62" s="990" t="s">
        <v>76</v>
      </c>
      <c r="H62" s="990"/>
      <c r="I62" s="994">
        <f>'0040'!I62</f>
        <v>207463.82</v>
      </c>
      <c r="J62" s="994"/>
      <c r="M62" s="2"/>
      <c r="R62" s="255"/>
      <c r="S62" s="170"/>
      <c r="T62" s="170"/>
      <c r="U62" s="170"/>
      <c r="V62" s="170"/>
      <c r="W62" s="189" t="s">
        <v>68</v>
      </c>
      <c r="X62" s="920">
        <f>ROUND(T61/X61,6)</f>
        <v>2.31E-4</v>
      </c>
      <c r="Y62" s="920"/>
    </row>
    <row r="63" spans="1:25" ht="19.5" customHeight="1" x14ac:dyDescent="0.25">
      <c r="A63" s="237"/>
      <c r="H63" s="53" t="s">
        <v>68</v>
      </c>
      <c r="I63" s="945">
        <f>IFERROR(ROUND(E62/I62,6),0)</f>
        <v>2.31E-4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48</v>
      </c>
      <c r="U64" s="184" t="s">
        <v>66</v>
      </c>
      <c r="V64" s="918" t="s">
        <v>161</v>
      </c>
      <c r="W64" s="918"/>
      <c r="X64" s="919">
        <f>I65</f>
        <v>178612.82</v>
      </c>
      <c r="Y64" s="919"/>
    </row>
    <row r="65" spans="1:26" ht="49.5" customHeight="1" x14ac:dyDescent="0.25">
      <c r="A65" s="899" t="s">
        <v>73</v>
      </c>
      <c r="B65" s="899"/>
      <c r="C65" s="237"/>
      <c r="D65" s="237"/>
      <c r="E65" s="48">
        <f>E28</f>
        <v>48</v>
      </c>
      <c r="F65" s="49" t="s">
        <v>66</v>
      </c>
      <c r="G65" s="990" t="s">
        <v>78</v>
      </c>
      <c r="H65" s="990"/>
      <c r="I65" s="994">
        <f>'0040'!I65</f>
        <v>178612.82</v>
      </c>
      <c r="J65" s="994"/>
      <c r="M65" s="2"/>
      <c r="R65" s="190"/>
      <c r="S65" s="170"/>
      <c r="T65" s="170"/>
      <c r="U65" s="170"/>
      <c r="V65" s="170"/>
      <c r="W65" s="189" t="s">
        <v>68</v>
      </c>
      <c r="X65" s="920">
        <f>ROUND(T64/X64,6)</f>
        <v>2.6899999999999998E-4</v>
      </c>
      <c r="Y65" s="920"/>
    </row>
    <row r="66" spans="1:26" ht="19.5" customHeight="1" x14ac:dyDescent="0.25">
      <c r="A66" s="237"/>
      <c r="H66" s="53" t="s">
        <v>68</v>
      </c>
      <c r="I66" s="945">
        <f>IFERROR(ROUND(E65/I65,6),0)</f>
        <v>2.6899999999999998E-4</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2.31E-4</v>
      </c>
      <c r="Y67" s="271">
        <f>ROUND(V67*X67,2)</f>
        <v>10540.44</v>
      </c>
    </row>
    <row r="68" spans="1:26" ht="30.75" customHeight="1" x14ac:dyDescent="0.25">
      <c r="A68" s="946" t="s">
        <v>79</v>
      </c>
      <c r="B68" s="946"/>
      <c r="C68" s="946"/>
      <c r="D68" s="946"/>
      <c r="E68" s="946"/>
      <c r="F68" s="248" t="s">
        <v>80</v>
      </c>
      <c r="G68" s="277">
        <f>'0571'!G68</f>
        <v>45629593</v>
      </c>
      <c r="H68" s="223" t="s">
        <v>81</v>
      </c>
      <c r="I68" s="41">
        <f>I63</f>
        <v>2.31E-4</v>
      </c>
      <c r="J68" s="138">
        <f>ROUND(G68*I68,2)</f>
        <v>10540.44</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2.31E-4</v>
      </c>
      <c r="Y69" s="266">
        <f t="shared" ref="Y69:Y71" si="11">ROUND(V69*X69,2)</f>
        <v>0</v>
      </c>
    </row>
    <row r="70" spans="1:26" ht="17.25" customHeight="1" x14ac:dyDescent="0.25">
      <c r="A70" s="948" t="s">
        <v>83</v>
      </c>
      <c r="B70" s="948"/>
      <c r="C70" s="948"/>
      <c r="D70" s="948"/>
      <c r="E70" s="948"/>
      <c r="F70" s="248" t="s">
        <v>84</v>
      </c>
      <c r="G70" s="277">
        <f>'0571'!G70</f>
        <v>0</v>
      </c>
      <c r="H70" s="223" t="s">
        <v>81</v>
      </c>
      <c r="I70" s="41">
        <f>I54</f>
        <v>2.31E-4</v>
      </c>
      <c r="J70" s="138">
        <f>ROUND(G70*I70,2)</f>
        <v>0</v>
      </c>
      <c r="M70" s="2"/>
      <c r="R70" s="862" t="s">
        <v>163</v>
      </c>
      <c r="S70" s="862"/>
      <c r="T70" s="862"/>
      <c r="U70" s="253"/>
      <c r="V70" s="193">
        <f>G71</f>
        <v>18934058</v>
      </c>
      <c r="W70" s="239" t="s">
        <v>81</v>
      </c>
      <c r="X70" s="176">
        <f>X65</f>
        <v>2.6899999999999998E-4</v>
      </c>
      <c r="Y70" s="266">
        <f t="shared" si="11"/>
        <v>5093.26</v>
      </c>
    </row>
    <row r="71" spans="1:26" ht="19.5" customHeight="1" x14ac:dyDescent="0.25">
      <c r="A71" s="898" t="s">
        <v>85</v>
      </c>
      <c r="B71" s="898"/>
      <c r="C71" s="898"/>
      <c r="D71" s="898"/>
      <c r="E71" s="898"/>
      <c r="F71" s="248" t="s">
        <v>86</v>
      </c>
      <c r="G71" s="277">
        <f>'0571'!G71</f>
        <v>18934058</v>
      </c>
      <c r="H71" s="223" t="s">
        <v>81</v>
      </c>
      <c r="I71" s="41">
        <f>I66</f>
        <v>2.6899999999999998E-4</v>
      </c>
      <c r="J71" s="138">
        <f>ROUND(G71*I71,2)</f>
        <v>5093.26</v>
      </c>
      <c r="M71" s="2"/>
      <c r="R71" s="240" t="s">
        <v>164</v>
      </c>
      <c r="S71" s="240"/>
      <c r="T71" s="240"/>
      <c r="U71" s="253"/>
      <c r="V71" s="171">
        <f>G72</f>
        <v>11300012</v>
      </c>
      <c r="W71" s="239" t="s">
        <v>81</v>
      </c>
      <c r="X71" s="176">
        <f>X59</f>
        <v>2.6800000000000001E-4</v>
      </c>
      <c r="Y71" s="266">
        <f t="shared" si="11"/>
        <v>3028.4</v>
      </c>
    </row>
    <row r="72" spans="1:26" ht="19.5" customHeight="1" x14ac:dyDescent="0.25">
      <c r="A72" s="235" t="s">
        <v>87</v>
      </c>
      <c r="B72" s="235"/>
      <c r="C72" s="235"/>
      <c r="D72" s="235"/>
      <c r="E72" s="235"/>
      <c r="F72" s="248" t="s">
        <v>88</v>
      </c>
      <c r="G72" s="277">
        <f>'0571'!G72</f>
        <v>11300012</v>
      </c>
      <c r="H72" s="223" t="s">
        <v>81</v>
      </c>
      <c r="I72" s="41">
        <f>I60</f>
        <v>2.6800000000000001E-4</v>
      </c>
      <c r="J72" s="138">
        <f>ROUND(G72*I72,2)</f>
        <v>3028.4</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'0571'!G84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'0571'!G85</f>
        <v>268816278</v>
      </c>
      <c r="H85" s="223" t="s">
        <v>81</v>
      </c>
      <c r="I85" s="41">
        <f>I57</f>
        <v>7.4200000000000004E-4</v>
      </c>
      <c r="J85" s="138">
        <f>ROUND(G85*I85,2)</f>
        <v>199461.68</v>
      </c>
      <c r="K85" s="70"/>
      <c r="L85" s="70"/>
      <c r="M85" s="71"/>
      <c r="N85" s="70"/>
      <c r="O85" s="70"/>
      <c r="P85" s="70"/>
      <c r="Q85" s="70"/>
      <c r="R85" s="862" t="s">
        <v>168</v>
      </c>
      <c r="S85" s="862"/>
      <c r="T85" s="862"/>
      <c r="U85" s="253"/>
      <c r="V85" s="171">
        <f>G85</f>
        <v>268816278</v>
      </c>
      <c r="W85" s="239" t="s">
        <v>81</v>
      </c>
      <c r="X85" s="176">
        <f>X56</f>
        <v>2.1699999999999999E-4</v>
      </c>
      <c r="Y85" s="266">
        <f t="shared" ref="Y85:Y87" si="12">ROUND(V85*X85,2)</f>
        <v>58333.13</v>
      </c>
    </row>
    <row r="86" spans="1:26" ht="14.25" customHeight="1" x14ac:dyDescent="0.25">
      <c r="A86" s="898" t="s">
        <v>104</v>
      </c>
      <c r="B86" s="898"/>
      <c r="C86" s="898"/>
      <c r="D86" s="898"/>
      <c r="E86" s="898"/>
      <c r="F86" s="248" t="s">
        <v>103</v>
      </c>
      <c r="G86" s="139">
        <v>0</v>
      </c>
      <c r="H86" s="223" t="s">
        <v>81</v>
      </c>
      <c r="I86" s="41">
        <f>I57</f>
        <v>7.4200000000000004E-4</v>
      </c>
      <c r="J86" s="138">
        <f>ROUND(G86*I86,2)</f>
        <v>0</v>
      </c>
      <c r="K86" s="70"/>
      <c r="L86" s="71"/>
      <c r="M86" s="76"/>
      <c r="N86" s="76"/>
      <c r="O86" s="76"/>
      <c r="P86" s="76"/>
      <c r="Q86" s="70"/>
      <c r="R86" s="862" t="s">
        <v>169</v>
      </c>
      <c r="S86" s="862"/>
      <c r="T86" s="862"/>
      <c r="U86" s="253"/>
      <c r="V86" s="203">
        <f>G86</f>
        <v>0</v>
      </c>
      <c r="W86" s="239" t="s">
        <v>81</v>
      </c>
      <c r="X86" s="176">
        <f>X56</f>
        <v>2.1699999999999999E-4</v>
      </c>
      <c r="Y86" s="266">
        <f t="shared" si="12"/>
        <v>0</v>
      </c>
    </row>
    <row r="87" spans="1:26" ht="18" customHeight="1" x14ac:dyDescent="0.25">
      <c r="A87" s="898" t="s">
        <v>105</v>
      </c>
      <c r="B87" s="898"/>
      <c r="C87" s="898"/>
      <c r="D87" s="898"/>
      <c r="E87" s="898"/>
      <c r="F87" s="248" t="s">
        <v>84</v>
      </c>
      <c r="G87" s="139">
        <v>0</v>
      </c>
      <c r="H87" s="223" t="s">
        <v>81</v>
      </c>
      <c r="I87" s="41">
        <f>I54</f>
        <v>2.31E-4</v>
      </c>
      <c r="J87" s="62">
        <f>ROUND(G87*I87,2)</f>
        <v>0</v>
      </c>
      <c r="K87" s="77"/>
      <c r="L87" s="70"/>
      <c r="M87" s="71"/>
      <c r="N87" s="70"/>
      <c r="O87" s="70"/>
      <c r="P87" s="70"/>
      <c r="Q87" s="70"/>
      <c r="R87" s="240" t="s">
        <v>170</v>
      </c>
      <c r="S87" s="240"/>
      <c r="T87" s="240"/>
      <c r="U87" s="253"/>
      <c r="V87" s="203">
        <f>G87</f>
        <v>0</v>
      </c>
      <c r="W87" s="239" t="s">
        <v>81</v>
      </c>
      <c r="X87" s="176">
        <f>X53</f>
        <v>2.31E-4</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48.512</v>
      </c>
      <c r="C90" s="245"/>
      <c r="D90" s="869">
        <f>I6</f>
        <v>1.0355000000000001</v>
      </c>
      <c r="E90" s="869"/>
      <c r="F90" s="869"/>
      <c r="G90" s="122">
        <f>'[1]Detail 2025-26 FEFP Second'!AB3</f>
        <v>958.42</v>
      </c>
      <c r="H90" s="47" t="s">
        <v>68</v>
      </c>
      <c r="I90" s="141">
        <f>ROUND(B90*D90*G90,2)</f>
        <v>48145.440000000002</v>
      </c>
      <c r="J90" s="81"/>
      <c r="K90" s="70"/>
      <c r="L90" s="70"/>
      <c r="M90" s="71"/>
      <c r="N90" s="70"/>
      <c r="O90" s="70"/>
      <c r="P90" s="70"/>
      <c r="Q90" s="70"/>
      <c r="R90" s="238" t="s">
        <v>110</v>
      </c>
      <c r="S90" s="251">
        <f>X12+X13+X18+X21+X24</f>
        <v>8</v>
      </c>
      <c r="T90" s="924">
        <f>X6</f>
        <v>1.0355000000000001</v>
      </c>
      <c r="U90" s="924"/>
      <c r="V90" s="122">
        <f>G90</f>
        <v>958.42</v>
      </c>
      <c r="W90" s="182" t="s">
        <v>68</v>
      </c>
      <c r="X90" s="272">
        <f>ROUND(S90*T90*V90,2)</f>
        <v>7939.55</v>
      </c>
      <c r="Y90" s="205"/>
    </row>
    <row r="91" spans="1:26" ht="21" customHeight="1" x14ac:dyDescent="0.25">
      <c r="A91" s="82" t="s">
        <v>60</v>
      </c>
      <c r="B91" s="245">
        <f>I14+I15+I19+I22+I25</f>
        <v>33.929000000000002</v>
      </c>
      <c r="C91" s="245"/>
      <c r="D91" s="869">
        <f>I6</f>
        <v>1.0355000000000001</v>
      </c>
      <c r="E91" s="869"/>
      <c r="F91" s="869"/>
      <c r="G91" s="122">
        <f>'[1]Detail 2025-26 FEFP Second'!AC3</f>
        <v>915.09</v>
      </c>
      <c r="H91" s="47" t="s">
        <v>68</v>
      </c>
      <c r="I91" s="140">
        <f>ROUND(B91*D91*G91,2)</f>
        <v>32150.3</v>
      </c>
      <c r="K91" s="70"/>
      <c r="L91" s="70"/>
      <c r="M91" s="71"/>
      <c r="N91" s="70"/>
      <c r="O91" s="70"/>
      <c r="P91" s="70"/>
      <c r="Q91" s="70"/>
      <c r="R91" s="206" t="s">
        <v>60</v>
      </c>
      <c r="S91" s="251">
        <f>X14+X15+X19+X22+X25</f>
        <v>6</v>
      </c>
      <c r="T91" s="924">
        <f>X6</f>
        <v>1.0355000000000001</v>
      </c>
      <c r="U91" s="924"/>
      <c r="V91" s="122">
        <f>G91</f>
        <v>915.09</v>
      </c>
      <c r="W91" s="182" t="s">
        <v>68</v>
      </c>
      <c r="X91" s="272">
        <f>ROUND(S91*T91*V91,2)</f>
        <v>5685.45</v>
      </c>
      <c r="Y91" s="170"/>
    </row>
    <row r="92" spans="1:26" ht="19.5" customHeight="1" thickBot="1" x14ac:dyDescent="0.3">
      <c r="A92" s="83" t="s">
        <v>61</v>
      </c>
      <c r="B92" s="109">
        <f>I16+I17+I20+I23+I26+I27</f>
        <v>81.694999999999993</v>
      </c>
      <c r="C92" s="109"/>
      <c r="D92" s="869">
        <f>I6</f>
        <v>1.0355000000000001</v>
      </c>
      <c r="E92" s="869"/>
      <c r="F92" s="869"/>
      <c r="G92" s="122">
        <f>'[1]Detail 2025-26 FEFP Second'!AD3</f>
        <v>917.3</v>
      </c>
      <c r="H92" s="47" t="s">
        <v>68</v>
      </c>
      <c r="I92" s="575">
        <f>ROUND(B92*D92*G92,2)</f>
        <v>77599.149999999994</v>
      </c>
      <c r="K92" s="70"/>
      <c r="L92" s="70"/>
      <c r="M92" s="71"/>
      <c r="N92" s="70"/>
      <c r="O92" s="70"/>
      <c r="P92" s="70"/>
      <c r="Q92" s="70"/>
      <c r="R92" s="207" t="s">
        <v>61</v>
      </c>
      <c r="S92" s="208">
        <f>X16+X17+X20+X23+X26+X27</f>
        <v>34</v>
      </c>
      <c r="T92" s="924">
        <f>X6</f>
        <v>1.0355000000000001</v>
      </c>
      <c r="U92" s="924"/>
      <c r="V92" s="122">
        <f>G92</f>
        <v>917.3</v>
      </c>
      <c r="W92" s="182" t="s">
        <v>68</v>
      </c>
      <c r="X92" s="272">
        <f>ROUND(S92*T92*V92,2)</f>
        <v>32295.38</v>
      </c>
      <c r="Y92" s="170"/>
    </row>
    <row r="93" spans="1:26" ht="18.75" customHeight="1" thickBot="1" x14ac:dyDescent="0.3">
      <c r="A93" s="247" t="s">
        <v>111</v>
      </c>
      <c r="B93" s="109">
        <f>SUM(B90:B92)</f>
        <v>164.136</v>
      </c>
      <c r="C93" s="109"/>
      <c r="D93" s="109"/>
      <c r="E93" s="939" t="s">
        <v>112</v>
      </c>
      <c r="F93" s="939"/>
      <c r="G93" s="939"/>
      <c r="H93" s="939"/>
      <c r="I93" s="939"/>
      <c r="J93" s="127">
        <f>IF(A1=75,0,I92+I91+I90)</f>
        <v>157894.89000000001</v>
      </c>
      <c r="K93" s="70"/>
      <c r="L93" s="70"/>
      <c r="M93" s="71"/>
      <c r="N93" s="70"/>
      <c r="O93" s="70"/>
      <c r="P93" s="70"/>
      <c r="Q93" s="70"/>
      <c r="R93" s="252" t="s">
        <v>111</v>
      </c>
      <c r="S93" s="210">
        <f>SUM(S90:S92)</f>
        <v>48</v>
      </c>
      <c r="T93" s="925" t="s">
        <v>112</v>
      </c>
      <c r="U93" s="926"/>
      <c r="V93" s="926"/>
      <c r="W93" s="926"/>
      <c r="X93" s="926"/>
      <c r="Y93" s="266">
        <f>IF(R1=75,0,X92+X91+X90)</f>
        <v>45920.380000000005</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26</v>
      </c>
      <c r="U96" s="930"/>
      <c r="V96" s="930"/>
      <c r="W96" s="261" t="s">
        <v>117</v>
      </c>
      <c r="X96" s="212">
        <f>I97</f>
        <v>586</v>
      </c>
      <c r="Y96" s="266">
        <f>ROUND(X96*T96,2)</f>
        <v>15236</v>
      </c>
    </row>
    <row r="97" spans="1:25" ht="17.25" customHeight="1" x14ac:dyDescent="0.25">
      <c r="A97" s="912" t="s">
        <v>116</v>
      </c>
      <c r="B97" s="912"/>
      <c r="C97" s="279">
        <v>26</v>
      </c>
      <c r="D97" s="279">
        <v>0</v>
      </c>
      <c r="E97" s="995">
        <f>(C97+D97)</f>
        <v>26</v>
      </c>
      <c r="F97" s="995"/>
      <c r="G97" s="995"/>
      <c r="H97" s="224" t="s">
        <v>117</v>
      </c>
      <c r="I97" s="130">
        <f>'0040'!I97</f>
        <v>586</v>
      </c>
      <c r="J97" s="138">
        <f>ROUND(I97*E97,2)</f>
        <v>15236</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96">
        <f>(C98+D98)/2</f>
        <v>0</v>
      </c>
      <c r="F98" s="996"/>
      <c r="G98" s="996"/>
      <c r="H98" s="224" t="s">
        <v>117</v>
      </c>
      <c r="I98" s="130">
        <f>'0040'!I98</f>
        <v>1811</v>
      </c>
      <c r="J98" s="138">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912" t="s">
        <v>125</v>
      </c>
      <c r="B107" s="912"/>
      <c r="C107" s="912"/>
      <c r="D107" s="912"/>
      <c r="E107" s="912"/>
      <c r="F107" s="912"/>
      <c r="G107" s="912"/>
      <c r="H107" s="912"/>
      <c r="I107" s="912"/>
      <c r="J107" s="95">
        <f>SUM(J106,J105,J98,J97,J93,J86,J85,J71,J70,J68,J33,J72,J50,J87,J84)</f>
        <v>1454634.95</v>
      </c>
      <c r="L107" s="576"/>
      <c r="R107" s="862" t="s">
        <v>125</v>
      </c>
      <c r="S107" s="862"/>
      <c r="T107" s="862"/>
      <c r="U107" s="862"/>
      <c r="V107" s="862"/>
      <c r="W107" s="862"/>
      <c r="X107" s="862"/>
      <c r="Y107" s="219">
        <f>SUM(Y106,Y105,Y97,Y96,Y93,Y86,Y85,Y84,Y70,Y69,Y67,Y33,Y71,Y50,Y87,Y83)</f>
        <v>405191.32999999996</v>
      </c>
    </row>
    <row r="108" spans="1:25" ht="15.75" customHeight="1" thickTop="1" x14ac:dyDescent="0.25">
      <c r="A108" s="868"/>
      <c r="B108" s="868"/>
      <c r="C108" s="868"/>
      <c r="D108" s="868"/>
      <c r="E108" s="868"/>
      <c r="F108" s="868"/>
      <c r="G108" s="868"/>
      <c r="H108" s="868"/>
      <c r="I108" s="868"/>
      <c r="J108" s="868"/>
      <c r="R108" s="876"/>
      <c r="S108" s="876"/>
      <c r="T108" s="876"/>
      <c r="U108" s="876"/>
      <c r="V108" s="876"/>
      <c r="W108" s="876"/>
      <c r="X108" s="876"/>
      <c r="Y108" s="876"/>
    </row>
    <row r="109" spans="1:25" ht="17.25" customHeight="1" thickBot="1" x14ac:dyDescent="0.3">
      <c r="A109" s="898" t="s">
        <v>131</v>
      </c>
      <c r="B109" s="898"/>
      <c r="C109" s="898"/>
      <c r="D109" s="898"/>
      <c r="E109" s="898"/>
      <c r="F109" s="868"/>
      <c r="G109" s="868"/>
      <c r="H109" s="868"/>
      <c r="I109" s="2" t="s">
        <v>132</v>
      </c>
      <c r="J109" s="96">
        <f>J107-J38</f>
        <v>1379179.8399999999</v>
      </c>
      <c r="R109" s="170" t="s">
        <v>176</v>
      </c>
      <c r="S109" s="170"/>
      <c r="T109" s="170"/>
      <c r="U109" s="170"/>
      <c r="V109" s="170"/>
      <c r="W109" s="170"/>
      <c r="X109" s="170"/>
      <c r="Y109" s="220">
        <f>Y107-Y38</f>
        <v>329736.21999999997</v>
      </c>
    </row>
    <row r="110" spans="1:25" ht="18.75" customHeight="1" thickTop="1" x14ac:dyDescent="0.25">
      <c r="A110" s="898" t="s">
        <v>133</v>
      </c>
      <c r="B110" s="898"/>
      <c r="C110" s="898"/>
      <c r="D110" s="898"/>
      <c r="E110" s="898"/>
      <c r="F110" s="898"/>
      <c r="G110" s="898"/>
      <c r="H110" s="898"/>
      <c r="I110" s="235" t="s">
        <v>134</v>
      </c>
      <c r="J110" s="72"/>
      <c r="R110" s="953" t="s">
        <v>136</v>
      </c>
      <c r="S110" s="953"/>
      <c r="T110" s="953"/>
      <c r="U110" s="953"/>
      <c r="V110" s="953"/>
      <c r="W110" s="953"/>
      <c r="X110" s="953"/>
      <c r="Y110" s="953"/>
    </row>
    <row r="111" spans="1:25" ht="15.75" customHeight="1" x14ac:dyDescent="0.25">
      <c r="A111" s="899" t="s">
        <v>135</v>
      </c>
      <c r="B111" s="899"/>
      <c r="C111" s="899"/>
      <c r="D111" s="899"/>
      <c r="E111" s="899"/>
      <c r="F111" s="899"/>
      <c r="G111" s="899"/>
      <c r="H111" s="899"/>
      <c r="I111" s="280">
        <v>1</v>
      </c>
      <c r="J111" s="46">
        <f>Y109</f>
        <v>329736.21999999997</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602"/>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10">
        <f>IF(I111=1,J111,J109)</f>
        <v>329736.21999999997</v>
      </c>
      <c r="J114" s="711">
        <f>ROUND(IF(E28=0,0,IF(E28&gt;250,-(((250/E28)*I114)*IF(H113="H",0.02,0.05)),IF(H113="H",-0.02*I114,-0.05*I114))),2)</f>
        <v>-16486.810000000001</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1438148.14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Payments'!R78</f>
        <v>-940243.99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497904.14999999991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99580.83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D6ED-DD5B-4F78-875E-84523061658F}">
  <dimension ref="A1:Z207"/>
  <sheetViews>
    <sheetView topLeftCell="A98" workbookViewId="0">
      <selection activeCell="C45" sqref="C45"/>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438</v>
      </c>
      <c r="B2" s="102"/>
      <c r="C2" s="102"/>
      <c r="D2" s="102"/>
      <c r="E2" s="100"/>
      <c r="F2" s="100"/>
      <c r="G2" s="100"/>
      <c r="H2" s="100"/>
      <c r="I2" s="100"/>
      <c r="J2" s="100"/>
      <c r="K2" s="6"/>
      <c r="L2" s="6"/>
      <c r="M2" s="6"/>
      <c r="N2" s="6"/>
      <c r="O2" s="6"/>
      <c r="P2" s="6"/>
      <c r="Q2" s="6"/>
      <c r="R2" s="875" t="str">
        <f>Revenue_Estimate_Worksheet_for___________Charter_School</f>
        <v>Revenue Estimate Worksheet: The Learning Center at The Els Center of Excellence - 2791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Second'!$C$1:$C$65536,MATCH('2791'!$A$1,'[1]Detail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Second'!$D$1:$D$65536,MATCH('2791'!$A$1,'[1]Detail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3</v>
      </c>
      <c r="D13" s="415">
        <v>0</v>
      </c>
      <c r="E13" s="967">
        <f t="shared" si="0"/>
        <v>6</v>
      </c>
      <c r="F13" s="967"/>
      <c r="G13" s="968">
        <v>1.1080000000000001</v>
      </c>
      <c r="H13" s="968"/>
      <c r="I13" s="578">
        <f t="shared" ref="I13:I27" si="2">ROUND(E13*G13,4)</f>
        <v>6.6479999999999997</v>
      </c>
      <c r="J13" s="579">
        <f t="shared" si="1"/>
        <v>36985</v>
      </c>
      <c r="L13" s="21"/>
      <c r="M13" s="2"/>
      <c r="R13" s="860" t="s">
        <v>21</v>
      </c>
      <c r="S13" s="860"/>
      <c r="T13" s="891">
        <f t="shared" ref="T13:T27" si="3">IF($I$111=1,E13,0)</f>
        <v>6</v>
      </c>
      <c r="U13" s="891"/>
      <c r="V13" s="896">
        <v>1</v>
      </c>
      <c r="W13" s="896"/>
      <c r="X13" s="156">
        <f t="shared" ref="X13:X27" si="4">ROUND(T13*V13,4)</f>
        <v>6</v>
      </c>
      <c r="Y13" s="266">
        <f t="shared" ref="Y13" si="5">ROUND(ROUND(ROUND(X13*$E$6,4)*($I$6),2)*(MAX($I$7,1)),2)</f>
        <v>33379.96</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1</v>
      </c>
      <c r="D15" s="415">
        <v>0</v>
      </c>
      <c r="E15" s="967">
        <f t="shared" si="0"/>
        <v>2</v>
      </c>
      <c r="F15" s="967"/>
      <c r="G15" s="968">
        <v>1</v>
      </c>
      <c r="H15" s="968"/>
      <c r="I15" s="578">
        <f t="shared" si="2"/>
        <v>2</v>
      </c>
      <c r="J15" s="579">
        <f t="shared" si="1"/>
        <v>11126.65</v>
      </c>
      <c r="M15" s="2"/>
      <c r="R15" s="860" t="s">
        <v>23</v>
      </c>
      <c r="S15" s="860"/>
      <c r="T15" s="891">
        <f t="shared" si="3"/>
        <v>2</v>
      </c>
      <c r="U15" s="891"/>
      <c r="V15" s="896">
        <v>1</v>
      </c>
      <c r="W15" s="896"/>
      <c r="X15" s="156">
        <f t="shared" si="4"/>
        <v>2</v>
      </c>
      <c r="Y15" s="266">
        <f t="shared" ref="Y15:Y27" si="6">ROUND(ROUND(ROUND(X15*$E$6,4)*($I$6),2)*(MAX($I$7,1)),2)</f>
        <v>11126.65</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36</v>
      </c>
      <c r="D18" s="415">
        <v>0</v>
      </c>
      <c r="E18" s="967">
        <f t="shared" si="0"/>
        <v>72</v>
      </c>
      <c r="F18" s="967"/>
      <c r="G18" s="968">
        <v>3.609</v>
      </c>
      <c r="H18" s="968"/>
      <c r="I18" s="578">
        <f t="shared" si="2"/>
        <v>259.84800000000001</v>
      </c>
      <c r="J18" s="579">
        <f t="shared" si="1"/>
        <v>1445619.47</v>
      </c>
      <c r="M18" s="2"/>
      <c r="R18" s="860" t="s">
        <v>26</v>
      </c>
      <c r="S18" s="860"/>
      <c r="T18" s="891">
        <f t="shared" si="3"/>
        <v>72</v>
      </c>
      <c r="U18" s="891"/>
      <c r="V18" s="896">
        <v>1</v>
      </c>
      <c r="W18" s="896"/>
      <c r="X18" s="156">
        <f t="shared" si="4"/>
        <v>72</v>
      </c>
      <c r="Y18" s="266">
        <f t="shared" si="6"/>
        <v>400559.57</v>
      </c>
    </row>
    <row r="19" spans="1:25" x14ac:dyDescent="0.25">
      <c r="A19" s="861" t="s">
        <v>27</v>
      </c>
      <c r="B19" s="861"/>
      <c r="C19" s="415">
        <v>24.5</v>
      </c>
      <c r="D19" s="415">
        <v>0</v>
      </c>
      <c r="E19" s="967">
        <f t="shared" si="0"/>
        <v>49</v>
      </c>
      <c r="F19" s="967"/>
      <c r="G19" s="968">
        <v>3.609</v>
      </c>
      <c r="H19" s="968"/>
      <c r="I19" s="578">
        <f t="shared" si="2"/>
        <v>176.84100000000001</v>
      </c>
      <c r="J19" s="579">
        <f t="shared" si="1"/>
        <v>983824.36</v>
      </c>
      <c r="M19" s="2"/>
      <c r="R19" s="860" t="s">
        <v>27</v>
      </c>
      <c r="S19" s="860"/>
      <c r="T19" s="891">
        <f t="shared" si="3"/>
        <v>49</v>
      </c>
      <c r="U19" s="891"/>
      <c r="V19" s="896">
        <v>1</v>
      </c>
      <c r="W19" s="896"/>
      <c r="X19" s="156">
        <f t="shared" si="4"/>
        <v>49</v>
      </c>
      <c r="Y19" s="266">
        <f t="shared" si="6"/>
        <v>272603.03999999998</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13.5</v>
      </c>
      <c r="D21" s="415">
        <v>0</v>
      </c>
      <c r="E21" s="967">
        <f t="shared" si="0"/>
        <v>27</v>
      </c>
      <c r="F21" s="967"/>
      <c r="G21" s="968">
        <v>6.0640000000000001</v>
      </c>
      <c r="H21" s="968"/>
      <c r="I21" s="578">
        <f t="shared" si="2"/>
        <v>163.72800000000001</v>
      </c>
      <c r="J21" s="579">
        <f t="shared" si="1"/>
        <v>910872.45</v>
      </c>
      <c r="M21" s="2"/>
      <c r="R21" s="860" t="s">
        <v>29</v>
      </c>
      <c r="S21" s="860"/>
      <c r="T21" s="891">
        <f t="shared" si="3"/>
        <v>27</v>
      </c>
      <c r="U21" s="891"/>
      <c r="V21" s="896">
        <v>1</v>
      </c>
      <c r="W21" s="896"/>
      <c r="X21" s="156">
        <f t="shared" si="4"/>
        <v>27</v>
      </c>
      <c r="Y21" s="266">
        <f t="shared" si="6"/>
        <v>150209.84</v>
      </c>
    </row>
    <row r="22" spans="1:25" ht="15" customHeight="1" x14ac:dyDescent="0.25">
      <c r="A22" s="861" t="s">
        <v>30</v>
      </c>
      <c r="B22" s="861"/>
      <c r="C22" s="415">
        <v>8.5</v>
      </c>
      <c r="D22" s="415">
        <v>0</v>
      </c>
      <c r="E22" s="967">
        <f t="shared" si="0"/>
        <v>17</v>
      </c>
      <c r="F22" s="967"/>
      <c r="G22" s="968">
        <v>6.0640000000000001</v>
      </c>
      <c r="H22" s="968"/>
      <c r="I22" s="578">
        <f t="shared" si="2"/>
        <v>103.08799999999999</v>
      </c>
      <c r="J22" s="579">
        <f t="shared" si="1"/>
        <v>573512.28</v>
      </c>
      <c r="M22" s="2"/>
      <c r="R22" s="860" t="s">
        <v>30</v>
      </c>
      <c r="S22" s="860"/>
      <c r="T22" s="891">
        <f t="shared" si="3"/>
        <v>17</v>
      </c>
      <c r="U22" s="891"/>
      <c r="V22" s="896">
        <v>1</v>
      </c>
      <c r="W22" s="896"/>
      <c r="X22" s="156">
        <f t="shared" si="4"/>
        <v>17</v>
      </c>
      <c r="Y22" s="266">
        <f t="shared" si="6"/>
        <v>94576.56</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86.5</v>
      </c>
      <c r="D28" s="126">
        <f>SUM(D12:D27)</f>
        <v>0</v>
      </c>
      <c r="E28" s="966">
        <f>SUM(E12:E27)</f>
        <v>173</v>
      </c>
      <c r="F28" s="966"/>
      <c r="G28" s="961"/>
      <c r="H28" s="961"/>
      <c r="I28" s="23">
        <f>SUM(I12:I27)</f>
        <v>712.15300000000002</v>
      </c>
      <c r="J28" s="127">
        <f>SUM(J12:J27)</f>
        <v>3961940.21</v>
      </c>
      <c r="M28" s="2"/>
      <c r="R28" s="907" t="s">
        <v>36</v>
      </c>
      <c r="S28" s="907"/>
      <c r="T28" s="908">
        <f>SUM(T12:T27)</f>
        <v>173</v>
      </c>
      <c r="U28" s="908"/>
      <c r="V28" s="909"/>
      <c r="W28" s="909"/>
      <c r="X28" s="158">
        <f>SUM(X12:X27)</f>
        <v>173</v>
      </c>
      <c r="Y28" s="266">
        <f>SUM(Y12:Y27)</f>
        <v>962455.61999999988</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712.15300000000002</v>
      </c>
      <c r="H33" s="961" t="s">
        <v>45</v>
      </c>
      <c r="I33" s="961"/>
      <c r="J33" s="32">
        <f>SUM(J32,J28)</f>
        <v>3961940.21</v>
      </c>
      <c r="M33" s="2"/>
      <c r="R33" s="911" t="s">
        <v>44</v>
      </c>
      <c r="S33" s="911"/>
      <c r="T33" s="911"/>
      <c r="U33" s="911"/>
      <c r="V33" s="164" t="e">
        <f>V32+X28</f>
        <v>#REF!</v>
      </c>
      <c r="W33" s="909" t="s">
        <v>45</v>
      </c>
      <c r="X33" s="909"/>
      <c r="Y33" s="165">
        <f>SUM(Y32,Y28)</f>
        <v>962455.61999999988</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3851663.96</v>
      </c>
      <c r="H36" s="223" t="s">
        <v>49</v>
      </c>
      <c r="I36" s="38">
        <v>6.6699999999999995E-2</v>
      </c>
      <c r="J36" s="131">
        <f>ROUND(G36*I36,2)</f>
        <v>256905.99</v>
      </c>
      <c r="K36" s="39"/>
      <c r="L36" s="233"/>
      <c r="M36" s="233"/>
      <c r="N36" s="233"/>
      <c r="O36" s="31"/>
      <c r="P36" s="232"/>
      <c r="Q36" s="232"/>
      <c r="R36" s="860" t="s">
        <v>47</v>
      </c>
      <c r="S36" s="860"/>
      <c r="T36" s="860"/>
      <c r="U36" s="253"/>
      <c r="V36" s="172">
        <v>912385.68</v>
      </c>
      <c r="W36" s="239" t="s">
        <v>49</v>
      </c>
      <c r="X36" s="174">
        <v>6.6699999999999995E-2</v>
      </c>
      <c r="Y36" s="266">
        <f>J36</f>
        <v>256905.99</v>
      </c>
    </row>
    <row r="37" spans="1:25" ht="20.25" customHeight="1" x14ac:dyDescent="0.25">
      <c r="A37" s="861" t="s">
        <v>50</v>
      </c>
      <c r="B37" s="861"/>
      <c r="C37" s="861"/>
      <c r="D37" s="861"/>
      <c r="E37" s="861"/>
      <c r="F37" s="248" t="s">
        <v>48</v>
      </c>
      <c r="G37" s="132">
        <v>3851663.96</v>
      </c>
      <c r="H37" s="223" t="s">
        <v>49</v>
      </c>
      <c r="I37" s="38">
        <v>5.4000000000000003E-3</v>
      </c>
      <c r="J37" s="131">
        <f>ROUND(G37*I37,2)</f>
        <v>20798.990000000002</v>
      </c>
      <c r="K37" s="39"/>
      <c r="L37" s="233"/>
      <c r="M37" s="233"/>
      <c r="N37" s="233"/>
      <c r="O37" s="31"/>
      <c r="P37" s="232"/>
      <c r="Q37" s="232"/>
      <c r="R37" s="860" t="s">
        <v>50</v>
      </c>
      <c r="S37" s="860"/>
      <c r="T37" s="860"/>
      <c r="U37" s="253"/>
      <c r="V37" s="172">
        <v>912385.68</v>
      </c>
      <c r="W37" s="239" t="s">
        <v>49</v>
      </c>
      <c r="X37" s="174">
        <v>5.4000000000000003E-3</v>
      </c>
      <c r="Y37" s="266">
        <f>J37</f>
        <v>20798.990000000002</v>
      </c>
    </row>
    <row r="38" spans="1:25" ht="20.25" customHeight="1" x14ac:dyDescent="0.25">
      <c r="A38" s="898" t="s">
        <v>51</v>
      </c>
      <c r="B38" s="898"/>
      <c r="C38" s="898"/>
      <c r="D38" s="898"/>
      <c r="E38" s="898"/>
      <c r="F38" s="248" t="s">
        <v>52</v>
      </c>
      <c r="G38" s="40"/>
      <c r="H38" s="223"/>
      <c r="I38" s="41"/>
      <c r="J38" s="131">
        <f>SUM(J36:J37)</f>
        <v>277704.98</v>
      </c>
      <c r="K38" s="39"/>
      <c r="L38" s="233"/>
      <c r="M38" s="233"/>
      <c r="N38" s="233"/>
      <c r="O38" s="31"/>
      <c r="P38" s="232"/>
      <c r="Q38" s="232"/>
      <c r="R38" s="862" t="s">
        <v>51</v>
      </c>
      <c r="S38" s="862"/>
      <c r="T38" s="862"/>
      <c r="U38" s="253" t="s">
        <v>52</v>
      </c>
      <c r="V38" s="175"/>
      <c r="W38" s="239"/>
      <c r="X38" s="176"/>
      <c r="Y38" s="157">
        <f>Y36+Y37</f>
        <v>277704.98</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3</v>
      </c>
      <c r="D41" s="415">
        <v>0</v>
      </c>
      <c r="E41" s="954">
        <f t="shared" ref="E41:E49" si="7">IF($D$50=0,C41*2,C41+D41)</f>
        <v>6</v>
      </c>
      <c r="F41" s="954"/>
      <c r="G41" s="223" t="s">
        <v>59</v>
      </c>
      <c r="H41" s="223">
        <v>251</v>
      </c>
      <c r="I41" s="136">
        <f>INDEX('[1]111-112-113 ADDITIONAL FUND'!D$1:D$65536,MATCH($A$1,'[1]111-112-113 ADDITIONAL FUND'!A$1:A$65536))</f>
        <v>1047</v>
      </c>
      <c r="J41" s="46">
        <f t="shared" ref="J41:J49" si="8">ROUND(E41*I41,2)</f>
        <v>6282</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137">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1</v>
      </c>
      <c r="D44" s="415">
        <v>0</v>
      </c>
      <c r="E44" s="954">
        <f t="shared" si="7"/>
        <v>2</v>
      </c>
      <c r="F44" s="954"/>
      <c r="G44" s="47" t="s">
        <v>60</v>
      </c>
      <c r="H44" s="223">
        <v>251</v>
      </c>
      <c r="I44" s="136">
        <f>INDEX('[1]111-112-113 ADDITIONAL FUND'!G$1:G$65536,MATCH($A$1,'[1]111-112-113 ADDITIONAL FUND'!A$1:A$65536))</f>
        <v>1173</v>
      </c>
      <c r="J44" s="137">
        <f t="shared" si="8"/>
        <v>2346</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137">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725">
        <v>0</v>
      </c>
      <c r="D49" s="72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726">
        <f>SUM(C41:C49)</f>
        <v>4</v>
      </c>
      <c r="D50" s="726">
        <f>SUM(D41:D49)</f>
        <v>0</v>
      </c>
      <c r="E50" s="956">
        <f>SUM(E41:E49)</f>
        <v>8</v>
      </c>
      <c r="F50" s="956"/>
      <c r="G50" s="912" t="s">
        <v>63</v>
      </c>
      <c r="H50" s="912"/>
      <c r="I50" s="912"/>
      <c r="J50" s="276">
        <f>SUM(J41:J49)</f>
        <v>8628</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173</v>
      </c>
      <c r="U52" s="184" t="s">
        <v>66</v>
      </c>
      <c r="V52" s="185"/>
      <c r="W52" s="186" t="s">
        <v>67</v>
      </c>
      <c r="X52" s="919">
        <f>I53</f>
        <v>207782.75</v>
      </c>
      <c r="Y52" s="919"/>
    </row>
    <row r="53" spans="1:25" ht="16.5" customHeight="1" x14ac:dyDescent="0.25">
      <c r="A53" s="899" t="s">
        <v>65</v>
      </c>
      <c r="B53" s="899"/>
      <c r="C53" s="237"/>
      <c r="D53" s="237"/>
      <c r="E53" s="48">
        <f>E28</f>
        <v>173</v>
      </c>
      <c r="F53" s="49" t="s">
        <v>66</v>
      </c>
      <c r="G53" s="3"/>
      <c r="H53" s="50" t="s">
        <v>67</v>
      </c>
      <c r="I53" s="994">
        <f>'0040'!I53</f>
        <v>207782.75</v>
      </c>
      <c r="J53" s="994"/>
      <c r="M53" s="2"/>
      <c r="R53" s="255"/>
      <c r="S53" s="243"/>
      <c r="T53" s="170"/>
      <c r="U53" s="170"/>
      <c r="V53" s="170"/>
      <c r="W53" s="189" t="s">
        <v>68</v>
      </c>
      <c r="X53" s="920">
        <f>ROUND(T52/X52,6)</f>
        <v>8.3299999999999997E-4</v>
      </c>
      <c r="Y53" s="920"/>
    </row>
    <row r="54" spans="1:25" ht="22.5" customHeight="1" x14ac:dyDescent="0.25">
      <c r="A54" s="237"/>
      <c r="B54" s="230"/>
      <c r="C54" s="230"/>
      <c r="D54" s="230"/>
      <c r="H54" s="53" t="s">
        <v>68</v>
      </c>
      <c r="I54" s="945">
        <f>IFERROR(ROUND(E53/I53,6),0)</f>
        <v>8.3299999999999997E-4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173</v>
      </c>
      <c r="U55" s="184" t="s">
        <v>66</v>
      </c>
      <c r="V55" s="185"/>
      <c r="W55" s="186" t="s">
        <v>71</v>
      </c>
      <c r="X55" s="919">
        <f>I56</f>
        <v>221179.83999999997</v>
      </c>
      <c r="Y55" s="919"/>
    </row>
    <row r="56" spans="1:25" ht="16.5" customHeight="1" x14ac:dyDescent="0.25">
      <c r="A56" s="899" t="s">
        <v>70</v>
      </c>
      <c r="B56" s="899"/>
      <c r="C56" s="237"/>
      <c r="D56" s="237"/>
      <c r="E56" s="48">
        <f>G33</f>
        <v>712.15300000000002</v>
      </c>
      <c r="F56" s="49" t="s">
        <v>66</v>
      </c>
      <c r="G56" s="3"/>
      <c r="H56" s="50" t="s">
        <v>71</v>
      </c>
      <c r="I56" s="994">
        <f>'0040'!I56</f>
        <v>221179.83999999997</v>
      </c>
      <c r="J56" s="994"/>
      <c r="M56" s="2"/>
      <c r="R56" s="255"/>
      <c r="S56" s="170"/>
      <c r="T56" s="170"/>
      <c r="U56" s="170"/>
      <c r="V56" s="170"/>
      <c r="W56" s="189" t="s">
        <v>68</v>
      </c>
      <c r="X56" s="920">
        <f>ROUND(T55/X55,6)</f>
        <v>7.8200000000000003E-4</v>
      </c>
      <c r="Y56" s="920"/>
    </row>
    <row r="57" spans="1:25" ht="18.75" customHeight="1" x14ac:dyDescent="0.25">
      <c r="A57" s="237"/>
      <c r="H57" s="53" t="s">
        <v>68</v>
      </c>
      <c r="I57" s="945">
        <f>IFERROR(ROUND(E56/I56,6),0)</f>
        <v>3.2200000000000002E-3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173</v>
      </c>
      <c r="U58" s="184" t="s">
        <v>66</v>
      </c>
      <c r="V58" s="918" t="s">
        <v>74</v>
      </c>
      <c r="W58" s="918"/>
      <c r="X58" s="919">
        <f>I59</f>
        <v>178931.75</v>
      </c>
      <c r="Y58" s="919"/>
    </row>
    <row r="59" spans="1:25" ht="18.75" customHeight="1" x14ac:dyDescent="0.25">
      <c r="A59" s="899" t="s">
        <v>73</v>
      </c>
      <c r="B59" s="899"/>
      <c r="C59" s="237"/>
      <c r="D59" s="237"/>
      <c r="E59" s="48">
        <f>E28</f>
        <v>173</v>
      </c>
      <c r="F59" s="49" t="s">
        <v>66</v>
      </c>
      <c r="G59" s="990" t="s">
        <v>74</v>
      </c>
      <c r="H59" s="990"/>
      <c r="I59" s="994">
        <f>'0040'!I59</f>
        <v>178931.75</v>
      </c>
      <c r="J59" s="994"/>
      <c r="M59" s="2"/>
      <c r="R59" s="255"/>
      <c r="S59" s="170"/>
      <c r="T59" s="170"/>
      <c r="U59" s="170"/>
      <c r="V59" s="170"/>
      <c r="W59" s="189" t="s">
        <v>68</v>
      </c>
      <c r="X59" s="920">
        <f>ROUND(T58/X58,6)</f>
        <v>9.6699999999999998E-4</v>
      </c>
      <c r="Y59" s="920"/>
    </row>
    <row r="60" spans="1:25" ht="18" customHeight="1" x14ac:dyDescent="0.25">
      <c r="A60" s="237"/>
      <c r="H60" s="53" t="s">
        <v>68</v>
      </c>
      <c r="I60" s="945">
        <f>IFERROR(ROUND(E59/I59,6),0)</f>
        <v>9.6699999999999998E-4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173</v>
      </c>
      <c r="U61" s="184" t="s">
        <v>66</v>
      </c>
      <c r="V61" s="918" t="s">
        <v>76</v>
      </c>
      <c r="W61" s="918"/>
      <c r="X61" s="919">
        <f>I62</f>
        <v>207463.82</v>
      </c>
      <c r="Y61" s="919"/>
    </row>
    <row r="62" spans="1:25" ht="30.75" customHeight="1" x14ac:dyDescent="0.25">
      <c r="A62" s="899" t="s">
        <v>73</v>
      </c>
      <c r="B62" s="899"/>
      <c r="C62" s="237"/>
      <c r="D62" s="237"/>
      <c r="E62" s="48">
        <f>E28</f>
        <v>173</v>
      </c>
      <c r="F62" s="49" t="s">
        <v>66</v>
      </c>
      <c r="G62" s="990" t="s">
        <v>76</v>
      </c>
      <c r="H62" s="990"/>
      <c r="I62" s="994">
        <f>'0040'!I62</f>
        <v>207463.82</v>
      </c>
      <c r="J62" s="994"/>
      <c r="M62" s="2"/>
      <c r="R62" s="255"/>
      <c r="S62" s="170"/>
      <c r="T62" s="170"/>
      <c r="U62" s="170"/>
      <c r="V62" s="170"/>
      <c r="W62" s="189" t="s">
        <v>68</v>
      </c>
      <c r="X62" s="920">
        <f>ROUND(T61/X61,6)</f>
        <v>8.34E-4</v>
      </c>
      <c r="Y62" s="920"/>
    </row>
    <row r="63" spans="1:25" ht="19.5" customHeight="1" x14ac:dyDescent="0.25">
      <c r="A63" s="237"/>
      <c r="H63" s="53" t="s">
        <v>68</v>
      </c>
      <c r="I63" s="945">
        <f>IFERROR(ROUND(E62/I62,6),0)</f>
        <v>8.34E-4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173</v>
      </c>
      <c r="U64" s="184" t="s">
        <v>66</v>
      </c>
      <c r="V64" s="918" t="s">
        <v>161</v>
      </c>
      <c r="W64" s="918"/>
      <c r="X64" s="919">
        <f>I65</f>
        <v>178612.82</v>
      </c>
      <c r="Y64" s="919"/>
    </row>
    <row r="65" spans="1:26" ht="49.5" customHeight="1" x14ac:dyDescent="0.25">
      <c r="A65" s="899" t="s">
        <v>73</v>
      </c>
      <c r="B65" s="899"/>
      <c r="C65" s="237"/>
      <c r="D65" s="237"/>
      <c r="E65" s="48">
        <f>E28</f>
        <v>173</v>
      </c>
      <c r="F65" s="49" t="s">
        <v>66</v>
      </c>
      <c r="G65" s="990" t="s">
        <v>78</v>
      </c>
      <c r="H65" s="990"/>
      <c r="I65" s="994">
        <f>'0040'!I65</f>
        <v>178612.82</v>
      </c>
      <c r="J65" s="994"/>
      <c r="M65" s="2"/>
      <c r="R65" s="190"/>
      <c r="S65" s="170"/>
      <c r="T65" s="170"/>
      <c r="U65" s="170"/>
      <c r="V65" s="170"/>
      <c r="W65" s="189" t="s">
        <v>68</v>
      </c>
      <c r="X65" s="920">
        <f>ROUND(T64/X64,6)</f>
        <v>9.6900000000000003E-4</v>
      </c>
      <c r="Y65" s="920"/>
    </row>
    <row r="66" spans="1:26" ht="19.5" customHeight="1" x14ac:dyDescent="0.25">
      <c r="A66" s="237"/>
      <c r="H66" s="53" t="s">
        <v>68</v>
      </c>
      <c r="I66" s="945">
        <f>IFERROR(ROUND(E65/I65,6),0)</f>
        <v>9.6900000000000003E-4</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8.34E-4</v>
      </c>
      <c r="Y67" s="271">
        <f>ROUND(V67*X67,2)</f>
        <v>38055.08</v>
      </c>
    </row>
    <row r="68" spans="1:26" ht="30.75" customHeight="1" x14ac:dyDescent="0.25">
      <c r="A68" s="946" t="s">
        <v>79</v>
      </c>
      <c r="B68" s="946"/>
      <c r="C68" s="946"/>
      <c r="D68" s="946"/>
      <c r="E68" s="946"/>
      <c r="F68" s="248" t="s">
        <v>80</v>
      </c>
      <c r="G68" s="277">
        <f>'0040'!G68</f>
        <v>45629593</v>
      </c>
      <c r="H68" s="223" t="s">
        <v>81</v>
      </c>
      <c r="I68" s="41">
        <f>I63</f>
        <v>8.34E-4</v>
      </c>
      <c r="J68" s="138">
        <f>ROUND(G68*I68,2)</f>
        <v>38055.08</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8.3299999999999997E-4</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8.3299999999999997E-4</v>
      </c>
      <c r="J70" s="138">
        <f>ROUND(G70*I70,2)</f>
        <v>0</v>
      </c>
      <c r="M70" s="2"/>
      <c r="R70" s="862" t="s">
        <v>163</v>
      </c>
      <c r="S70" s="862"/>
      <c r="T70" s="862"/>
      <c r="U70" s="253"/>
      <c r="V70" s="193">
        <f>G71</f>
        <v>18934058</v>
      </c>
      <c r="W70" s="239" t="s">
        <v>81</v>
      </c>
      <c r="X70" s="176">
        <f>X65</f>
        <v>9.6900000000000003E-4</v>
      </c>
      <c r="Y70" s="266">
        <f t="shared" si="11"/>
        <v>18347.099999999999</v>
      </c>
    </row>
    <row r="71" spans="1:26" ht="19.5" customHeight="1" x14ac:dyDescent="0.25">
      <c r="A71" s="898" t="s">
        <v>85</v>
      </c>
      <c r="B71" s="898"/>
      <c r="C71" s="898"/>
      <c r="D71" s="898"/>
      <c r="E71" s="898"/>
      <c r="F71" s="248" t="s">
        <v>86</v>
      </c>
      <c r="G71" s="277">
        <f>'0040'!G71</f>
        <v>18934058</v>
      </c>
      <c r="H71" s="223" t="s">
        <v>81</v>
      </c>
      <c r="I71" s="41">
        <f>I66</f>
        <v>9.6900000000000003E-4</v>
      </c>
      <c r="J71" s="138">
        <f>ROUND(G71*I71,2)</f>
        <v>18347.099999999999</v>
      </c>
      <c r="M71" s="2"/>
      <c r="R71" s="240" t="s">
        <v>164</v>
      </c>
      <c r="S71" s="240"/>
      <c r="T71" s="240"/>
      <c r="U71" s="253"/>
      <c r="V71" s="171">
        <f>G72</f>
        <v>11300012</v>
      </c>
      <c r="W71" s="239" t="s">
        <v>81</v>
      </c>
      <c r="X71" s="176">
        <f>X59</f>
        <v>9.6699999999999998E-4</v>
      </c>
      <c r="Y71" s="266">
        <f t="shared" si="11"/>
        <v>10927.11</v>
      </c>
    </row>
    <row r="72" spans="1:26" ht="19.5" customHeight="1" x14ac:dyDescent="0.25">
      <c r="A72" s="235" t="s">
        <v>87</v>
      </c>
      <c r="B72" s="235"/>
      <c r="C72" s="235"/>
      <c r="D72" s="235"/>
      <c r="E72" s="235"/>
      <c r="F72" s="248" t="s">
        <v>88</v>
      </c>
      <c r="G72" s="277">
        <f>'0040'!G72</f>
        <v>11300012</v>
      </c>
      <c r="H72" s="223" t="s">
        <v>81</v>
      </c>
      <c r="I72" s="41">
        <f>I60</f>
        <v>9.6699999999999998E-4</v>
      </c>
      <c r="J72" s="138">
        <f>ROUND(G72*I72,2)</f>
        <v>10927.11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3.2200000000000002E-3</v>
      </c>
      <c r="J85" s="138">
        <f>ROUND(G85*I85,2)</f>
        <v>865588.42</v>
      </c>
      <c r="K85" s="70"/>
      <c r="L85" s="70"/>
      <c r="M85" s="71"/>
      <c r="N85" s="70"/>
      <c r="O85" s="70"/>
      <c r="P85" s="70"/>
      <c r="Q85" s="70"/>
      <c r="R85" s="862" t="s">
        <v>168</v>
      </c>
      <c r="S85" s="862"/>
      <c r="T85" s="862"/>
      <c r="U85" s="253"/>
      <c r="V85" s="171">
        <f>G85</f>
        <v>268816278</v>
      </c>
      <c r="W85" s="239" t="s">
        <v>81</v>
      </c>
      <c r="X85" s="176">
        <f>X56</f>
        <v>7.8200000000000003E-4</v>
      </c>
      <c r="Y85" s="266">
        <f t="shared" ref="Y85:Y87" si="12">ROUND(V85*X85,2)</f>
        <v>210214.33</v>
      </c>
    </row>
    <row r="86" spans="1:26" ht="14.25" customHeight="1" x14ac:dyDescent="0.25">
      <c r="A86" s="898" t="s">
        <v>104</v>
      </c>
      <c r="B86" s="898"/>
      <c r="C86" s="898"/>
      <c r="D86" s="898"/>
      <c r="E86" s="898"/>
      <c r="F86" s="248" t="s">
        <v>103</v>
      </c>
      <c r="G86" s="139">
        <v>0</v>
      </c>
      <c r="H86" s="223" t="s">
        <v>81</v>
      </c>
      <c r="I86" s="41">
        <f>I57</f>
        <v>3.2200000000000002E-3</v>
      </c>
      <c r="J86" s="138">
        <f>ROUND(G86*I86,2)</f>
        <v>0</v>
      </c>
      <c r="K86" s="70"/>
      <c r="L86" s="71"/>
      <c r="M86" s="76"/>
      <c r="N86" s="76"/>
      <c r="O86" s="76"/>
      <c r="P86" s="76"/>
      <c r="Q86" s="70"/>
      <c r="R86" s="862" t="s">
        <v>169</v>
      </c>
      <c r="S86" s="862"/>
      <c r="T86" s="862"/>
      <c r="U86" s="253"/>
      <c r="V86" s="203">
        <v>0</v>
      </c>
      <c r="W86" s="239" t="s">
        <v>81</v>
      </c>
      <c r="X86" s="176">
        <f>X56</f>
        <v>7.8200000000000003E-4</v>
      </c>
      <c r="Y86" s="266">
        <f t="shared" si="12"/>
        <v>0</v>
      </c>
    </row>
    <row r="87" spans="1:26" ht="18" customHeight="1" x14ac:dyDescent="0.25">
      <c r="A87" s="898" t="s">
        <v>105</v>
      </c>
      <c r="B87" s="898"/>
      <c r="C87" s="898"/>
      <c r="D87" s="898"/>
      <c r="E87" s="898"/>
      <c r="F87" s="248" t="s">
        <v>84</v>
      </c>
      <c r="G87" s="139">
        <v>0</v>
      </c>
      <c r="H87" s="223" t="s">
        <v>81</v>
      </c>
      <c r="I87" s="41">
        <f>I54</f>
        <v>8.3299999999999997E-4</v>
      </c>
      <c r="J87" s="62">
        <f>ROUND(G87*I87,2)</f>
        <v>0</v>
      </c>
      <c r="K87" s="77"/>
      <c r="L87" s="70"/>
      <c r="M87" s="71"/>
      <c r="N87" s="70"/>
      <c r="O87" s="70"/>
      <c r="P87" s="70"/>
      <c r="Q87" s="70"/>
      <c r="R87" s="240" t="s">
        <v>170</v>
      </c>
      <c r="S87" s="240"/>
      <c r="T87" s="240"/>
      <c r="U87" s="253"/>
      <c r="V87" s="203">
        <v>0</v>
      </c>
      <c r="W87" s="239" t="s">
        <v>81</v>
      </c>
      <c r="X87" s="176">
        <f>X53</f>
        <v>8.3299999999999997E-4</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430.22400000000005</v>
      </c>
      <c r="C90" s="245"/>
      <c r="D90" s="869">
        <f>I6</f>
        <v>1.0355000000000001</v>
      </c>
      <c r="E90" s="869"/>
      <c r="F90" s="869"/>
      <c r="G90" s="122">
        <f>'[1]Detail 2025-26 FEFP Second'!AB3</f>
        <v>958.42</v>
      </c>
      <c r="H90" s="47" t="s">
        <v>68</v>
      </c>
      <c r="I90" s="141">
        <f>ROUND(B90*D90*G90,2)</f>
        <v>426973.19</v>
      </c>
      <c r="J90" s="81"/>
      <c r="K90" s="70"/>
      <c r="L90" s="70"/>
      <c r="M90" s="71"/>
      <c r="N90" s="70"/>
      <c r="O90" s="70"/>
      <c r="P90" s="70"/>
      <c r="Q90" s="70"/>
      <c r="R90" s="238" t="s">
        <v>110</v>
      </c>
      <c r="S90" s="251">
        <f>X12+X13+X18+X21+X24</f>
        <v>105</v>
      </c>
      <c r="T90" s="924">
        <f>X6</f>
        <v>1.0355000000000001</v>
      </c>
      <c r="U90" s="924"/>
      <c r="V90" s="122">
        <f>G90</f>
        <v>958.42</v>
      </c>
      <c r="W90" s="182" t="s">
        <v>68</v>
      </c>
      <c r="X90" s="272">
        <f>ROUND(S90*T90*V90,2)</f>
        <v>104206.61</v>
      </c>
      <c r="Y90" s="205"/>
    </row>
    <row r="91" spans="1:26" ht="21" customHeight="1" x14ac:dyDescent="0.25">
      <c r="A91" s="82" t="s">
        <v>60</v>
      </c>
      <c r="B91" s="245">
        <f>I14+I15+I19+I22+I25</f>
        <v>281.92899999999997</v>
      </c>
      <c r="C91" s="245"/>
      <c r="D91" s="869">
        <f>I6</f>
        <v>1.0355000000000001</v>
      </c>
      <c r="E91" s="869"/>
      <c r="F91" s="869"/>
      <c r="G91" s="122">
        <f>'[1]Detail 2025-26 FEFP Second'!AC3</f>
        <v>915.09</v>
      </c>
      <c r="H91" s="47" t="s">
        <v>68</v>
      </c>
      <c r="I91" s="140">
        <f>ROUND(B91*D91*G91,2)</f>
        <v>267149.07</v>
      </c>
      <c r="K91" s="70"/>
      <c r="L91" s="70"/>
      <c r="M91" s="71"/>
      <c r="N91" s="70"/>
      <c r="O91" s="70"/>
      <c r="P91" s="70"/>
      <c r="Q91" s="70"/>
      <c r="R91" s="206" t="s">
        <v>60</v>
      </c>
      <c r="S91" s="251">
        <f>X14+X15+X19+X22+X25</f>
        <v>68</v>
      </c>
      <c r="T91" s="924">
        <f>X6</f>
        <v>1.0355000000000001</v>
      </c>
      <c r="U91" s="924"/>
      <c r="V91" s="122">
        <f>G91</f>
        <v>915.09</v>
      </c>
      <c r="W91" s="182" t="s">
        <v>68</v>
      </c>
      <c r="X91" s="272">
        <f>ROUND(S91*T91*V91,2)</f>
        <v>64435.15</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712.15300000000002</v>
      </c>
      <c r="C93" s="109"/>
      <c r="D93" s="109"/>
      <c r="E93" s="939" t="s">
        <v>112</v>
      </c>
      <c r="F93" s="939"/>
      <c r="G93" s="939"/>
      <c r="H93" s="939"/>
      <c r="I93" s="939"/>
      <c r="J93" s="127">
        <f>IF(A1=75,0,I92+I91+I90)</f>
        <v>694122.26</v>
      </c>
      <c r="K93" s="70"/>
      <c r="L93" s="70"/>
      <c r="M93" s="71"/>
      <c r="N93" s="70"/>
      <c r="O93" s="70"/>
      <c r="P93" s="70"/>
      <c r="Q93" s="70"/>
      <c r="R93" s="252" t="s">
        <v>111</v>
      </c>
      <c r="S93" s="210">
        <f>SUM(S90:S92)</f>
        <v>173</v>
      </c>
      <c r="T93" s="925" t="s">
        <v>112</v>
      </c>
      <c r="U93" s="926"/>
      <c r="V93" s="926"/>
      <c r="W93" s="926"/>
      <c r="X93" s="926"/>
      <c r="Y93" s="266">
        <f>IF(R1=75,0,X92+X91+X90)</f>
        <v>168641.76</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97">
        <f>(C97+D97)/2</f>
        <v>0</v>
      </c>
      <c r="F97" s="997"/>
      <c r="G97" s="997"/>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97">
        <f>(C98+D98)/2</f>
        <v>0</v>
      </c>
      <c r="F98" s="997"/>
      <c r="G98" s="997"/>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912" t="s">
        <v>125</v>
      </c>
      <c r="B107" s="912"/>
      <c r="C107" s="912"/>
      <c r="D107" s="912"/>
      <c r="E107" s="912"/>
      <c r="F107" s="912"/>
      <c r="G107" s="912"/>
      <c r="H107" s="912"/>
      <c r="I107" s="912"/>
      <c r="J107" s="95">
        <f>SUM(J106,J105,J98,J97,J93,J86,J85,J71,J70,J68,J33,J72,J50,J87,J84)</f>
        <v>5597608.1800000006</v>
      </c>
      <c r="L107" s="576"/>
      <c r="R107" s="862" t="s">
        <v>125</v>
      </c>
      <c r="S107" s="862"/>
      <c r="T107" s="862"/>
      <c r="U107" s="862"/>
      <c r="V107" s="862"/>
      <c r="W107" s="862"/>
      <c r="X107" s="862"/>
      <c r="Y107" s="219">
        <f>SUM(Y106,Y105,Y97,Y96,Y93,Y86,Y85,Y84,Y70,Y69,Y67,Y33,Y71,Y50,Y87,Y83)</f>
        <v>1408641</v>
      </c>
    </row>
    <row r="108" spans="1:25" ht="15.75" customHeight="1" thickTop="1" x14ac:dyDescent="0.25">
      <c r="A108" s="868"/>
      <c r="B108" s="868"/>
      <c r="C108" s="868"/>
      <c r="D108" s="868"/>
      <c r="E108" s="868"/>
      <c r="F108" s="868"/>
      <c r="G108" s="868"/>
      <c r="H108" s="868"/>
      <c r="I108" s="868"/>
      <c r="J108" s="868"/>
      <c r="R108" s="876"/>
      <c r="S108" s="876"/>
      <c r="T108" s="876"/>
      <c r="U108" s="876"/>
      <c r="V108" s="876"/>
      <c r="W108" s="876"/>
      <c r="X108" s="876"/>
      <c r="Y108" s="876"/>
    </row>
    <row r="109" spans="1:25" ht="17.25" customHeight="1" thickBot="1" x14ac:dyDescent="0.3">
      <c r="A109" s="898" t="s">
        <v>131</v>
      </c>
      <c r="B109" s="898"/>
      <c r="C109" s="898"/>
      <c r="D109" s="898"/>
      <c r="E109" s="898"/>
      <c r="F109" s="868"/>
      <c r="G109" s="868"/>
      <c r="H109" s="868"/>
      <c r="I109" s="2" t="s">
        <v>132</v>
      </c>
      <c r="J109" s="582">
        <f>J107-J38</f>
        <v>5319903.2000000011</v>
      </c>
      <c r="R109" s="170" t="s">
        <v>176</v>
      </c>
      <c r="S109" s="170"/>
      <c r="T109" s="170"/>
      <c r="U109" s="170"/>
      <c r="V109" s="170"/>
      <c r="W109" s="170"/>
      <c r="X109" s="170"/>
      <c r="Y109" s="220">
        <f>Y107-Y38</f>
        <v>1130936.02</v>
      </c>
    </row>
    <row r="110" spans="1:25" ht="18.75" customHeight="1" thickTop="1" x14ac:dyDescent="0.25">
      <c r="A110" s="898" t="s">
        <v>133</v>
      </c>
      <c r="B110" s="898"/>
      <c r="C110" s="898"/>
      <c r="D110" s="898"/>
      <c r="E110" s="898"/>
      <c r="F110" s="898"/>
      <c r="G110" s="898"/>
      <c r="H110" s="898"/>
      <c r="I110" s="235" t="s">
        <v>134</v>
      </c>
      <c r="J110" s="72"/>
      <c r="R110" s="953" t="s">
        <v>136</v>
      </c>
      <c r="S110" s="953"/>
      <c r="T110" s="953"/>
      <c r="U110" s="953"/>
      <c r="V110" s="953"/>
      <c r="W110" s="953"/>
      <c r="X110" s="953"/>
      <c r="Y110" s="953"/>
    </row>
    <row r="111" spans="1:25" ht="15.75" customHeight="1" x14ac:dyDescent="0.25">
      <c r="A111" s="899" t="s">
        <v>135</v>
      </c>
      <c r="B111" s="899"/>
      <c r="C111" s="899"/>
      <c r="D111" s="899"/>
      <c r="E111" s="899"/>
      <c r="F111" s="899"/>
      <c r="G111" s="899"/>
      <c r="H111" s="899"/>
      <c r="I111" s="280">
        <v>1</v>
      </c>
      <c r="J111" s="137">
        <f>Y109</f>
        <v>1130936.02</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602"/>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10">
        <f>IF(I111=1,J111,J109)</f>
        <v>1130936.02</v>
      </c>
      <c r="J114" s="711">
        <f>ROUND(IF(E28=0,0,IF(E28&gt;250,-(((250/E28)*I114)*IF(H113="H",0.02,0.05)),IF(H113="H",-0.02*I114,-0.05*I114))),2)</f>
        <v>-56546.8</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5541061.3800000008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12"/>
      <c r="I118" s="713"/>
      <c r="J118" s="718">
        <f>-'Cumulative Payments'!R79</f>
        <v>-3152677.0900000003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2388384.2900000005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477676.86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17D-A104-449F-ADF7-38AE2D62508B}">
  <dimension ref="A1:Z207"/>
  <sheetViews>
    <sheetView topLeftCell="A100" workbookViewId="0">
      <selection activeCell="J124" sqref="J124"/>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439</v>
      </c>
      <c r="B2" s="102"/>
      <c r="C2" s="102"/>
      <c r="D2" s="102"/>
      <c r="E2" s="100"/>
      <c r="F2" s="100"/>
      <c r="G2" s="100"/>
      <c r="H2" s="100"/>
      <c r="I2" s="100"/>
      <c r="J2" s="100"/>
      <c r="K2" s="6"/>
      <c r="L2" s="6"/>
      <c r="M2" s="6"/>
      <c r="N2" s="6"/>
      <c r="O2" s="6"/>
      <c r="P2" s="6"/>
      <c r="Q2" s="6"/>
      <c r="R2" s="875" t="str">
        <f>Revenue_Estimate_Worksheet_for___________Charter_School</f>
        <v>Revenue Estimate Worksheet: Palm Beach Maritime Academy Elementary - 2801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Second'!$C$1:$C$65536,MATCH('2801'!$A$1,'[1]Detail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Second'!$D$1:$D$65536,MATCH('2801'!$A$1,'[1]Detail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111.37</v>
      </c>
      <c r="D12" s="411">
        <v>0</v>
      </c>
      <c r="E12" s="980">
        <f t="shared" ref="E12:E27" si="0">IF($D$28=0,C12*2,C12+D12)</f>
        <v>222.74</v>
      </c>
      <c r="F12" s="980"/>
      <c r="G12" s="981">
        <v>1.1080000000000001</v>
      </c>
      <c r="H12" s="981"/>
      <c r="I12" s="578">
        <f>ROUND(E12*G12,4)</f>
        <v>246.79589999999999</v>
      </c>
      <c r="J12" s="579">
        <f t="shared" ref="J12:J27" si="1">ROUND(ROUND(ROUND(I12*$E$6,4)*($I$6),2)*(MAX($I$7,1)),2)</f>
        <v>1373006.37</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25</v>
      </c>
      <c r="D13" s="415">
        <v>0</v>
      </c>
      <c r="E13" s="967">
        <f t="shared" si="0"/>
        <v>50</v>
      </c>
      <c r="F13" s="967"/>
      <c r="G13" s="968">
        <v>1.1080000000000001</v>
      </c>
      <c r="H13" s="968"/>
      <c r="I13" s="578">
        <f t="shared" ref="I13:I27" si="2">ROUND(E13*G13,4)</f>
        <v>55.4</v>
      </c>
      <c r="J13" s="579">
        <f t="shared" si="1"/>
        <v>308208.33</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59.9</v>
      </c>
      <c r="D14" s="415">
        <v>0</v>
      </c>
      <c r="E14" s="967">
        <f t="shared" si="0"/>
        <v>119.8</v>
      </c>
      <c r="F14" s="967"/>
      <c r="G14" s="968">
        <v>1</v>
      </c>
      <c r="H14" s="968"/>
      <c r="I14" s="578">
        <f t="shared" si="2"/>
        <v>119.8</v>
      </c>
      <c r="J14" s="579">
        <f>ROUND(ROUND(ROUND(I14*$E$6,4)*($I$6),2)*(MAX($I$7,1)),2)</f>
        <v>666486.61</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14</v>
      </c>
      <c r="D15" s="415">
        <v>0</v>
      </c>
      <c r="E15" s="967">
        <f t="shared" si="0"/>
        <v>28</v>
      </c>
      <c r="F15" s="967"/>
      <c r="G15" s="968">
        <v>1</v>
      </c>
      <c r="H15" s="968"/>
      <c r="I15" s="578">
        <f t="shared" si="2"/>
        <v>28</v>
      </c>
      <c r="J15" s="579">
        <f t="shared" si="1"/>
        <v>155773.16</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57.629999999999995</v>
      </c>
      <c r="D24" s="415">
        <v>0</v>
      </c>
      <c r="E24" s="967">
        <f t="shared" si="0"/>
        <v>115.25999999999999</v>
      </c>
      <c r="F24" s="967"/>
      <c r="G24" s="968">
        <v>1.165</v>
      </c>
      <c r="H24" s="968"/>
      <c r="I24" s="578">
        <f t="shared" si="2"/>
        <v>134.27789999999999</v>
      </c>
      <c r="J24" s="579">
        <f t="shared" si="1"/>
        <v>747031.91</v>
      </c>
      <c r="M24" s="2"/>
      <c r="R24" s="860" t="s">
        <v>32</v>
      </c>
      <c r="S24" s="860"/>
      <c r="T24" s="891">
        <f t="shared" si="3"/>
        <v>0</v>
      </c>
      <c r="U24" s="891"/>
      <c r="V24" s="896">
        <v>1</v>
      </c>
      <c r="W24" s="896"/>
      <c r="X24" s="156">
        <f t="shared" si="4"/>
        <v>0</v>
      </c>
      <c r="Y24" s="266">
        <f t="shared" si="6"/>
        <v>0</v>
      </c>
    </row>
    <row r="25" spans="1:25" x14ac:dyDescent="0.25">
      <c r="A25" s="861" t="s">
        <v>33</v>
      </c>
      <c r="B25" s="861"/>
      <c r="C25" s="415">
        <v>12.1</v>
      </c>
      <c r="D25" s="415">
        <v>0</v>
      </c>
      <c r="E25" s="967">
        <f t="shared" si="0"/>
        <v>24.2</v>
      </c>
      <c r="F25" s="967"/>
      <c r="G25" s="968">
        <v>1.165</v>
      </c>
      <c r="H25" s="968"/>
      <c r="I25" s="578">
        <f t="shared" si="2"/>
        <v>28.193000000000001</v>
      </c>
      <c r="J25" s="579">
        <f t="shared" si="1"/>
        <v>156846.89000000001</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280</v>
      </c>
      <c r="D28" s="126">
        <f>SUM(D12:D27)</f>
        <v>0</v>
      </c>
      <c r="E28" s="966">
        <f>SUM(E12:E27)</f>
        <v>560</v>
      </c>
      <c r="F28" s="966"/>
      <c r="G28" s="961"/>
      <c r="H28" s="961"/>
      <c r="I28" s="23">
        <f>SUM(I12:I27)</f>
        <v>612.46679999999992</v>
      </c>
      <c r="J28" s="127">
        <f>SUM(J12:J27)</f>
        <v>3407353.2700000005</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612.46679999999992</v>
      </c>
      <c r="H33" s="961" t="s">
        <v>45</v>
      </c>
      <c r="I33" s="961"/>
      <c r="J33" s="32">
        <f>SUM(J32,J28)</f>
        <v>3407353.2700000005</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3528287.76</v>
      </c>
      <c r="H36" s="223" t="s">
        <v>49</v>
      </c>
      <c r="I36" s="38">
        <v>6.6699999999999995E-2</v>
      </c>
      <c r="J36" s="131">
        <f>ROUND(G36*I36,2)</f>
        <v>235336.79</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3528287.76</v>
      </c>
      <c r="H37" s="223" t="s">
        <v>49</v>
      </c>
      <c r="I37" s="38">
        <v>5.4000000000000003E-3</v>
      </c>
      <c r="J37" s="131">
        <f>ROUND(G37*I37,2)</f>
        <v>19052.75</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254389.54</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24</v>
      </c>
      <c r="D41" s="415">
        <v>0</v>
      </c>
      <c r="E41" s="954">
        <f t="shared" ref="E41:E49" si="7">IF($D$50=0,C41*2,C41+D41)</f>
        <v>48</v>
      </c>
      <c r="F41" s="954"/>
      <c r="G41" s="223" t="s">
        <v>59</v>
      </c>
      <c r="H41" s="223">
        <v>251</v>
      </c>
      <c r="I41" s="136">
        <f>INDEX('[1]111-112-113 ADDITIONAL FUND'!D$1:D$65536,MATCH($A$1,'[1]111-112-113 ADDITIONAL FUND'!A$1:A$65536))</f>
        <v>1047</v>
      </c>
      <c r="J41" s="137">
        <f t="shared" ref="J41:J49" si="8">ROUND(E41*I41,2)</f>
        <v>50256</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1</v>
      </c>
      <c r="D42" s="415">
        <v>0</v>
      </c>
      <c r="E42" s="954">
        <f t="shared" si="7"/>
        <v>2</v>
      </c>
      <c r="F42" s="954"/>
      <c r="G42" s="223" t="s">
        <v>59</v>
      </c>
      <c r="H42" s="223">
        <v>252</v>
      </c>
      <c r="I42" s="136">
        <f>INDEX('[1]111-112-113 ADDITIONAL FUND'!E$1:E$65536,MATCH($A$1,'[1]111-112-113 ADDITIONAL FUND'!A$1:A$65536))</f>
        <v>3380</v>
      </c>
      <c r="J42" s="137">
        <f t="shared" si="8"/>
        <v>6760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137">
        <f t="shared" si="8"/>
        <v>0</v>
      </c>
      <c r="M43" s="2"/>
      <c r="R43" s="903"/>
      <c r="S43" s="903"/>
      <c r="T43" s="905"/>
      <c r="U43" s="905"/>
      <c r="V43" s="239" t="s">
        <v>59</v>
      </c>
      <c r="W43" s="239">
        <v>253</v>
      </c>
      <c r="X43" s="134">
        <f t="shared" si="9"/>
        <v>6896</v>
      </c>
      <c r="Y43" s="269">
        <f t="shared" si="10"/>
        <v>0</v>
      </c>
    </row>
    <row r="44" spans="1:25" x14ac:dyDescent="0.25">
      <c r="A44" s="960"/>
      <c r="B44" s="960"/>
      <c r="C44" s="415">
        <v>13.5</v>
      </c>
      <c r="D44" s="415">
        <v>0</v>
      </c>
      <c r="E44" s="954">
        <f t="shared" si="7"/>
        <v>27</v>
      </c>
      <c r="F44" s="954"/>
      <c r="G44" s="47" t="s">
        <v>60</v>
      </c>
      <c r="H44" s="223">
        <v>251</v>
      </c>
      <c r="I44" s="136">
        <f>INDEX('[1]111-112-113 ADDITIONAL FUND'!G$1:G$65536,MATCH($A$1,'[1]111-112-113 ADDITIONAL FUND'!A$1:A$65536))</f>
        <v>1173</v>
      </c>
      <c r="J44" s="137">
        <f t="shared" si="8"/>
        <v>31671</v>
      </c>
      <c r="L44" s="3"/>
      <c r="M44" s="2"/>
      <c r="Q44" s="4"/>
      <c r="R44" s="903"/>
      <c r="S44" s="903"/>
      <c r="T44" s="905"/>
      <c r="U44" s="905"/>
      <c r="V44" s="182" t="s">
        <v>60</v>
      </c>
      <c r="W44" s="239">
        <v>251</v>
      </c>
      <c r="X44" s="134">
        <f t="shared" si="9"/>
        <v>1173</v>
      </c>
      <c r="Y44" s="269">
        <f t="shared" si="10"/>
        <v>0</v>
      </c>
    </row>
    <row r="45" spans="1:25" x14ac:dyDescent="0.25">
      <c r="A45" s="960"/>
      <c r="B45" s="960"/>
      <c r="C45" s="415">
        <v>0.5</v>
      </c>
      <c r="D45" s="415">
        <v>0</v>
      </c>
      <c r="E45" s="954">
        <f t="shared" si="7"/>
        <v>1</v>
      </c>
      <c r="F45" s="954"/>
      <c r="G45" s="47" t="s">
        <v>60</v>
      </c>
      <c r="H45" s="223">
        <v>252</v>
      </c>
      <c r="I45" s="136">
        <f>INDEX('[1]111-112-113 ADDITIONAL FUND'!H$1:H$65536,MATCH($A$1,'[1]111-112-113 ADDITIONAL FUND'!A$1:A$65536))</f>
        <v>3506</v>
      </c>
      <c r="J45" s="46">
        <f t="shared" si="8"/>
        <v>3506</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699">
        <f>SUM(C41:C49)</f>
        <v>39</v>
      </c>
      <c r="D50" s="699">
        <f>SUM(D41:D49)</f>
        <v>0</v>
      </c>
      <c r="E50" s="956">
        <f>SUM(E41:E49)</f>
        <v>78</v>
      </c>
      <c r="F50" s="956"/>
      <c r="G50" s="912" t="s">
        <v>63</v>
      </c>
      <c r="H50" s="912"/>
      <c r="I50" s="912"/>
      <c r="J50" s="276">
        <f>SUM(J41:J49)</f>
        <v>92193</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560</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2.6949999999999999E-3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612.46679999999992</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2.7690000000000002E-3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560</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3.13E-3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560</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2.699E-3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560</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3.1350000000000002E-3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2.699E-3</v>
      </c>
      <c r="J68" s="138">
        <f>ROUND(G68*I68,2)</f>
        <v>123154.27</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2.6949999999999999E-3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3.1350000000000002E-3</v>
      </c>
      <c r="J71" s="138">
        <f>ROUND(G71*I71,2)</f>
        <v>59358.27</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3.13E-3</v>
      </c>
      <c r="J72" s="138">
        <f>ROUND(G72*I72,2)</f>
        <v>35369.040000000001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2.7690000000000002E-3</v>
      </c>
      <c r="J85" s="138">
        <f>ROUND(G85*I85,2)</f>
        <v>744352.27</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2.7690000000000002E-3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2.6949999999999999E-3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436.47379999999998</v>
      </c>
      <c r="C90" s="245"/>
      <c r="D90" s="869">
        <f>I6</f>
        <v>1.0355000000000001</v>
      </c>
      <c r="E90" s="869"/>
      <c r="F90" s="869"/>
      <c r="G90" s="122">
        <f>'[1]Detail 2025-26 FEFP Second'!AB3</f>
        <v>958.42</v>
      </c>
      <c r="H90" s="47" t="s">
        <v>68</v>
      </c>
      <c r="I90" s="141">
        <f>ROUND(B90*D90*G90,2)</f>
        <v>433175.76</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175.99300000000002</v>
      </c>
      <c r="C91" s="245"/>
      <c r="D91" s="869">
        <f>I6</f>
        <v>1.0355000000000001</v>
      </c>
      <c r="E91" s="869"/>
      <c r="F91" s="869"/>
      <c r="G91" s="122">
        <f>'[1]Detail 2025-26 FEFP Second'!AC3</f>
        <v>915.09</v>
      </c>
      <c r="H91" s="47" t="s">
        <v>68</v>
      </c>
      <c r="I91" s="140">
        <f>ROUND(B91*D91*G91,2)</f>
        <v>166766.69</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612.46680000000003</v>
      </c>
      <c r="C93" s="109"/>
      <c r="D93" s="109"/>
      <c r="E93" s="939" t="s">
        <v>112</v>
      </c>
      <c r="F93" s="939"/>
      <c r="G93" s="939"/>
      <c r="H93" s="939"/>
      <c r="I93" s="939"/>
      <c r="J93" s="127">
        <f>IF(A1=75,0,I92+I91+I90)</f>
        <v>599942.44999999995</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224</v>
      </c>
      <c r="D97" s="279">
        <v>0</v>
      </c>
      <c r="E97" s="997">
        <f>(C97+D97)</f>
        <v>224</v>
      </c>
      <c r="F97" s="997"/>
      <c r="G97" s="997"/>
      <c r="H97" s="224" t="s">
        <v>117</v>
      </c>
      <c r="I97" s="130">
        <f>'0040'!I97</f>
        <v>586</v>
      </c>
      <c r="J97" s="138">
        <f>ROUND(I97*E97,2)</f>
        <v>131264</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97">
        <f>(C98+D98)/2</f>
        <v>0</v>
      </c>
      <c r="F98" s="997"/>
      <c r="G98" s="997"/>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912" t="s">
        <v>125</v>
      </c>
      <c r="B107" s="912"/>
      <c r="C107" s="912"/>
      <c r="D107" s="912"/>
      <c r="E107" s="912"/>
      <c r="F107" s="912"/>
      <c r="G107" s="912"/>
      <c r="H107" s="912"/>
      <c r="I107" s="912"/>
      <c r="J107" s="580">
        <f>SUM(J106,J105,J98,J97,J93,J86,J85,J71,J70,J68,J33,J72,J50,J87,J84)</f>
        <v>5192986.57</v>
      </c>
      <c r="L107" s="576"/>
      <c r="R107" s="862" t="s">
        <v>125</v>
      </c>
      <c r="S107" s="862"/>
      <c r="T107" s="862"/>
      <c r="U107" s="862"/>
      <c r="V107" s="862"/>
      <c r="W107" s="862"/>
      <c r="X107" s="862"/>
      <c r="Y107" s="219">
        <f>SUM(Y106,Y105,Y97,Y96,Y93,Y86,Y85,Y84,Y70,Y69,Y67,Y33,Y71,Y50,Y87,Y83)</f>
        <v>0</v>
      </c>
    </row>
    <row r="108" spans="1:25" ht="15.75" customHeight="1" thickTop="1" x14ac:dyDescent="0.25">
      <c r="A108" s="868"/>
      <c r="B108" s="868"/>
      <c r="C108" s="868"/>
      <c r="D108" s="868"/>
      <c r="E108" s="868"/>
      <c r="F108" s="868"/>
      <c r="G108" s="868"/>
      <c r="H108" s="868"/>
      <c r="I108" s="868"/>
      <c r="J108" s="868"/>
      <c r="R108" s="876"/>
      <c r="S108" s="876"/>
      <c r="T108" s="876"/>
      <c r="U108" s="876"/>
      <c r="V108" s="876"/>
      <c r="W108" s="876"/>
      <c r="X108" s="876"/>
      <c r="Y108" s="876"/>
    </row>
    <row r="109" spans="1:25" ht="17.25" customHeight="1" thickBot="1" x14ac:dyDescent="0.3">
      <c r="A109" s="898" t="s">
        <v>131</v>
      </c>
      <c r="B109" s="898"/>
      <c r="C109" s="898"/>
      <c r="D109" s="898"/>
      <c r="E109" s="898"/>
      <c r="F109" s="868"/>
      <c r="G109" s="868"/>
      <c r="H109" s="868"/>
      <c r="I109" s="2" t="s">
        <v>132</v>
      </c>
      <c r="J109" s="582">
        <f>J107-J38</f>
        <v>4938597.03</v>
      </c>
      <c r="R109" s="170" t="s">
        <v>176</v>
      </c>
      <c r="S109" s="170"/>
      <c r="T109" s="170"/>
      <c r="U109" s="170"/>
      <c r="V109" s="170"/>
      <c r="W109" s="170"/>
      <c r="X109" s="170"/>
      <c r="Y109" s="220">
        <f>Y107-Y38</f>
        <v>0</v>
      </c>
    </row>
    <row r="110" spans="1:25" ht="18.75" customHeight="1" thickTop="1" x14ac:dyDescent="0.25">
      <c r="A110" s="898" t="s">
        <v>133</v>
      </c>
      <c r="B110" s="898"/>
      <c r="C110" s="898"/>
      <c r="D110" s="898"/>
      <c r="E110" s="898"/>
      <c r="F110" s="898"/>
      <c r="G110" s="898"/>
      <c r="H110" s="898"/>
      <c r="I110" s="235" t="s">
        <v>134</v>
      </c>
      <c r="J110" s="72"/>
      <c r="R110" s="953" t="s">
        <v>136</v>
      </c>
      <c r="S110" s="953"/>
      <c r="T110" s="953"/>
      <c r="U110" s="953"/>
      <c r="V110" s="953"/>
      <c r="W110" s="953"/>
      <c r="X110" s="953"/>
      <c r="Y110" s="953"/>
    </row>
    <row r="111" spans="1:25" ht="15.75" customHeight="1" x14ac:dyDescent="0.25">
      <c r="A111" s="899" t="s">
        <v>135</v>
      </c>
      <c r="B111" s="899"/>
      <c r="C111" s="899"/>
      <c r="D111" s="899"/>
      <c r="E111" s="899"/>
      <c r="F111" s="899"/>
      <c r="G111" s="899"/>
      <c r="H111" s="899"/>
      <c r="I111" s="280"/>
      <c r="J111" s="46">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602"/>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10">
        <f>IF(I111=1,J111,J109)</f>
        <v>4938597.03</v>
      </c>
      <c r="J114" s="711">
        <f>ROUND(IF(E28=0,0,IF(E28&gt;250,-(((250/E28)*I114)*IF(H113="H",0.02,0.05)),IF(H113="H",-0.02*I114,-0.05*I114))),2)</f>
        <v>-110236.54</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5082750.03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Payments'!R80</f>
        <v>-3075698.3000000003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2007051.73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401410.35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ROUND(IF(H113="H",(I114*0.02)+J114,(I114*0.05)+J114),2)</f>
        <v>136693.31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7AE6-C6F5-4909-B26E-8392DA3E0EDD}">
  <dimension ref="A1:Z207"/>
  <sheetViews>
    <sheetView topLeftCell="A101" workbookViewId="0">
      <selection activeCell="A56" sqref="A56:B56"/>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440</v>
      </c>
      <c r="B2" s="102"/>
      <c r="C2" s="102"/>
      <c r="D2" s="102"/>
      <c r="E2" s="100"/>
      <c r="F2" s="100"/>
      <c r="G2" s="100"/>
      <c r="H2" s="100"/>
      <c r="I2" s="100"/>
      <c r="J2" s="100"/>
      <c r="K2" s="6"/>
      <c r="L2" s="6"/>
      <c r="M2" s="6"/>
      <c r="N2" s="6"/>
      <c r="O2" s="6"/>
      <c r="P2" s="6"/>
      <c r="Q2" s="6"/>
      <c r="R2" s="875" t="str">
        <f>Revenue_Estimate_Worksheet_for___________Charter_School</f>
        <v>Revenue Estimate Worksheet: Western Academy Charter School - 2911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Second'!$C$1:$C$65536,MATCH('2911'!$A$1,'[1]Detail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Second'!$D$1:$D$65536,MATCH('2911'!$A$1,'[1]Detail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129.24</v>
      </c>
      <c r="D12" s="415">
        <v>0</v>
      </c>
      <c r="E12" s="980">
        <f t="shared" ref="E12:E27" si="0">IF($D$28=0,C12*2,C12+D12)</f>
        <v>258.48</v>
      </c>
      <c r="F12" s="980"/>
      <c r="G12" s="981">
        <v>1.1080000000000001</v>
      </c>
      <c r="H12" s="981"/>
      <c r="I12" s="578">
        <f>ROUND(E12*G12,4)</f>
        <v>286.39580000000001</v>
      </c>
      <c r="J12" s="579">
        <f t="shared" ref="J12:J27" si="1">ROUND(ROUND(ROUND(I12*$E$6,4)*($I$6),2)*(MAX($I$7,1)),2)</f>
        <v>1593313.57</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30.5</v>
      </c>
      <c r="D13" s="415">
        <v>0</v>
      </c>
      <c r="E13" s="967">
        <f t="shared" si="0"/>
        <v>61</v>
      </c>
      <c r="F13" s="967"/>
      <c r="G13" s="968">
        <v>1.1080000000000001</v>
      </c>
      <c r="H13" s="968"/>
      <c r="I13" s="578">
        <f t="shared" ref="I13:I27" si="2">ROUND(E13*G13,4)</f>
        <v>67.587999999999994</v>
      </c>
      <c r="J13" s="579">
        <f t="shared" si="1"/>
        <v>376014.17</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171.85</v>
      </c>
      <c r="D14" s="415">
        <v>0</v>
      </c>
      <c r="E14" s="967">
        <f t="shared" si="0"/>
        <v>343.7</v>
      </c>
      <c r="F14" s="967"/>
      <c r="G14" s="968">
        <v>1</v>
      </c>
      <c r="H14" s="968"/>
      <c r="I14" s="578">
        <f t="shared" si="2"/>
        <v>343.7</v>
      </c>
      <c r="J14" s="579">
        <f>ROUND(ROUND(ROUND(I14*$E$6,4)*($I$6),2)*(MAX($I$7,1)),2)</f>
        <v>1912115.59</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53.83</v>
      </c>
      <c r="D15" s="415">
        <v>0</v>
      </c>
      <c r="E15" s="967">
        <f t="shared" si="0"/>
        <v>107.66</v>
      </c>
      <c r="F15" s="967"/>
      <c r="G15" s="968">
        <v>1</v>
      </c>
      <c r="H15" s="968"/>
      <c r="I15" s="578">
        <f t="shared" si="2"/>
        <v>107.66</v>
      </c>
      <c r="J15" s="579">
        <f t="shared" si="1"/>
        <v>598947.81999999995</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5.76</v>
      </c>
      <c r="D24" s="415">
        <v>0</v>
      </c>
      <c r="E24" s="967">
        <f t="shared" si="0"/>
        <v>11.52</v>
      </c>
      <c r="F24" s="967"/>
      <c r="G24" s="968">
        <v>1.165</v>
      </c>
      <c r="H24" s="968"/>
      <c r="I24" s="578">
        <f t="shared" si="2"/>
        <v>13.4208</v>
      </c>
      <c r="J24" s="579">
        <f t="shared" si="1"/>
        <v>74664.3</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391.18</v>
      </c>
      <c r="D28" s="126">
        <f>SUM(D12:D27)</f>
        <v>0</v>
      </c>
      <c r="E28" s="966">
        <f>SUM(E12:E27)</f>
        <v>782.36</v>
      </c>
      <c r="F28" s="966"/>
      <c r="G28" s="961"/>
      <c r="H28" s="961"/>
      <c r="I28" s="23">
        <f>SUM(I12:I27)</f>
        <v>818.76459999999997</v>
      </c>
      <c r="J28" s="127">
        <f>SUM(J12:J27)</f>
        <v>4555055.45</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818.76459999999997</v>
      </c>
      <c r="H33" s="961" t="s">
        <v>45</v>
      </c>
      <c r="I33" s="961"/>
      <c r="J33" s="32">
        <f>SUM(J32,J28)</f>
        <v>4555055.45</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4130359.4</v>
      </c>
      <c r="H36" s="223" t="s">
        <v>49</v>
      </c>
      <c r="I36" s="38">
        <v>6.6699999999999995E-2</v>
      </c>
      <c r="J36" s="131">
        <f>ROUND(G36*I36,2)</f>
        <v>275494.96999999997</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4130359.4</v>
      </c>
      <c r="H37" s="223" t="s">
        <v>49</v>
      </c>
      <c r="I37" s="38">
        <v>5.4000000000000003E-3</v>
      </c>
      <c r="J37" s="131">
        <f>ROUND(G37*I37,2)</f>
        <v>22303.94</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297798.90999999997</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25.5</v>
      </c>
      <c r="D41" s="415">
        <v>0</v>
      </c>
      <c r="E41" s="954">
        <f t="shared" ref="E41:E49" si="7">IF($D$50=0,C41*2,C41+D41)</f>
        <v>51</v>
      </c>
      <c r="F41" s="954"/>
      <c r="G41" s="223" t="s">
        <v>59</v>
      </c>
      <c r="H41" s="223">
        <v>251</v>
      </c>
      <c r="I41" s="136">
        <f>INDEX('[1]111-112-113 ADDITIONAL FUND'!D$1:D$65536,MATCH($A$1,'[1]111-112-113 ADDITIONAL FUND'!A$1:A$65536))</f>
        <v>1047</v>
      </c>
      <c r="J41" s="46">
        <f t="shared" ref="J41:J49" si="8">ROUND(E41*I41,2)</f>
        <v>53397</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5</v>
      </c>
      <c r="D42" s="415">
        <v>0</v>
      </c>
      <c r="E42" s="954">
        <f t="shared" si="7"/>
        <v>10</v>
      </c>
      <c r="F42" s="954"/>
      <c r="G42" s="223" t="s">
        <v>59</v>
      </c>
      <c r="H42" s="223">
        <v>252</v>
      </c>
      <c r="I42" s="136">
        <f>INDEX('[1]111-112-113 ADDITIONAL FUND'!E$1:E$65536,MATCH($A$1,'[1]111-112-113 ADDITIONAL FUND'!A$1:A$65536))</f>
        <v>3380</v>
      </c>
      <c r="J42" s="46">
        <f t="shared" si="8"/>
        <v>33800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x14ac:dyDescent="0.25">
      <c r="A44" s="960"/>
      <c r="B44" s="960"/>
      <c r="C44" s="415">
        <v>46.18</v>
      </c>
      <c r="D44" s="415">
        <v>0</v>
      </c>
      <c r="E44" s="954">
        <f t="shared" si="7"/>
        <v>92.36</v>
      </c>
      <c r="F44" s="954"/>
      <c r="G44" s="47" t="s">
        <v>60</v>
      </c>
      <c r="H44" s="223">
        <v>251</v>
      </c>
      <c r="I44" s="136">
        <f>INDEX('[1]111-112-113 ADDITIONAL FUND'!G$1:G$65536,MATCH($A$1,'[1]111-112-113 ADDITIONAL FUND'!A$1:A$65536))</f>
        <v>1173</v>
      </c>
      <c r="J44" s="137">
        <f t="shared" si="8"/>
        <v>108338.28</v>
      </c>
      <c r="L44" s="3"/>
      <c r="M44" s="2"/>
      <c r="Q44" s="4"/>
      <c r="R44" s="903"/>
      <c r="S44" s="903"/>
      <c r="T44" s="905"/>
      <c r="U44" s="905"/>
      <c r="V44" s="182" t="s">
        <v>60</v>
      </c>
      <c r="W44" s="239">
        <v>251</v>
      </c>
      <c r="X44" s="134">
        <f t="shared" si="9"/>
        <v>1173</v>
      </c>
      <c r="Y44" s="269">
        <f t="shared" si="10"/>
        <v>0</v>
      </c>
    </row>
    <row r="45" spans="1:25" x14ac:dyDescent="0.25">
      <c r="A45" s="960"/>
      <c r="B45" s="960"/>
      <c r="C45" s="415">
        <v>7.14</v>
      </c>
      <c r="D45" s="415">
        <v>0</v>
      </c>
      <c r="E45" s="954">
        <f t="shared" si="7"/>
        <v>14.28</v>
      </c>
      <c r="F45" s="954"/>
      <c r="G45" s="47" t="s">
        <v>60</v>
      </c>
      <c r="H45" s="223">
        <v>252</v>
      </c>
      <c r="I45" s="136">
        <f>INDEX('[1]111-112-113 ADDITIONAL FUND'!H$1:H$65536,MATCH($A$1,'[1]111-112-113 ADDITIONAL FUND'!A$1:A$65536))</f>
        <v>3506</v>
      </c>
      <c r="J45" s="46">
        <f t="shared" si="8"/>
        <v>50065.68</v>
      </c>
      <c r="M45" s="2"/>
      <c r="R45" s="903"/>
      <c r="S45" s="903"/>
      <c r="T45" s="905"/>
      <c r="U45" s="905"/>
      <c r="V45" s="182" t="s">
        <v>60</v>
      </c>
      <c r="W45" s="239">
        <v>252</v>
      </c>
      <c r="X45" s="134">
        <f t="shared" si="9"/>
        <v>3506</v>
      </c>
      <c r="Y45" s="269">
        <f t="shared" si="10"/>
        <v>0</v>
      </c>
    </row>
    <row r="46" spans="1:25" x14ac:dyDescent="0.25">
      <c r="A46" s="960"/>
      <c r="B46" s="960"/>
      <c r="C46" s="415">
        <v>0.51</v>
      </c>
      <c r="D46" s="415">
        <v>0</v>
      </c>
      <c r="E46" s="954">
        <f t="shared" si="7"/>
        <v>1.02</v>
      </c>
      <c r="F46" s="954"/>
      <c r="G46" s="47" t="s">
        <v>60</v>
      </c>
      <c r="H46" s="223">
        <v>253</v>
      </c>
      <c r="I46" s="136">
        <f>INDEX('[1]111-112-113 ADDITIONAL FUND'!I$1:I$65536,MATCH($A$1,'[1]111-112-113 ADDITIONAL FUND'!A$1:A$65536))</f>
        <v>7023</v>
      </c>
      <c r="J46" s="46">
        <f t="shared" si="8"/>
        <v>7163.46</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233">
        <f>SUM(C41:C49)</f>
        <v>84.330000000000013</v>
      </c>
      <c r="D50" s="233">
        <f>SUM(D41:D49)</f>
        <v>0</v>
      </c>
      <c r="E50" s="956">
        <f>SUM(E41:E49)</f>
        <v>168.66000000000003</v>
      </c>
      <c r="F50" s="956"/>
      <c r="G50" s="912" t="s">
        <v>63</v>
      </c>
      <c r="H50" s="912"/>
      <c r="I50" s="912"/>
      <c r="J50" s="276">
        <f>SUM(J41:J49)</f>
        <v>252764.41999999998</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782.36</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3.7650000000000001E-3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818.76459999999997</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3.702E-3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782.36</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4.372E-3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782.36</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3.771E-3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782.36</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4.3800000000000002E-3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3.771E-3</v>
      </c>
      <c r="J68" s="138">
        <f>ROUND(G68*I68,2)</f>
        <v>172069.2</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3.7650000000000001E-3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4.3800000000000002E-3</v>
      </c>
      <c r="J71" s="138">
        <f>ROUND(G71*I71,2)</f>
        <v>82931.17</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4.372E-3</v>
      </c>
      <c r="J72" s="138">
        <f>ROUND(G72*I72,2)</f>
        <v>49403.65</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3.702E-3</v>
      </c>
      <c r="J85" s="138">
        <f>ROUND(G85*I85,2)</f>
        <v>995157.86</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3.702E-3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3.7650000000000001E-3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367.40459999999996</v>
      </c>
      <c r="C90" s="245"/>
      <c r="D90" s="869">
        <f>I6</f>
        <v>1.0355000000000001</v>
      </c>
      <c r="E90" s="869"/>
      <c r="F90" s="869"/>
      <c r="G90" s="122">
        <f>'[1]Detail 2025-26 FEFP Second'!AB3</f>
        <v>958.42</v>
      </c>
      <c r="H90" s="47" t="s">
        <v>68</v>
      </c>
      <c r="I90" s="141">
        <f>ROUND(B90*D90*G90,2)</f>
        <v>364628.46</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451.36</v>
      </c>
      <c r="C91" s="245"/>
      <c r="D91" s="869">
        <f>I6</f>
        <v>1.0355000000000001</v>
      </c>
      <c r="E91" s="869"/>
      <c r="F91" s="869"/>
      <c r="G91" s="122">
        <f>'[1]Detail 2025-26 FEFP Second'!AC3</f>
        <v>915.09</v>
      </c>
      <c r="H91" s="47" t="s">
        <v>68</v>
      </c>
      <c r="I91" s="140">
        <f>ROUND(B91*D91*G91,2)</f>
        <v>427697.77</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818.76459999999997</v>
      </c>
      <c r="C93" s="109"/>
      <c r="D93" s="109"/>
      <c r="E93" s="939" t="s">
        <v>112</v>
      </c>
      <c r="F93" s="939"/>
      <c r="G93" s="939"/>
      <c r="H93" s="939"/>
      <c r="I93" s="939"/>
      <c r="J93" s="127">
        <f>IF(A1=75,0,I92+I91+I90)</f>
        <v>792326.23</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912" t="s">
        <v>125</v>
      </c>
      <c r="B107" s="912"/>
      <c r="C107" s="912"/>
      <c r="D107" s="912"/>
      <c r="E107" s="912"/>
      <c r="F107" s="912"/>
      <c r="G107" s="912"/>
      <c r="H107" s="912"/>
      <c r="I107" s="912"/>
      <c r="J107" s="580">
        <f>SUM(J106,J105,J98,J97,J93,J86,J85,J71,J70,J68,J33,J72,J50,J87,J84)</f>
        <v>6899707.9800000004</v>
      </c>
      <c r="L107" s="576"/>
      <c r="R107" s="862" t="s">
        <v>125</v>
      </c>
      <c r="S107" s="862"/>
      <c r="T107" s="862"/>
      <c r="U107" s="862"/>
      <c r="V107" s="862"/>
      <c r="W107" s="862"/>
      <c r="X107" s="862"/>
      <c r="Y107" s="219">
        <f>SUM(Y106,Y105,Y97,Y96,Y93,Y86,Y85,Y84,Y70,Y69,Y67,Y33,Y71,Y50,Y87,Y83)</f>
        <v>0</v>
      </c>
    </row>
    <row r="108" spans="1:25" ht="15.75" customHeight="1" thickTop="1" x14ac:dyDescent="0.25">
      <c r="A108" s="868"/>
      <c r="B108" s="868"/>
      <c r="C108" s="868"/>
      <c r="D108" s="868"/>
      <c r="E108" s="868"/>
      <c r="F108" s="868"/>
      <c r="G108" s="868"/>
      <c r="H108" s="868"/>
      <c r="I108" s="868"/>
      <c r="J108" s="868"/>
      <c r="R108" s="876"/>
      <c r="S108" s="876"/>
      <c r="T108" s="876"/>
      <c r="U108" s="876"/>
      <c r="V108" s="876"/>
      <c r="W108" s="876"/>
      <c r="X108" s="876"/>
      <c r="Y108" s="876"/>
    </row>
    <row r="109" spans="1:25" ht="17.25" customHeight="1" thickBot="1" x14ac:dyDescent="0.3">
      <c r="A109" s="898" t="s">
        <v>131</v>
      </c>
      <c r="B109" s="898"/>
      <c r="C109" s="898"/>
      <c r="D109" s="898"/>
      <c r="E109" s="898"/>
      <c r="F109" s="868"/>
      <c r="G109" s="868"/>
      <c r="H109" s="868"/>
      <c r="I109" s="2" t="s">
        <v>132</v>
      </c>
      <c r="J109" s="582">
        <f>J107-J38</f>
        <v>6601909.0700000003</v>
      </c>
      <c r="R109" s="170" t="s">
        <v>176</v>
      </c>
      <c r="S109" s="170"/>
      <c r="T109" s="170"/>
      <c r="U109" s="170"/>
      <c r="V109" s="170"/>
      <c r="W109" s="170"/>
      <c r="X109" s="170"/>
      <c r="Y109" s="220">
        <f>Y107-Y38</f>
        <v>0</v>
      </c>
    </row>
    <row r="110" spans="1:25" ht="18.75" customHeight="1" thickTop="1" x14ac:dyDescent="0.25">
      <c r="A110" s="898" t="s">
        <v>133</v>
      </c>
      <c r="B110" s="898"/>
      <c r="C110" s="898"/>
      <c r="D110" s="898"/>
      <c r="E110" s="898"/>
      <c r="F110" s="898"/>
      <c r="G110" s="898"/>
      <c r="H110" s="898"/>
      <c r="I110" s="235" t="s">
        <v>134</v>
      </c>
      <c r="J110" s="72"/>
      <c r="R110" s="953" t="s">
        <v>136</v>
      </c>
      <c r="S110" s="953"/>
      <c r="T110" s="953"/>
      <c r="U110" s="953"/>
      <c r="V110" s="953"/>
      <c r="W110" s="953"/>
      <c r="X110" s="953"/>
      <c r="Y110" s="953"/>
    </row>
    <row r="111" spans="1:25" ht="15.75" customHeight="1" x14ac:dyDescent="0.25">
      <c r="A111" s="899" t="s">
        <v>135</v>
      </c>
      <c r="B111" s="899"/>
      <c r="C111" s="899"/>
      <c r="D111" s="899"/>
      <c r="E111" s="899"/>
      <c r="F111" s="899"/>
      <c r="G111" s="899"/>
      <c r="H111" s="899"/>
      <c r="I111" s="280"/>
      <c r="J111" s="46">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602"/>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709" t="s">
        <v>432</v>
      </c>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10">
        <f>IF(I111=1,J111,J109)</f>
        <v>6601909.0700000003</v>
      </c>
      <c r="J114" s="711">
        <f>ROUND(IF(E28=0,0,IF(E28&gt;250,-(((250/E28)*I114)*IF(H113="H",0.02,0.05)),IF(H113="H",-0.02*I114,-0.05*I114))),2)</f>
        <v>-42192.27</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6857515.7100000009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Payments'!R81</f>
        <v>-3579593.2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3277922.5100000007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655584.5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ROUND(IF(H113="H",(I114*0.02)+J114,(I114*0.05)+J114),2)</f>
        <v>89845.91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82B0-15F7-4F21-969B-FF7A76B8FA8F}">
  <dimension ref="A1:Z207"/>
  <sheetViews>
    <sheetView topLeftCell="A101" workbookViewId="0">
      <selection activeCell="T56" sqref="T56"/>
    </sheetView>
  </sheetViews>
  <sheetFormatPr defaultRowHeight="15.75" x14ac:dyDescent="0.25"/>
  <cols>
    <col min="1" max="1" width="13" style="235" customWidth="1"/>
    <col min="2" max="2" width="37.7109375" style="2" bestFit="1"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441</v>
      </c>
      <c r="B2" s="102"/>
      <c r="C2" s="102"/>
      <c r="D2" s="102"/>
      <c r="E2" s="100"/>
      <c r="F2" s="100"/>
      <c r="G2" s="100"/>
      <c r="H2" s="100"/>
      <c r="I2" s="100"/>
      <c r="J2" s="100"/>
      <c r="K2" s="6"/>
      <c r="L2" s="6"/>
      <c r="M2" s="6"/>
      <c r="N2" s="6"/>
      <c r="O2" s="6"/>
      <c r="P2" s="6"/>
      <c r="Q2" s="6"/>
      <c r="R2" s="875" t="str">
        <f>Revenue_Estimate_Worksheet_for___________Charter_School</f>
        <v>Revenue Estimate Worksheet: Palm Beach School for Autism - 2941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Second'!$C$1:$C$65536,MATCH('2941'!$A$1,'[1]Detail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Second'!$D$1:$D$65536,MATCH('2941'!$A$1,'[1]Detail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0.5</v>
      </c>
      <c r="D12" s="415">
        <v>0</v>
      </c>
      <c r="E12" s="980">
        <f t="shared" ref="E12:E27" si="0">IF($D$28=0,C12*2,C12+D12)</f>
        <v>1</v>
      </c>
      <c r="F12" s="980"/>
      <c r="G12" s="981">
        <v>1.1080000000000001</v>
      </c>
      <c r="H12" s="981"/>
      <c r="I12" s="578">
        <f>ROUND(E12*G12,4)</f>
        <v>1.1080000000000001</v>
      </c>
      <c r="J12" s="579">
        <f t="shared" ref="J12:J27" si="1">ROUND(ROUND(ROUND(I12*$E$6,4)*($I$6),2)*(MAX($I$7,1)),2)</f>
        <v>6164.17</v>
      </c>
      <c r="L12" s="21"/>
      <c r="M12" s="2"/>
      <c r="R12" s="890" t="s">
        <v>20</v>
      </c>
      <c r="S12" s="890"/>
      <c r="T12" s="891">
        <f>IF($I$111=1,E12,0)</f>
        <v>1</v>
      </c>
      <c r="U12" s="891"/>
      <c r="V12" s="892">
        <v>1</v>
      </c>
      <c r="W12" s="892"/>
      <c r="X12" s="156">
        <f>ROUND(T12*V12,4)</f>
        <v>1</v>
      </c>
      <c r="Y12" s="266">
        <f>ROUND(ROUND(ROUND(X12*$E$6,4)*($I$6),2)*(MAX($I$7,1)),2)</f>
        <v>5563.33</v>
      </c>
    </row>
    <row r="13" spans="1:25" x14ac:dyDescent="0.25">
      <c r="A13" s="861" t="s">
        <v>21</v>
      </c>
      <c r="B13" s="861"/>
      <c r="C13" s="415">
        <v>7.5</v>
      </c>
      <c r="D13" s="415">
        <v>0</v>
      </c>
      <c r="E13" s="967">
        <f t="shared" si="0"/>
        <v>15</v>
      </c>
      <c r="F13" s="967"/>
      <c r="G13" s="968">
        <v>1.1080000000000001</v>
      </c>
      <c r="H13" s="968"/>
      <c r="I13" s="578">
        <f t="shared" ref="I13:I27" si="2">ROUND(E13*G13,4)</f>
        <v>16.62</v>
      </c>
      <c r="J13" s="579">
        <f t="shared" si="1"/>
        <v>92462.5</v>
      </c>
      <c r="L13" s="21"/>
      <c r="M13" s="2"/>
      <c r="R13" s="860" t="s">
        <v>21</v>
      </c>
      <c r="S13" s="860"/>
      <c r="T13" s="891">
        <f t="shared" ref="T13:T27" si="3">IF($I$111=1,E13,0)</f>
        <v>15</v>
      </c>
      <c r="U13" s="891"/>
      <c r="V13" s="896">
        <v>1</v>
      </c>
      <c r="W13" s="896"/>
      <c r="X13" s="156">
        <f t="shared" ref="X13:X27" si="4">ROUND(T13*V13,4)</f>
        <v>15</v>
      </c>
      <c r="Y13" s="266">
        <f t="shared" ref="Y13" si="5">ROUND(ROUND(ROUND(X13*$E$6,4)*($I$6),2)*(MAX($I$7,1)),2)</f>
        <v>83449.91</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11</v>
      </c>
      <c r="D15" s="415">
        <v>0</v>
      </c>
      <c r="E15" s="967">
        <f t="shared" si="0"/>
        <v>22</v>
      </c>
      <c r="F15" s="967"/>
      <c r="G15" s="968">
        <v>1</v>
      </c>
      <c r="H15" s="968"/>
      <c r="I15" s="578">
        <f t="shared" si="2"/>
        <v>22</v>
      </c>
      <c r="J15" s="579">
        <f t="shared" si="1"/>
        <v>122393.2</v>
      </c>
      <c r="M15" s="2"/>
      <c r="R15" s="860" t="s">
        <v>23</v>
      </c>
      <c r="S15" s="860"/>
      <c r="T15" s="891">
        <f t="shared" si="3"/>
        <v>22</v>
      </c>
      <c r="U15" s="891"/>
      <c r="V15" s="896">
        <v>1</v>
      </c>
      <c r="W15" s="896"/>
      <c r="X15" s="156">
        <f t="shared" si="4"/>
        <v>22</v>
      </c>
      <c r="Y15" s="266">
        <f t="shared" ref="Y15:Y27" si="6">ROUND(ROUND(ROUND(X15*$E$6,4)*($I$6),2)*(MAX($I$7,1)),2)</f>
        <v>122393.2</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23.15</v>
      </c>
      <c r="D17" s="415">
        <v>0</v>
      </c>
      <c r="E17" s="967">
        <f t="shared" si="0"/>
        <v>46.3</v>
      </c>
      <c r="F17" s="967"/>
      <c r="G17" s="968">
        <v>0.97199999999999998</v>
      </c>
      <c r="H17" s="968"/>
      <c r="I17" s="578">
        <f t="shared" si="2"/>
        <v>45.003599999999999</v>
      </c>
      <c r="J17" s="579">
        <f t="shared" si="1"/>
        <v>250369.76</v>
      </c>
      <c r="M17" s="2"/>
      <c r="R17" s="860" t="s">
        <v>25</v>
      </c>
      <c r="S17" s="860"/>
      <c r="T17" s="891">
        <f t="shared" si="3"/>
        <v>46.3</v>
      </c>
      <c r="U17" s="891"/>
      <c r="V17" s="896">
        <v>1</v>
      </c>
      <c r="W17" s="896"/>
      <c r="X17" s="156">
        <f t="shared" si="4"/>
        <v>46.3</v>
      </c>
      <c r="Y17" s="266">
        <f t="shared" si="6"/>
        <v>257582.05</v>
      </c>
    </row>
    <row r="18" spans="1:25" x14ac:dyDescent="0.25">
      <c r="A18" s="861" t="s">
        <v>26</v>
      </c>
      <c r="B18" s="861"/>
      <c r="C18" s="415">
        <v>42.5</v>
      </c>
      <c r="D18" s="415">
        <v>0</v>
      </c>
      <c r="E18" s="967">
        <f t="shared" si="0"/>
        <v>85</v>
      </c>
      <c r="F18" s="967"/>
      <c r="G18" s="968">
        <v>3.609</v>
      </c>
      <c r="H18" s="968"/>
      <c r="I18" s="578">
        <f t="shared" si="2"/>
        <v>306.76499999999999</v>
      </c>
      <c r="J18" s="579">
        <f t="shared" si="1"/>
        <v>1706634.1</v>
      </c>
      <c r="M18" s="2"/>
      <c r="R18" s="860" t="s">
        <v>26</v>
      </c>
      <c r="S18" s="860"/>
      <c r="T18" s="891">
        <f t="shared" si="3"/>
        <v>85</v>
      </c>
      <c r="U18" s="891"/>
      <c r="V18" s="896">
        <v>1</v>
      </c>
      <c r="W18" s="896"/>
      <c r="X18" s="156">
        <f t="shared" si="4"/>
        <v>85</v>
      </c>
      <c r="Y18" s="266">
        <f t="shared" si="6"/>
        <v>472882.82</v>
      </c>
    </row>
    <row r="19" spans="1:25" x14ac:dyDescent="0.25">
      <c r="A19" s="861" t="s">
        <v>27</v>
      </c>
      <c r="B19" s="861"/>
      <c r="C19" s="415">
        <v>30</v>
      </c>
      <c r="D19" s="415">
        <v>0</v>
      </c>
      <c r="E19" s="967">
        <f t="shared" si="0"/>
        <v>60</v>
      </c>
      <c r="F19" s="967"/>
      <c r="G19" s="968">
        <v>3.609</v>
      </c>
      <c r="H19" s="968"/>
      <c r="I19" s="578">
        <f t="shared" si="2"/>
        <v>216.54</v>
      </c>
      <c r="J19" s="579">
        <f t="shared" si="1"/>
        <v>1204682.8899999999</v>
      </c>
      <c r="M19" s="2"/>
      <c r="R19" s="860" t="s">
        <v>27</v>
      </c>
      <c r="S19" s="860"/>
      <c r="T19" s="891">
        <f t="shared" si="3"/>
        <v>60</v>
      </c>
      <c r="U19" s="891"/>
      <c r="V19" s="896">
        <v>1</v>
      </c>
      <c r="W19" s="896"/>
      <c r="X19" s="156">
        <f t="shared" si="4"/>
        <v>60</v>
      </c>
      <c r="Y19" s="266">
        <f t="shared" si="6"/>
        <v>333799.64</v>
      </c>
    </row>
    <row r="20" spans="1:25" x14ac:dyDescent="0.25">
      <c r="A20" s="861" t="s">
        <v>28</v>
      </c>
      <c r="B20" s="861"/>
      <c r="C20" s="415">
        <v>32.5</v>
      </c>
      <c r="D20" s="415">
        <v>0</v>
      </c>
      <c r="E20" s="967">
        <f t="shared" si="0"/>
        <v>65</v>
      </c>
      <c r="F20" s="967"/>
      <c r="G20" s="968">
        <v>3.609</v>
      </c>
      <c r="H20" s="968"/>
      <c r="I20" s="578">
        <f t="shared" si="2"/>
        <v>234.58500000000001</v>
      </c>
      <c r="J20" s="579">
        <f t="shared" si="1"/>
        <v>1305073.1299999999</v>
      </c>
      <c r="M20" s="2"/>
      <c r="R20" s="860" t="s">
        <v>28</v>
      </c>
      <c r="S20" s="860"/>
      <c r="T20" s="891">
        <f t="shared" si="3"/>
        <v>65</v>
      </c>
      <c r="U20" s="891"/>
      <c r="V20" s="896">
        <v>1</v>
      </c>
      <c r="W20" s="896"/>
      <c r="X20" s="156">
        <f t="shared" si="4"/>
        <v>65</v>
      </c>
      <c r="Y20" s="266">
        <f t="shared" si="6"/>
        <v>361616.27</v>
      </c>
    </row>
    <row r="21" spans="1:25" ht="15" customHeight="1" x14ac:dyDescent="0.25">
      <c r="A21" s="861" t="s">
        <v>29</v>
      </c>
      <c r="B21" s="861"/>
      <c r="C21" s="415">
        <v>12.5</v>
      </c>
      <c r="D21" s="415">
        <v>0</v>
      </c>
      <c r="E21" s="967">
        <f t="shared" si="0"/>
        <v>25</v>
      </c>
      <c r="F21" s="967"/>
      <c r="G21" s="968">
        <v>6.0640000000000001</v>
      </c>
      <c r="H21" s="968"/>
      <c r="I21" s="578">
        <f t="shared" si="2"/>
        <v>151.6</v>
      </c>
      <c r="J21" s="579">
        <f t="shared" si="1"/>
        <v>843400.42</v>
      </c>
      <c r="M21" s="2"/>
      <c r="R21" s="860" t="s">
        <v>29</v>
      </c>
      <c r="S21" s="860"/>
      <c r="T21" s="891">
        <f t="shared" si="3"/>
        <v>25</v>
      </c>
      <c r="U21" s="891"/>
      <c r="V21" s="896">
        <v>1</v>
      </c>
      <c r="W21" s="896"/>
      <c r="X21" s="156">
        <f t="shared" si="4"/>
        <v>25</v>
      </c>
      <c r="Y21" s="266">
        <f t="shared" si="6"/>
        <v>139083.18</v>
      </c>
    </row>
    <row r="22" spans="1:25" ht="15" customHeight="1" x14ac:dyDescent="0.25">
      <c r="A22" s="861" t="s">
        <v>30</v>
      </c>
      <c r="B22" s="861"/>
      <c r="C22" s="415">
        <v>18.5</v>
      </c>
      <c r="D22" s="415">
        <v>0</v>
      </c>
      <c r="E22" s="967">
        <f t="shared" si="0"/>
        <v>37</v>
      </c>
      <c r="F22" s="967"/>
      <c r="G22" s="968">
        <v>6.0640000000000001</v>
      </c>
      <c r="H22" s="968"/>
      <c r="I22" s="578">
        <f t="shared" si="2"/>
        <v>224.36799999999999</v>
      </c>
      <c r="J22" s="579">
        <f t="shared" si="1"/>
        <v>1248232.6200000001</v>
      </c>
      <c r="M22" s="2"/>
      <c r="R22" s="860" t="s">
        <v>30</v>
      </c>
      <c r="S22" s="860"/>
      <c r="T22" s="891">
        <f t="shared" si="3"/>
        <v>37</v>
      </c>
      <c r="U22" s="891"/>
      <c r="V22" s="896">
        <v>1</v>
      </c>
      <c r="W22" s="896"/>
      <c r="X22" s="156">
        <f t="shared" si="4"/>
        <v>37</v>
      </c>
      <c r="Y22" s="266">
        <f t="shared" si="6"/>
        <v>205843.11</v>
      </c>
    </row>
    <row r="23" spans="1:25" ht="15" customHeight="1" x14ac:dyDescent="0.25">
      <c r="A23" s="861" t="s">
        <v>31</v>
      </c>
      <c r="B23" s="861"/>
      <c r="C23" s="415">
        <v>12.5</v>
      </c>
      <c r="D23" s="415">
        <v>0</v>
      </c>
      <c r="E23" s="967">
        <f t="shared" si="0"/>
        <v>25</v>
      </c>
      <c r="F23" s="967"/>
      <c r="G23" s="968">
        <v>6.0640000000000001</v>
      </c>
      <c r="H23" s="968"/>
      <c r="I23" s="578">
        <f t="shared" si="2"/>
        <v>151.6</v>
      </c>
      <c r="J23" s="579">
        <f t="shared" si="1"/>
        <v>843400.42</v>
      </c>
      <c r="M23" s="2"/>
      <c r="R23" s="860" t="s">
        <v>31</v>
      </c>
      <c r="S23" s="860"/>
      <c r="T23" s="891">
        <f t="shared" si="3"/>
        <v>25</v>
      </c>
      <c r="U23" s="891"/>
      <c r="V23" s="896">
        <v>1</v>
      </c>
      <c r="W23" s="896"/>
      <c r="X23" s="156">
        <f t="shared" si="4"/>
        <v>25</v>
      </c>
      <c r="Y23" s="266">
        <f t="shared" si="6"/>
        <v>139083.18</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190.65</v>
      </c>
      <c r="D28" s="126">
        <f>SUM(D12:D27)</f>
        <v>0</v>
      </c>
      <c r="E28" s="966">
        <f>SUM(E12:E27)</f>
        <v>381.3</v>
      </c>
      <c r="F28" s="966"/>
      <c r="G28" s="961"/>
      <c r="H28" s="961"/>
      <c r="I28" s="23">
        <f>SUM(I12:I27)</f>
        <v>1370.1895999999999</v>
      </c>
      <c r="J28" s="127">
        <f>SUM(J12:J27)</f>
        <v>7622813.21</v>
      </c>
      <c r="M28" s="2"/>
      <c r="R28" s="907" t="s">
        <v>36</v>
      </c>
      <c r="S28" s="907"/>
      <c r="T28" s="908">
        <f>SUM(T12:T27)</f>
        <v>381.3</v>
      </c>
      <c r="U28" s="908"/>
      <c r="V28" s="909"/>
      <c r="W28" s="909"/>
      <c r="X28" s="158">
        <f>SUM(X12:X27)</f>
        <v>381.3</v>
      </c>
      <c r="Y28" s="266">
        <f>SUM(Y12:Y27)</f>
        <v>2121296.6900000004</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1370.1895999999999</v>
      </c>
      <c r="H33" s="961" t="s">
        <v>45</v>
      </c>
      <c r="I33" s="961"/>
      <c r="J33" s="32">
        <f>SUM(J32,J28)</f>
        <v>7622813.21</v>
      </c>
      <c r="M33" s="2"/>
      <c r="R33" s="911" t="s">
        <v>44</v>
      </c>
      <c r="S33" s="911"/>
      <c r="T33" s="911"/>
      <c r="U33" s="911"/>
      <c r="V33" s="164" t="e">
        <f>V32+X28</f>
        <v>#REF!</v>
      </c>
      <c r="W33" s="909" t="s">
        <v>45</v>
      </c>
      <c r="X33" s="909"/>
      <c r="Y33" s="165">
        <f>SUM(Y32,Y28)</f>
        <v>2121296.6900000004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6953040.9000000004</v>
      </c>
      <c r="H36" s="223" t="s">
        <v>49</v>
      </c>
      <c r="I36" s="38">
        <v>6.6699999999999995E-2</v>
      </c>
      <c r="J36" s="131">
        <f>ROUND(G36*I36,2)</f>
        <v>463767.83</v>
      </c>
      <c r="K36" s="39"/>
      <c r="L36" s="233"/>
      <c r="M36" s="233"/>
      <c r="N36" s="233"/>
      <c r="O36" s="31"/>
      <c r="P36" s="232"/>
      <c r="Q36" s="232"/>
      <c r="R36" s="860" t="s">
        <v>47</v>
      </c>
      <c r="S36" s="860"/>
      <c r="T36" s="860"/>
      <c r="U36" s="253"/>
      <c r="V36" s="172">
        <v>2119627.7000000002</v>
      </c>
      <c r="W36" s="239" t="s">
        <v>49</v>
      </c>
      <c r="X36" s="174">
        <v>6.6699999999999995E-2</v>
      </c>
      <c r="Y36" s="266">
        <f>J36</f>
        <v>463767.83</v>
      </c>
    </row>
    <row r="37" spans="1:25" ht="20.25" customHeight="1" x14ac:dyDescent="0.25">
      <c r="A37" s="861" t="s">
        <v>50</v>
      </c>
      <c r="B37" s="861"/>
      <c r="C37" s="861"/>
      <c r="D37" s="861"/>
      <c r="E37" s="861"/>
      <c r="F37" s="248" t="s">
        <v>48</v>
      </c>
      <c r="G37" s="132">
        <v>6953040.9000000004</v>
      </c>
      <c r="H37" s="223" t="s">
        <v>49</v>
      </c>
      <c r="I37" s="38">
        <v>5.4000000000000003E-3</v>
      </c>
      <c r="J37" s="131">
        <f>ROUND(G37*I37,2)</f>
        <v>37546.42</v>
      </c>
      <c r="K37" s="39"/>
      <c r="L37" s="233"/>
      <c r="M37" s="233"/>
      <c r="N37" s="233"/>
      <c r="O37" s="31"/>
      <c r="P37" s="232"/>
      <c r="Q37" s="232"/>
      <c r="R37" s="860" t="s">
        <v>50</v>
      </c>
      <c r="S37" s="860"/>
      <c r="T37" s="860"/>
      <c r="U37" s="253"/>
      <c r="V37" s="172">
        <v>2119627.7000000002</v>
      </c>
      <c r="W37" s="239" t="s">
        <v>49</v>
      </c>
      <c r="X37" s="174">
        <v>5.4000000000000003E-3</v>
      </c>
      <c r="Y37" s="266">
        <f>J37</f>
        <v>37546.42</v>
      </c>
    </row>
    <row r="38" spans="1:25" ht="20.25" customHeight="1" x14ac:dyDescent="0.25">
      <c r="A38" s="898" t="s">
        <v>51</v>
      </c>
      <c r="B38" s="898"/>
      <c r="C38" s="898"/>
      <c r="D38" s="898"/>
      <c r="E38" s="898"/>
      <c r="F38" s="248" t="s">
        <v>52</v>
      </c>
      <c r="G38" s="40"/>
      <c r="H38" s="223"/>
      <c r="I38" s="41"/>
      <c r="J38" s="131">
        <f>SUM(J36:J37)</f>
        <v>501314.25</v>
      </c>
      <c r="K38" s="39"/>
      <c r="L38" s="233"/>
      <c r="M38" s="233"/>
      <c r="N38" s="233"/>
      <c r="O38" s="31"/>
      <c r="P38" s="232"/>
      <c r="Q38" s="232"/>
      <c r="R38" s="862" t="s">
        <v>51</v>
      </c>
      <c r="S38" s="862"/>
      <c r="T38" s="862"/>
      <c r="U38" s="253" t="s">
        <v>52</v>
      </c>
      <c r="V38" s="175"/>
      <c r="W38" s="239"/>
      <c r="X38" s="176"/>
      <c r="Y38" s="266">
        <f>Y36+Y37</f>
        <v>501314.25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0.83</v>
      </c>
      <c r="D41" s="415">
        <v>0</v>
      </c>
      <c r="E41" s="954">
        <f t="shared" ref="E41:E49" si="7">IF($D$50=0,C41*2,C41+D41)</f>
        <v>1.66</v>
      </c>
      <c r="F41" s="954"/>
      <c r="G41" s="223" t="s">
        <v>59</v>
      </c>
      <c r="H41" s="223">
        <v>251</v>
      </c>
      <c r="I41" s="136">
        <f>INDEX('[1]111-112-113 ADDITIONAL FUND'!D$1:D$65536,MATCH($A$1,'[1]111-112-113 ADDITIONAL FUND'!A$1:A$65536))</f>
        <v>1047</v>
      </c>
      <c r="J41" s="137">
        <f t="shared" ref="J41:J49" si="8">ROUND(E41*I41,2)</f>
        <v>1738.02</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137">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6.67</v>
      </c>
      <c r="D43" s="415">
        <v>0</v>
      </c>
      <c r="E43" s="954">
        <f t="shared" si="7"/>
        <v>13.34</v>
      </c>
      <c r="F43" s="954"/>
      <c r="G43" s="223" t="s">
        <v>59</v>
      </c>
      <c r="H43" s="223">
        <v>253</v>
      </c>
      <c r="I43" s="136">
        <f>INDEX('[1]111-112-113 ADDITIONAL FUND'!F$1:F$65536,MATCH($A$1,'[1]111-112-113 ADDITIONAL FUND'!A$1:A$65536))</f>
        <v>6896</v>
      </c>
      <c r="J43" s="137">
        <f t="shared" si="8"/>
        <v>91992.639999999999</v>
      </c>
      <c r="M43" s="2"/>
      <c r="R43" s="903"/>
      <c r="S43" s="903"/>
      <c r="T43" s="905"/>
      <c r="U43" s="905"/>
      <c r="V43" s="239" t="s">
        <v>59</v>
      </c>
      <c r="W43" s="239">
        <v>253</v>
      </c>
      <c r="X43" s="134">
        <f t="shared" si="9"/>
        <v>6896</v>
      </c>
      <c r="Y43" s="269">
        <f t="shared" si="10"/>
        <v>0</v>
      </c>
    </row>
    <row r="44" spans="1:25" x14ac:dyDescent="0.25">
      <c r="A44" s="960"/>
      <c r="B44" s="960"/>
      <c r="C44" s="415">
        <v>0</v>
      </c>
      <c r="D44" s="415">
        <v>0</v>
      </c>
      <c r="E44" s="954">
        <f t="shared" si="7"/>
        <v>0</v>
      </c>
      <c r="F44" s="954"/>
      <c r="G44" s="47" t="s">
        <v>60</v>
      </c>
      <c r="H44" s="223">
        <v>251</v>
      </c>
      <c r="I44" s="136">
        <f>INDEX('[1]111-112-113 ADDITIONAL FUND'!G$1:G$65536,MATCH($A$1,'[1]111-112-113 ADDITIONAL FUND'!A$1:A$65536))</f>
        <v>1173</v>
      </c>
      <c r="J44" s="13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137">
        <f t="shared" si="8"/>
        <v>0</v>
      </c>
      <c r="M45" s="2"/>
      <c r="R45" s="903"/>
      <c r="S45" s="903"/>
      <c r="T45" s="905"/>
      <c r="U45" s="905"/>
      <c r="V45" s="182" t="s">
        <v>60</v>
      </c>
      <c r="W45" s="239">
        <v>252</v>
      </c>
      <c r="X45" s="134">
        <f t="shared" si="9"/>
        <v>3506</v>
      </c>
      <c r="Y45" s="269">
        <f t="shared" si="10"/>
        <v>0</v>
      </c>
    </row>
    <row r="46" spans="1:25" x14ac:dyDescent="0.25">
      <c r="A46" s="960"/>
      <c r="B46" s="960"/>
      <c r="C46" s="415">
        <v>11</v>
      </c>
      <c r="D46" s="415">
        <v>0</v>
      </c>
      <c r="E46" s="954">
        <f t="shared" si="7"/>
        <v>22</v>
      </c>
      <c r="F46" s="954"/>
      <c r="G46" s="47" t="s">
        <v>60</v>
      </c>
      <c r="H46" s="223">
        <v>253</v>
      </c>
      <c r="I46" s="136">
        <f>INDEX('[1]111-112-113 ADDITIONAL FUND'!I$1:I$65536,MATCH($A$1,'[1]111-112-113 ADDITIONAL FUND'!A$1:A$65536))</f>
        <v>7023</v>
      </c>
      <c r="J46" s="137">
        <f t="shared" si="8"/>
        <v>154506</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13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2.99</v>
      </c>
      <c r="D48" s="415">
        <v>0</v>
      </c>
      <c r="E48" s="954">
        <f t="shared" si="7"/>
        <v>5.98</v>
      </c>
      <c r="F48" s="954"/>
      <c r="G48" s="47" t="s">
        <v>61</v>
      </c>
      <c r="H48" s="223">
        <v>252</v>
      </c>
      <c r="I48" s="136">
        <f>INDEX('[1]111-112-113 ADDITIONAL FUND'!K$1:K$65536,MATCH($A$1,'[1]111-112-113 ADDITIONAL FUND'!A$1:A$65536))</f>
        <v>3168</v>
      </c>
      <c r="J48" s="137">
        <f t="shared" si="8"/>
        <v>18944.64</v>
      </c>
      <c r="M48" s="2"/>
      <c r="R48" s="903"/>
      <c r="S48" s="903"/>
      <c r="T48" s="905"/>
      <c r="U48" s="905"/>
      <c r="V48" s="182" t="s">
        <v>61</v>
      </c>
      <c r="W48" s="239">
        <v>252</v>
      </c>
      <c r="X48" s="134">
        <f t="shared" si="9"/>
        <v>3168</v>
      </c>
      <c r="Y48" s="269">
        <f t="shared" si="10"/>
        <v>0</v>
      </c>
    </row>
    <row r="49" spans="1:25" ht="15.75" customHeight="1" thickBot="1" x14ac:dyDescent="0.3">
      <c r="A49" s="960"/>
      <c r="B49" s="960"/>
      <c r="C49" s="415">
        <v>20.16</v>
      </c>
      <c r="D49" s="415">
        <v>0</v>
      </c>
      <c r="E49" s="955">
        <f t="shared" si="7"/>
        <v>40.32</v>
      </c>
      <c r="F49" s="955"/>
      <c r="G49" s="47" t="s">
        <v>61</v>
      </c>
      <c r="H49" s="223">
        <v>253</v>
      </c>
      <c r="I49" s="136">
        <f>INDEX('[1]111-112-113 ADDITIONAL FUND'!L$1:L$65536,MATCH($A$1,'[1]111-112-113 ADDITIONAL FUND'!A$1:A$65536))</f>
        <v>6685</v>
      </c>
      <c r="J49" s="137">
        <f t="shared" si="8"/>
        <v>269539.20000000001</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41.650000000000006</v>
      </c>
      <c r="D50" s="585">
        <f>SUM(D41:D49)</f>
        <v>0</v>
      </c>
      <c r="E50" s="956">
        <f>SUM(E41:E49)</f>
        <v>83.300000000000011</v>
      </c>
      <c r="F50" s="956"/>
      <c r="G50" s="912" t="s">
        <v>63</v>
      </c>
      <c r="H50" s="912"/>
      <c r="I50" s="912"/>
      <c r="J50" s="276">
        <f>SUM(J41:J49)</f>
        <v>536720.5</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381.3</v>
      </c>
      <c r="U52" s="184" t="s">
        <v>66</v>
      </c>
      <c r="V52" s="185"/>
      <c r="W52" s="186" t="s">
        <v>67</v>
      </c>
      <c r="X52" s="919">
        <f>I53</f>
        <v>207782.75</v>
      </c>
      <c r="Y52" s="919"/>
    </row>
    <row r="53" spans="1:25" ht="16.5" customHeight="1" x14ac:dyDescent="0.25">
      <c r="A53" s="899" t="s">
        <v>65</v>
      </c>
      <c r="B53" s="899"/>
      <c r="C53" s="237"/>
      <c r="D53" s="237"/>
      <c r="E53" s="48">
        <f>E28</f>
        <v>381.3</v>
      </c>
      <c r="F53" s="49" t="s">
        <v>66</v>
      </c>
      <c r="G53" s="3"/>
      <c r="H53" s="50" t="s">
        <v>67</v>
      </c>
      <c r="I53" s="994">
        <f>'0040'!I53</f>
        <v>207782.75</v>
      </c>
      <c r="J53" s="994"/>
      <c r="M53" s="2"/>
      <c r="R53" s="255"/>
      <c r="S53" s="243"/>
      <c r="T53" s="170"/>
      <c r="U53" s="170"/>
      <c r="V53" s="170"/>
      <c r="W53" s="189" t="s">
        <v>68</v>
      </c>
      <c r="X53" s="920">
        <f>ROUND(T52/X52,6)</f>
        <v>1.835E-3</v>
      </c>
      <c r="Y53" s="920"/>
    </row>
    <row r="54" spans="1:25" ht="22.5" customHeight="1" x14ac:dyDescent="0.25">
      <c r="A54" s="237"/>
      <c r="B54" s="230"/>
      <c r="C54" s="230"/>
      <c r="D54" s="230"/>
      <c r="H54" s="53" t="s">
        <v>68</v>
      </c>
      <c r="I54" s="945">
        <f>IFERROR(ROUND(E53/I53,6),0)</f>
        <v>1.835E-3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381.3</v>
      </c>
      <c r="U55" s="184" t="s">
        <v>66</v>
      </c>
      <c r="V55" s="185"/>
      <c r="W55" s="186" t="s">
        <v>71</v>
      </c>
      <c r="X55" s="919">
        <f>I56</f>
        <v>221179.83999999997</v>
      </c>
      <c r="Y55" s="919"/>
    </row>
    <row r="56" spans="1:25" ht="16.5" customHeight="1" x14ac:dyDescent="0.25">
      <c r="A56" s="899" t="s">
        <v>70</v>
      </c>
      <c r="B56" s="899"/>
      <c r="C56" s="237"/>
      <c r="D56" s="237"/>
      <c r="E56" s="48">
        <f>G33</f>
        <v>1370.1895999999999</v>
      </c>
      <c r="F56" s="49" t="s">
        <v>66</v>
      </c>
      <c r="G56" s="3"/>
      <c r="H56" s="50" t="s">
        <v>71</v>
      </c>
      <c r="I56" s="994">
        <f>'0040'!I56</f>
        <v>221179.83999999997</v>
      </c>
      <c r="J56" s="994"/>
      <c r="M56" s="2"/>
      <c r="R56" s="255"/>
      <c r="S56" s="170"/>
      <c r="T56" s="170"/>
      <c r="U56" s="170"/>
      <c r="V56" s="170"/>
      <c r="W56" s="189" t="s">
        <v>68</v>
      </c>
      <c r="X56" s="920">
        <f>ROUND(T55/X55,6)</f>
        <v>1.7240000000000001E-3</v>
      </c>
      <c r="Y56" s="920"/>
    </row>
    <row r="57" spans="1:25" ht="18.75" customHeight="1" x14ac:dyDescent="0.25">
      <c r="A57" s="237"/>
      <c r="H57" s="53" t="s">
        <v>68</v>
      </c>
      <c r="I57" s="945">
        <f>IFERROR(ROUND(E56/I56,6),0)</f>
        <v>6.195E-3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381.3</v>
      </c>
      <c r="U58" s="184" t="s">
        <v>66</v>
      </c>
      <c r="V58" s="918" t="s">
        <v>74</v>
      </c>
      <c r="W58" s="918"/>
      <c r="X58" s="919">
        <f>I59</f>
        <v>178931.75</v>
      </c>
      <c r="Y58" s="919"/>
    </row>
    <row r="59" spans="1:25" ht="18.75" customHeight="1" x14ac:dyDescent="0.25">
      <c r="A59" s="899" t="s">
        <v>73</v>
      </c>
      <c r="B59" s="899"/>
      <c r="C59" s="237"/>
      <c r="D59" s="237"/>
      <c r="E59" s="48">
        <f>E28</f>
        <v>381.3</v>
      </c>
      <c r="F59" s="49" t="s">
        <v>66</v>
      </c>
      <c r="G59" s="990" t="s">
        <v>74</v>
      </c>
      <c r="H59" s="990"/>
      <c r="I59" s="994">
        <f>'0040'!I59</f>
        <v>178931.75</v>
      </c>
      <c r="J59" s="994"/>
      <c r="M59" s="2"/>
      <c r="R59" s="255"/>
      <c r="S59" s="170"/>
      <c r="T59" s="170"/>
      <c r="U59" s="170"/>
      <c r="V59" s="170"/>
      <c r="W59" s="189" t="s">
        <v>68</v>
      </c>
      <c r="X59" s="920">
        <f>ROUND(T58/X58,6)</f>
        <v>2.1310000000000001E-3</v>
      </c>
      <c r="Y59" s="920"/>
    </row>
    <row r="60" spans="1:25" ht="18" customHeight="1" x14ac:dyDescent="0.25">
      <c r="A60" s="237"/>
      <c r="H60" s="53" t="s">
        <v>68</v>
      </c>
      <c r="I60" s="945">
        <f>IFERROR(ROUND(E59/I59,6),0)</f>
        <v>2.1310000000000001E-3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381.3</v>
      </c>
      <c r="U61" s="184" t="s">
        <v>66</v>
      </c>
      <c r="V61" s="918" t="s">
        <v>76</v>
      </c>
      <c r="W61" s="918"/>
      <c r="X61" s="919">
        <f>I62</f>
        <v>207463.82</v>
      </c>
      <c r="Y61" s="919"/>
    </row>
    <row r="62" spans="1:25" ht="30.75" customHeight="1" x14ac:dyDescent="0.25">
      <c r="A62" s="899" t="s">
        <v>73</v>
      </c>
      <c r="B62" s="899"/>
      <c r="C62" s="237"/>
      <c r="D62" s="237"/>
      <c r="E62" s="48">
        <f>E28</f>
        <v>381.3</v>
      </c>
      <c r="F62" s="49" t="s">
        <v>66</v>
      </c>
      <c r="G62" s="990" t="s">
        <v>76</v>
      </c>
      <c r="H62" s="990"/>
      <c r="I62" s="994">
        <f>'0040'!I62</f>
        <v>207463.82</v>
      </c>
      <c r="J62" s="994"/>
      <c r="M62" s="2"/>
      <c r="R62" s="255"/>
      <c r="S62" s="170"/>
      <c r="T62" s="170"/>
      <c r="U62" s="170"/>
      <c r="V62" s="170"/>
      <c r="W62" s="189" t="s">
        <v>68</v>
      </c>
      <c r="X62" s="920">
        <f>ROUND(T61/X61,6)</f>
        <v>1.838E-3</v>
      </c>
      <c r="Y62" s="920"/>
    </row>
    <row r="63" spans="1:25" ht="19.5" customHeight="1" x14ac:dyDescent="0.25">
      <c r="A63" s="237"/>
      <c r="H63" s="53" t="s">
        <v>68</v>
      </c>
      <c r="I63" s="945">
        <f>IFERROR(ROUND(E62/I62,6),0)</f>
        <v>1.838E-3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381.3</v>
      </c>
      <c r="U64" s="184" t="s">
        <v>66</v>
      </c>
      <c r="V64" s="918" t="s">
        <v>161</v>
      </c>
      <c r="W64" s="918"/>
      <c r="X64" s="919">
        <f>I65</f>
        <v>178612.82</v>
      </c>
      <c r="Y64" s="919"/>
    </row>
    <row r="65" spans="1:26" ht="49.5" customHeight="1" x14ac:dyDescent="0.25">
      <c r="A65" s="899" t="s">
        <v>73</v>
      </c>
      <c r="B65" s="899"/>
      <c r="C65" s="237"/>
      <c r="D65" s="237"/>
      <c r="E65" s="48">
        <f>E28</f>
        <v>381.3</v>
      </c>
      <c r="F65" s="49" t="s">
        <v>66</v>
      </c>
      <c r="G65" s="990" t="s">
        <v>78</v>
      </c>
      <c r="H65" s="990"/>
      <c r="I65" s="994">
        <f>'0040'!I65</f>
        <v>178612.82</v>
      </c>
      <c r="J65" s="994"/>
      <c r="M65" s="2"/>
      <c r="R65" s="190"/>
      <c r="S65" s="170"/>
      <c r="T65" s="170"/>
      <c r="U65" s="170"/>
      <c r="V65" s="170"/>
      <c r="W65" s="189" t="s">
        <v>68</v>
      </c>
      <c r="X65" s="920">
        <f>ROUND(T64/X64,6)</f>
        <v>2.1350000000000002E-3</v>
      </c>
      <c r="Y65" s="920"/>
    </row>
    <row r="66" spans="1:26" ht="19.5" customHeight="1" x14ac:dyDescent="0.25">
      <c r="A66" s="237"/>
      <c r="H66" s="53" t="s">
        <v>68</v>
      </c>
      <c r="I66" s="945">
        <f>IFERROR(ROUND(E65/I65,6),0)</f>
        <v>2.1350000000000002E-3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1.838E-3</v>
      </c>
      <c r="Y67" s="271">
        <f>ROUND(V67*X67,2)</f>
        <v>83867.19</v>
      </c>
    </row>
    <row r="68" spans="1:26" ht="30.75" customHeight="1" x14ac:dyDescent="0.25">
      <c r="A68" s="946" t="s">
        <v>79</v>
      </c>
      <c r="B68" s="946"/>
      <c r="C68" s="946"/>
      <c r="D68" s="946"/>
      <c r="E68" s="946"/>
      <c r="F68" s="248" t="s">
        <v>80</v>
      </c>
      <c r="G68" s="277">
        <f>'0040'!G68</f>
        <v>45629593</v>
      </c>
      <c r="H68" s="223" t="s">
        <v>81</v>
      </c>
      <c r="I68" s="41">
        <f>I63</f>
        <v>1.838E-3</v>
      </c>
      <c r="J68" s="138">
        <f>ROUND(G68*I68,2)</f>
        <v>83867.19</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1.835E-3</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1.835E-3</v>
      </c>
      <c r="J70" s="138">
        <f>ROUND(G70*I70,2)</f>
        <v>0</v>
      </c>
      <c r="M70" s="2"/>
      <c r="R70" s="862" t="s">
        <v>163</v>
      </c>
      <c r="S70" s="862"/>
      <c r="T70" s="862"/>
      <c r="U70" s="253"/>
      <c r="V70" s="193">
        <f>G71</f>
        <v>18934058</v>
      </c>
      <c r="W70" s="239" t="s">
        <v>81</v>
      </c>
      <c r="X70" s="176">
        <f>X65</f>
        <v>2.1350000000000002E-3</v>
      </c>
      <c r="Y70" s="266">
        <f t="shared" si="11"/>
        <v>40424.21</v>
      </c>
    </row>
    <row r="71" spans="1:26" ht="19.5" customHeight="1" x14ac:dyDescent="0.25">
      <c r="A71" s="898" t="s">
        <v>85</v>
      </c>
      <c r="B71" s="898"/>
      <c r="C71" s="898"/>
      <c r="D71" s="898"/>
      <c r="E71" s="898"/>
      <c r="F71" s="248" t="s">
        <v>86</v>
      </c>
      <c r="G71" s="277">
        <f>'0040'!G71</f>
        <v>18934058</v>
      </c>
      <c r="H71" s="223" t="s">
        <v>81</v>
      </c>
      <c r="I71" s="41">
        <f>I66</f>
        <v>2.1350000000000002E-3</v>
      </c>
      <c r="J71" s="138">
        <f>ROUND(G71*I71,2)</f>
        <v>40424.21</v>
      </c>
      <c r="M71" s="2"/>
      <c r="R71" s="240" t="s">
        <v>164</v>
      </c>
      <c r="S71" s="240"/>
      <c r="T71" s="240"/>
      <c r="U71" s="253"/>
      <c r="V71" s="171">
        <f>G72</f>
        <v>11300012</v>
      </c>
      <c r="W71" s="239" t="s">
        <v>81</v>
      </c>
      <c r="X71" s="176">
        <f>X59</f>
        <v>2.1310000000000001E-3</v>
      </c>
      <c r="Y71" s="266">
        <f t="shared" si="11"/>
        <v>24080.33</v>
      </c>
    </row>
    <row r="72" spans="1:26" ht="19.5" customHeight="1" x14ac:dyDescent="0.25">
      <c r="A72" s="235" t="s">
        <v>87</v>
      </c>
      <c r="B72" s="235"/>
      <c r="C72" s="235"/>
      <c r="D72" s="235"/>
      <c r="E72" s="235"/>
      <c r="F72" s="248" t="s">
        <v>88</v>
      </c>
      <c r="G72" s="277">
        <f>'0040'!G72</f>
        <v>11300012</v>
      </c>
      <c r="H72" s="223" t="s">
        <v>81</v>
      </c>
      <c r="I72" s="41">
        <f>I60</f>
        <v>2.1310000000000001E-3</v>
      </c>
      <c r="J72" s="138">
        <f>ROUND(G72*I72,2)</f>
        <v>24080.33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8" t="s">
        <v>101</v>
      </c>
      <c r="B84" s="868"/>
      <c r="C84" s="868"/>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6.195E-3</v>
      </c>
      <c r="J85" s="138">
        <f>ROUND(G85*I85,2)</f>
        <v>1665316.84</v>
      </c>
      <c r="K85" s="70"/>
      <c r="L85" s="70"/>
      <c r="M85" s="71"/>
      <c r="N85" s="70"/>
      <c r="O85" s="70"/>
      <c r="P85" s="70"/>
      <c r="Q85" s="70"/>
      <c r="R85" s="862" t="s">
        <v>168</v>
      </c>
      <c r="S85" s="862"/>
      <c r="T85" s="862"/>
      <c r="U85" s="253"/>
      <c r="V85" s="171">
        <f>G85</f>
        <v>268816278</v>
      </c>
      <c r="W85" s="239" t="s">
        <v>81</v>
      </c>
      <c r="X85" s="176">
        <f>X56</f>
        <v>1.7240000000000001E-3</v>
      </c>
      <c r="Y85" s="266">
        <f t="shared" ref="Y85:Y87" si="12">ROUND(V85*X85,2)</f>
        <v>463439.26</v>
      </c>
    </row>
    <row r="86" spans="1:26" ht="14.25" customHeight="1" x14ac:dyDescent="0.25">
      <c r="A86" s="898" t="s">
        <v>104</v>
      </c>
      <c r="B86" s="898"/>
      <c r="C86" s="898"/>
      <c r="D86" s="898"/>
      <c r="E86" s="898"/>
      <c r="F86" s="248" t="s">
        <v>103</v>
      </c>
      <c r="G86" s="139">
        <v>0</v>
      </c>
      <c r="H86" s="223" t="s">
        <v>81</v>
      </c>
      <c r="I86" s="41">
        <f>I57</f>
        <v>6.195E-3</v>
      </c>
      <c r="J86" s="138">
        <f>ROUND(G86*I86,2)</f>
        <v>0</v>
      </c>
      <c r="K86" s="70"/>
      <c r="L86" s="71"/>
      <c r="M86" s="76"/>
      <c r="N86" s="76"/>
      <c r="O86" s="76"/>
      <c r="P86" s="76"/>
      <c r="Q86" s="70"/>
      <c r="R86" s="862" t="s">
        <v>169</v>
      </c>
      <c r="S86" s="862"/>
      <c r="T86" s="862"/>
      <c r="U86" s="253"/>
      <c r="V86" s="203">
        <f>G86</f>
        <v>0</v>
      </c>
      <c r="W86" s="239" t="s">
        <v>81</v>
      </c>
      <c r="X86" s="176">
        <f>X56</f>
        <v>1.7240000000000001E-3</v>
      </c>
      <c r="Y86" s="266">
        <f t="shared" si="12"/>
        <v>0</v>
      </c>
    </row>
    <row r="87" spans="1:26" ht="18" customHeight="1" x14ac:dyDescent="0.25">
      <c r="A87" s="898" t="s">
        <v>105</v>
      </c>
      <c r="B87" s="898"/>
      <c r="C87" s="898"/>
      <c r="D87" s="898"/>
      <c r="E87" s="898"/>
      <c r="F87" s="248" t="s">
        <v>84</v>
      </c>
      <c r="G87" s="139">
        <v>0</v>
      </c>
      <c r="H87" s="223" t="s">
        <v>81</v>
      </c>
      <c r="I87" s="41">
        <f>I54</f>
        <v>1.835E-3</v>
      </c>
      <c r="J87" s="62">
        <f>ROUND(G87*I87,2)</f>
        <v>0</v>
      </c>
      <c r="K87" s="77"/>
      <c r="L87" s="70"/>
      <c r="M87" s="71"/>
      <c r="N87" s="70"/>
      <c r="O87" s="70"/>
      <c r="P87" s="70"/>
      <c r="Q87" s="70"/>
      <c r="R87" s="240" t="s">
        <v>170</v>
      </c>
      <c r="S87" s="240"/>
      <c r="T87" s="240"/>
      <c r="U87" s="253"/>
      <c r="V87" s="203">
        <f>G87</f>
        <v>0</v>
      </c>
      <c r="W87" s="239" t="s">
        <v>81</v>
      </c>
      <c r="X87" s="176">
        <f>X53</f>
        <v>1.835E-3</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476.09299999999996</v>
      </c>
      <c r="C90" s="245"/>
      <c r="D90" s="869">
        <f>I6</f>
        <v>1.0355000000000001</v>
      </c>
      <c r="E90" s="869"/>
      <c r="F90" s="869"/>
      <c r="G90" s="122">
        <f>'[1]Detail 2025-26 FEFP Second'!AB3</f>
        <v>958.42</v>
      </c>
      <c r="H90" s="47" t="s">
        <v>68</v>
      </c>
      <c r="I90" s="141">
        <f>ROUND(B90*D90*G90,2)</f>
        <v>472495.6</v>
      </c>
      <c r="J90" s="81"/>
      <c r="K90" s="70"/>
      <c r="L90" s="70"/>
      <c r="M90" s="71"/>
      <c r="N90" s="70"/>
      <c r="O90" s="70"/>
      <c r="P90" s="70"/>
      <c r="Q90" s="70"/>
      <c r="R90" s="238" t="s">
        <v>110</v>
      </c>
      <c r="S90" s="251">
        <f>X12+X13+X18+X21+X24</f>
        <v>126</v>
      </c>
      <c r="T90" s="924">
        <f>X6</f>
        <v>1.0355000000000001</v>
      </c>
      <c r="U90" s="924"/>
      <c r="V90" s="122">
        <f>G90</f>
        <v>958.42</v>
      </c>
      <c r="W90" s="182" t="s">
        <v>68</v>
      </c>
      <c r="X90" s="272">
        <f>ROUND(S90*T90*V90,2)</f>
        <v>125047.93</v>
      </c>
      <c r="Y90" s="205"/>
    </row>
    <row r="91" spans="1:26" ht="21" customHeight="1" x14ac:dyDescent="0.25">
      <c r="A91" s="82" t="s">
        <v>60</v>
      </c>
      <c r="B91" s="245">
        <f>I14+I15+I19+I22+I25</f>
        <v>462.90800000000002</v>
      </c>
      <c r="C91" s="245"/>
      <c r="D91" s="869">
        <f>I6</f>
        <v>1.0355000000000001</v>
      </c>
      <c r="E91" s="869"/>
      <c r="F91" s="869"/>
      <c r="G91" s="122">
        <f>'[1]Detail 2025-26 FEFP Second'!AC3</f>
        <v>915.09</v>
      </c>
      <c r="H91" s="47" t="s">
        <v>68</v>
      </c>
      <c r="I91" s="140">
        <f>ROUND(B91*D91*G91,2)</f>
        <v>438640.37</v>
      </c>
      <c r="K91" s="70"/>
      <c r="L91" s="70"/>
      <c r="M91" s="71"/>
      <c r="N91" s="70"/>
      <c r="O91" s="70"/>
      <c r="P91" s="70"/>
      <c r="Q91" s="70"/>
      <c r="R91" s="206" t="s">
        <v>60</v>
      </c>
      <c r="S91" s="251">
        <f>X14+X15+X19+X22+X25</f>
        <v>119</v>
      </c>
      <c r="T91" s="924">
        <f>X6</f>
        <v>1.0355000000000001</v>
      </c>
      <c r="U91" s="924"/>
      <c r="V91" s="122">
        <f>G91</f>
        <v>915.09</v>
      </c>
      <c r="W91" s="182" t="s">
        <v>68</v>
      </c>
      <c r="X91" s="272">
        <f>ROUND(S91*T91*V91,2)</f>
        <v>112761.51</v>
      </c>
      <c r="Y91" s="170"/>
    </row>
    <row r="92" spans="1:26" ht="19.5" customHeight="1" thickBot="1" x14ac:dyDescent="0.3">
      <c r="A92" s="83" t="s">
        <v>61</v>
      </c>
      <c r="B92" s="109">
        <f>I16+I17+I20+I23+I26+I27</f>
        <v>431.18859999999995</v>
      </c>
      <c r="C92" s="109"/>
      <c r="D92" s="869">
        <f>I6</f>
        <v>1.0355000000000001</v>
      </c>
      <c r="E92" s="869"/>
      <c r="F92" s="869"/>
      <c r="G92" s="122">
        <f>'[1]Detail 2025-26 FEFP Second'!AD3</f>
        <v>917.3</v>
      </c>
      <c r="H92" s="47" t="s">
        <v>68</v>
      </c>
      <c r="I92" s="575">
        <f>ROUND(B92*D92*G92,2)</f>
        <v>409570.59</v>
      </c>
      <c r="K92" s="70"/>
      <c r="L92" s="70"/>
      <c r="M92" s="71"/>
      <c r="N92" s="70"/>
      <c r="O92" s="70"/>
      <c r="P92" s="70"/>
      <c r="Q92" s="70"/>
      <c r="R92" s="207" t="s">
        <v>61</v>
      </c>
      <c r="S92" s="208">
        <f>X16+X17+X20+X23+X26+X27</f>
        <v>136.30000000000001</v>
      </c>
      <c r="T92" s="924">
        <f>X6</f>
        <v>1.0355000000000001</v>
      </c>
      <c r="U92" s="924"/>
      <c r="V92" s="122">
        <f>G92</f>
        <v>917.3</v>
      </c>
      <c r="W92" s="182" t="s">
        <v>68</v>
      </c>
      <c r="X92" s="272">
        <f>ROUND(S92*T92*V92,2)</f>
        <v>129466.48</v>
      </c>
      <c r="Y92" s="170"/>
    </row>
    <row r="93" spans="1:26" ht="18.75" customHeight="1" thickBot="1" x14ac:dyDescent="0.3">
      <c r="A93" s="247" t="s">
        <v>111</v>
      </c>
      <c r="B93" s="109">
        <f>SUM(B90:B92)</f>
        <v>1370.1895999999999</v>
      </c>
      <c r="C93" s="109"/>
      <c r="D93" s="109"/>
      <c r="E93" s="939" t="s">
        <v>112</v>
      </c>
      <c r="F93" s="939"/>
      <c r="G93" s="939"/>
      <c r="H93" s="939"/>
      <c r="I93" s="939"/>
      <c r="J93" s="127">
        <f>IF(A1=75,0,I92+I91+I90)</f>
        <v>1320706.5600000001</v>
      </c>
      <c r="K93" s="70"/>
      <c r="L93" s="70"/>
      <c r="M93" s="71"/>
      <c r="N93" s="70"/>
      <c r="O93" s="70"/>
      <c r="P93" s="70"/>
      <c r="Q93" s="70"/>
      <c r="R93" s="252" t="s">
        <v>111</v>
      </c>
      <c r="S93" s="210">
        <f>SUM(S90:S92)</f>
        <v>381.3</v>
      </c>
      <c r="T93" s="925" t="s">
        <v>112</v>
      </c>
      <c r="U93" s="926"/>
      <c r="V93" s="926"/>
      <c r="W93" s="926"/>
      <c r="X93" s="926"/>
      <c r="Y93" s="266">
        <f>IF(R1=75,0,X92+X91+X90)</f>
        <v>367275.92</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88">
        <f>(C97+D97)</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f>
        <v>0</v>
      </c>
      <c r="F98" s="942"/>
      <c r="G98" s="942"/>
      <c r="H98" s="224" t="s">
        <v>117</v>
      </c>
      <c r="I98" s="130">
        <f>'0040'!I98</f>
        <v>1811</v>
      </c>
      <c r="J98" s="138">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11293928.84</v>
      </c>
      <c r="L107" s="576"/>
      <c r="R107" s="862" t="s">
        <v>125</v>
      </c>
      <c r="S107" s="862"/>
      <c r="T107" s="862"/>
      <c r="U107" s="862"/>
      <c r="V107" s="862"/>
      <c r="W107" s="862"/>
      <c r="X107" s="862"/>
      <c r="Y107" s="723">
        <f>SUM(Y106,Y105,Y97,Y96,Y93,Y86,Y85,Y84,Y70,Y69,Y67,Y33,Y71,Y50,Y87,Y83)</f>
        <v>3100383.6000000006</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10792614.59</v>
      </c>
      <c r="R109" s="170" t="s">
        <v>176</v>
      </c>
      <c r="S109" s="170"/>
      <c r="T109" s="170"/>
      <c r="U109" s="170"/>
      <c r="V109" s="170"/>
      <c r="W109" s="170"/>
      <c r="X109" s="170"/>
      <c r="Y109" s="724">
        <f>Y107-Y38</f>
        <v>2599069.3500000006</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4">
        <v>1</v>
      </c>
      <c r="J111" s="137">
        <f>Y109</f>
        <v>2599069.3500000006</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602"/>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10">
        <f>IF(I111=1,J111,J109)</f>
        <v>2599069.3500000006</v>
      </c>
      <c r="J114" s="711">
        <f>ROUND(IF(E28=0,0,IF(E28&gt;250,-(((250/E28)*I114)*IF(H113="H",0.02,0.05)),IF(H113="H",-0.02*I114,-0.05*I114))),2)</f>
        <v>-85204.21</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11208724.629999999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Payments'!R82</f>
        <v>-6164352.5999999996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5044372.0299999993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1008874.41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ROUND(IF(H113="H",(I114*0.02)+J114,(I114*0.05)+J114),2)</f>
        <v>44749.26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F6DC-1D29-487E-ADA6-EBA8BC888E02}">
  <dimension ref="A1:Z207"/>
  <sheetViews>
    <sheetView topLeftCell="A101" workbookViewId="0">
      <selection activeCell="A52" sqref="A52:J52"/>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442</v>
      </c>
      <c r="B2" s="102"/>
      <c r="C2" s="102"/>
      <c r="D2" s="102"/>
      <c r="E2" s="100"/>
      <c r="F2" s="100"/>
      <c r="G2" s="100"/>
      <c r="H2" s="100"/>
      <c r="I2" s="100"/>
      <c r="J2" s="100"/>
      <c r="K2" s="6"/>
      <c r="L2" s="6"/>
      <c r="M2" s="6"/>
      <c r="N2" s="6"/>
      <c r="O2" s="6"/>
      <c r="P2" s="6"/>
      <c r="Q2" s="6"/>
      <c r="R2" s="875" t="str">
        <f>Revenue_Estimate_Worksheet_for___________Charter_School</f>
        <v>Revenue Estimate Worksheet: The Learning Academy at The Els Center of Excellence - 3083</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Second'!$C$1:$C$65536,MATCH('3083'!$A$1,'[1]Detail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Second'!$D$1:$D$65536,MATCH('3083'!$A$1,'[1]Detail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1</v>
      </c>
      <c r="D13" s="415">
        <v>0</v>
      </c>
      <c r="E13" s="967">
        <f t="shared" si="0"/>
        <v>2</v>
      </c>
      <c r="F13" s="967"/>
      <c r="G13" s="968">
        <v>1.1080000000000001</v>
      </c>
      <c r="H13" s="968"/>
      <c r="I13" s="578">
        <f t="shared" ref="I13:I27" si="2">ROUND(E13*G13,4)</f>
        <v>2.2160000000000002</v>
      </c>
      <c r="J13" s="579">
        <f t="shared" si="1"/>
        <v>12328.33</v>
      </c>
      <c r="L13" s="21"/>
      <c r="M13" s="2"/>
      <c r="R13" s="860" t="s">
        <v>21</v>
      </c>
      <c r="S13" s="860"/>
      <c r="T13" s="891">
        <f t="shared" ref="T13:T27" si="3">IF($I$111=1,E13,0)</f>
        <v>2</v>
      </c>
      <c r="U13" s="891"/>
      <c r="V13" s="896">
        <v>1</v>
      </c>
      <c r="W13" s="896"/>
      <c r="X13" s="156">
        <f t="shared" ref="X13:X27" si="4">ROUND(T13*V13,4)</f>
        <v>2</v>
      </c>
      <c r="Y13" s="266">
        <f t="shared" ref="Y13" si="5">ROUND(ROUND(ROUND(X13*$E$6,4)*($I$6),2)*(MAX($I$7,1)),2)</f>
        <v>11126.65</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0.5</v>
      </c>
      <c r="D15" s="415">
        <v>0</v>
      </c>
      <c r="E15" s="967">
        <f t="shared" si="0"/>
        <v>1</v>
      </c>
      <c r="F15" s="967"/>
      <c r="G15" s="968">
        <v>1</v>
      </c>
      <c r="H15" s="968"/>
      <c r="I15" s="578">
        <f t="shared" si="2"/>
        <v>1</v>
      </c>
      <c r="J15" s="579">
        <f t="shared" si="1"/>
        <v>5563.33</v>
      </c>
      <c r="M15" s="2"/>
      <c r="R15" s="860" t="s">
        <v>23</v>
      </c>
      <c r="S15" s="860"/>
      <c r="T15" s="891">
        <f t="shared" si="3"/>
        <v>1</v>
      </c>
      <c r="U15" s="891"/>
      <c r="V15" s="896">
        <v>1</v>
      </c>
      <c r="W15" s="896"/>
      <c r="X15" s="156">
        <f t="shared" si="4"/>
        <v>1</v>
      </c>
      <c r="Y15" s="266">
        <f t="shared" ref="Y15:Y27" si="6">ROUND(ROUND(ROUND(X15*$E$6,4)*($I$6),2)*(MAX($I$7,1)),2)</f>
        <v>5563.33</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5</v>
      </c>
      <c r="D17" s="415">
        <v>0</v>
      </c>
      <c r="E17" s="967">
        <f t="shared" si="0"/>
        <v>10</v>
      </c>
      <c r="F17" s="967"/>
      <c r="G17" s="968">
        <v>0.97199999999999998</v>
      </c>
      <c r="H17" s="968"/>
      <c r="I17" s="578">
        <f t="shared" si="2"/>
        <v>9.7200000000000006</v>
      </c>
      <c r="J17" s="579">
        <f t="shared" si="1"/>
        <v>54075.54</v>
      </c>
      <c r="M17" s="2"/>
      <c r="R17" s="860" t="s">
        <v>25</v>
      </c>
      <c r="S17" s="860"/>
      <c r="T17" s="891">
        <f t="shared" si="3"/>
        <v>10</v>
      </c>
      <c r="U17" s="891"/>
      <c r="V17" s="896">
        <v>1</v>
      </c>
      <c r="W17" s="896"/>
      <c r="X17" s="156">
        <f t="shared" si="4"/>
        <v>10</v>
      </c>
      <c r="Y17" s="266">
        <f t="shared" si="6"/>
        <v>55633.27</v>
      </c>
    </row>
    <row r="18" spans="1:25" x14ac:dyDescent="0.25">
      <c r="A18" s="861" t="s">
        <v>26</v>
      </c>
      <c r="B18" s="861"/>
      <c r="C18" s="415">
        <v>9</v>
      </c>
      <c r="D18" s="415">
        <v>0</v>
      </c>
      <c r="E18" s="967">
        <f t="shared" si="0"/>
        <v>18</v>
      </c>
      <c r="F18" s="967"/>
      <c r="G18" s="968">
        <v>3.609</v>
      </c>
      <c r="H18" s="968"/>
      <c r="I18" s="578">
        <f t="shared" si="2"/>
        <v>64.962000000000003</v>
      </c>
      <c r="J18" s="579">
        <f t="shared" si="1"/>
        <v>361404.87</v>
      </c>
      <c r="M18" s="2"/>
      <c r="R18" s="860" t="s">
        <v>26</v>
      </c>
      <c r="S18" s="860"/>
      <c r="T18" s="891">
        <f t="shared" si="3"/>
        <v>18</v>
      </c>
      <c r="U18" s="891"/>
      <c r="V18" s="896">
        <v>1</v>
      </c>
      <c r="W18" s="896"/>
      <c r="X18" s="156">
        <f t="shared" si="4"/>
        <v>18</v>
      </c>
      <c r="Y18" s="266">
        <f t="shared" si="6"/>
        <v>100139.89</v>
      </c>
    </row>
    <row r="19" spans="1:25" x14ac:dyDescent="0.25">
      <c r="A19" s="861" t="s">
        <v>27</v>
      </c>
      <c r="B19" s="861"/>
      <c r="C19" s="415">
        <v>7</v>
      </c>
      <c r="D19" s="415">
        <v>0</v>
      </c>
      <c r="E19" s="967">
        <f t="shared" si="0"/>
        <v>14</v>
      </c>
      <c r="F19" s="967"/>
      <c r="G19" s="968">
        <v>3.609</v>
      </c>
      <c r="H19" s="968"/>
      <c r="I19" s="578">
        <f t="shared" si="2"/>
        <v>50.526000000000003</v>
      </c>
      <c r="J19" s="579">
        <f t="shared" si="1"/>
        <v>281092.68</v>
      </c>
      <c r="M19" s="2"/>
      <c r="R19" s="860" t="s">
        <v>27</v>
      </c>
      <c r="S19" s="860"/>
      <c r="T19" s="891">
        <f t="shared" si="3"/>
        <v>14</v>
      </c>
      <c r="U19" s="891"/>
      <c r="V19" s="896">
        <v>1</v>
      </c>
      <c r="W19" s="896"/>
      <c r="X19" s="156">
        <f t="shared" si="4"/>
        <v>14</v>
      </c>
      <c r="Y19" s="266">
        <f t="shared" si="6"/>
        <v>77886.58</v>
      </c>
    </row>
    <row r="20" spans="1:25" x14ac:dyDescent="0.25">
      <c r="A20" s="861" t="s">
        <v>28</v>
      </c>
      <c r="B20" s="861"/>
      <c r="C20" s="415">
        <v>21</v>
      </c>
      <c r="D20" s="415">
        <v>0</v>
      </c>
      <c r="E20" s="967">
        <f t="shared" si="0"/>
        <v>42</v>
      </c>
      <c r="F20" s="967"/>
      <c r="G20" s="968">
        <v>3.609</v>
      </c>
      <c r="H20" s="968"/>
      <c r="I20" s="578">
        <f t="shared" si="2"/>
        <v>151.578</v>
      </c>
      <c r="J20" s="579">
        <f t="shared" si="1"/>
        <v>843278.03</v>
      </c>
      <c r="M20" s="2"/>
      <c r="R20" s="860" t="s">
        <v>28</v>
      </c>
      <c r="S20" s="860"/>
      <c r="T20" s="891">
        <f t="shared" si="3"/>
        <v>42</v>
      </c>
      <c r="U20" s="891"/>
      <c r="V20" s="896">
        <v>1</v>
      </c>
      <c r="W20" s="896"/>
      <c r="X20" s="156">
        <f t="shared" si="4"/>
        <v>42</v>
      </c>
      <c r="Y20" s="266">
        <f t="shared" si="6"/>
        <v>233659.75</v>
      </c>
    </row>
    <row r="21" spans="1:25" ht="15" customHeight="1" x14ac:dyDescent="0.25">
      <c r="A21" s="861" t="s">
        <v>29</v>
      </c>
      <c r="B21" s="861"/>
      <c r="C21" s="415">
        <v>7.5</v>
      </c>
      <c r="D21" s="415">
        <v>0</v>
      </c>
      <c r="E21" s="967">
        <f t="shared" si="0"/>
        <v>15</v>
      </c>
      <c r="F21" s="967"/>
      <c r="G21" s="968">
        <v>6.0640000000000001</v>
      </c>
      <c r="H21" s="968"/>
      <c r="I21" s="578">
        <f t="shared" si="2"/>
        <v>90.96</v>
      </c>
      <c r="J21" s="579">
        <f t="shared" si="1"/>
        <v>506040.25</v>
      </c>
      <c r="M21" s="2"/>
      <c r="R21" s="860" t="s">
        <v>29</v>
      </c>
      <c r="S21" s="860"/>
      <c r="T21" s="891">
        <f t="shared" si="3"/>
        <v>15</v>
      </c>
      <c r="U21" s="891"/>
      <c r="V21" s="896">
        <v>1</v>
      </c>
      <c r="W21" s="896"/>
      <c r="X21" s="156">
        <f t="shared" si="4"/>
        <v>15</v>
      </c>
      <c r="Y21" s="266">
        <f t="shared" si="6"/>
        <v>83449.91</v>
      </c>
    </row>
    <row r="22" spans="1:25" ht="15" customHeight="1" x14ac:dyDescent="0.25">
      <c r="A22" s="861" t="s">
        <v>30</v>
      </c>
      <c r="B22" s="861"/>
      <c r="C22" s="415">
        <v>13</v>
      </c>
      <c r="D22" s="415">
        <v>0</v>
      </c>
      <c r="E22" s="967">
        <f t="shared" si="0"/>
        <v>26</v>
      </c>
      <c r="F22" s="967"/>
      <c r="G22" s="968">
        <v>6.0640000000000001</v>
      </c>
      <c r="H22" s="968"/>
      <c r="I22" s="578">
        <f t="shared" si="2"/>
        <v>157.66399999999999</v>
      </c>
      <c r="J22" s="579">
        <f t="shared" si="1"/>
        <v>877136.44</v>
      </c>
      <c r="M22" s="2"/>
      <c r="R22" s="860" t="s">
        <v>30</v>
      </c>
      <c r="S22" s="860"/>
      <c r="T22" s="891">
        <f t="shared" si="3"/>
        <v>26</v>
      </c>
      <c r="U22" s="891"/>
      <c r="V22" s="896">
        <v>1</v>
      </c>
      <c r="W22" s="896"/>
      <c r="X22" s="156">
        <f t="shared" si="4"/>
        <v>26</v>
      </c>
      <c r="Y22" s="266">
        <f t="shared" si="6"/>
        <v>144646.51</v>
      </c>
    </row>
    <row r="23" spans="1:25" ht="15" customHeight="1" x14ac:dyDescent="0.25">
      <c r="A23" s="861" t="s">
        <v>31</v>
      </c>
      <c r="B23" s="861"/>
      <c r="C23" s="415">
        <v>25.5</v>
      </c>
      <c r="D23" s="415">
        <v>0</v>
      </c>
      <c r="E23" s="967">
        <f t="shared" si="0"/>
        <v>51</v>
      </c>
      <c r="F23" s="967"/>
      <c r="G23" s="968">
        <v>6.0640000000000001</v>
      </c>
      <c r="H23" s="968"/>
      <c r="I23" s="578">
        <f t="shared" si="2"/>
        <v>309.26400000000001</v>
      </c>
      <c r="J23" s="579">
        <f t="shared" si="1"/>
        <v>1720536.85</v>
      </c>
      <c r="M23" s="2"/>
      <c r="R23" s="860" t="s">
        <v>31</v>
      </c>
      <c r="S23" s="860"/>
      <c r="T23" s="891">
        <f t="shared" si="3"/>
        <v>51</v>
      </c>
      <c r="U23" s="891"/>
      <c r="V23" s="896">
        <v>1</v>
      </c>
      <c r="W23" s="896"/>
      <c r="X23" s="156">
        <f t="shared" si="4"/>
        <v>51</v>
      </c>
      <c r="Y23" s="266">
        <f t="shared" si="6"/>
        <v>283729.69</v>
      </c>
    </row>
    <row r="24" spans="1:25" x14ac:dyDescent="0.25">
      <c r="A24" s="861" t="s">
        <v>32</v>
      </c>
      <c r="B24" s="861"/>
      <c r="C24" s="415"/>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89.5</v>
      </c>
      <c r="D28" s="126">
        <f>SUM(D12:D27)</f>
        <v>0</v>
      </c>
      <c r="E28" s="966">
        <f>SUM(E12:E27)</f>
        <v>179</v>
      </c>
      <c r="F28" s="966"/>
      <c r="G28" s="961"/>
      <c r="H28" s="961"/>
      <c r="I28" s="23">
        <f>SUM(I12:I27)</f>
        <v>837.89</v>
      </c>
      <c r="J28" s="127">
        <f>SUM(J12:J27)</f>
        <v>4661456.32</v>
      </c>
      <c r="M28" s="2"/>
      <c r="R28" s="907" t="s">
        <v>36</v>
      </c>
      <c r="S28" s="907"/>
      <c r="T28" s="908">
        <f>SUM(T12:T27)</f>
        <v>179</v>
      </c>
      <c r="U28" s="908"/>
      <c r="V28" s="909"/>
      <c r="W28" s="909"/>
      <c r="X28" s="158">
        <f>SUM(X12:X27)</f>
        <v>179</v>
      </c>
      <c r="Y28" s="266">
        <f>SUM(Y12:Y27)</f>
        <v>995835.58000000007</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837.89</v>
      </c>
      <c r="H33" s="961" t="s">
        <v>45</v>
      </c>
      <c r="I33" s="961"/>
      <c r="J33" s="32">
        <f>SUM(J32,J28)</f>
        <v>4661456.32</v>
      </c>
      <c r="M33" s="2"/>
      <c r="R33" s="911" t="s">
        <v>44</v>
      </c>
      <c r="S33" s="911"/>
      <c r="T33" s="911"/>
      <c r="U33" s="911"/>
      <c r="V33" s="164" t="e">
        <f>V32+X28</f>
        <v>#REF!</v>
      </c>
      <c r="W33" s="909" t="s">
        <v>45</v>
      </c>
      <c r="X33" s="909"/>
      <c r="Y33" s="165">
        <f>SUM(Y32,Y28)</f>
        <v>995835.58000000007</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4261458.6399999997</v>
      </c>
      <c r="H36" s="223" t="s">
        <v>49</v>
      </c>
      <c r="I36" s="38">
        <v>6.6699999999999995E-2</v>
      </c>
      <c r="J36" s="131">
        <f>ROUND(G36*I36,2)</f>
        <v>284239.28999999998</v>
      </c>
      <c r="K36" s="39"/>
      <c r="L36" s="233"/>
      <c r="M36" s="233"/>
      <c r="N36" s="233"/>
      <c r="O36" s="31"/>
      <c r="P36" s="232"/>
      <c r="Q36" s="232"/>
      <c r="R36" s="860" t="s">
        <v>47</v>
      </c>
      <c r="S36" s="860"/>
      <c r="T36" s="860"/>
      <c r="U36" s="253"/>
      <c r="V36" s="172">
        <v>895695.69</v>
      </c>
      <c r="W36" s="239" t="s">
        <v>49</v>
      </c>
      <c r="X36" s="174">
        <v>6.6699999999999995E-2</v>
      </c>
      <c r="Y36" s="266">
        <f>J36</f>
        <v>284239.28999999998</v>
      </c>
    </row>
    <row r="37" spans="1:25" ht="20.25" customHeight="1" x14ac:dyDescent="0.25">
      <c r="A37" s="861" t="s">
        <v>50</v>
      </c>
      <c r="B37" s="861"/>
      <c r="C37" s="861"/>
      <c r="D37" s="861"/>
      <c r="E37" s="861"/>
      <c r="F37" s="248" t="s">
        <v>48</v>
      </c>
      <c r="G37" s="132">
        <v>4261458.6399999997</v>
      </c>
      <c r="H37" s="223" t="s">
        <v>49</v>
      </c>
      <c r="I37" s="38">
        <v>5.4000000000000003E-3</v>
      </c>
      <c r="J37" s="131">
        <f>ROUND(G37*I37,2)</f>
        <v>23011.88</v>
      </c>
      <c r="K37" s="39"/>
      <c r="L37" s="233"/>
      <c r="M37" s="233"/>
      <c r="N37" s="233"/>
      <c r="O37" s="31"/>
      <c r="P37" s="232"/>
      <c r="Q37" s="232"/>
      <c r="R37" s="860" t="s">
        <v>50</v>
      </c>
      <c r="S37" s="860"/>
      <c r="T37" s="860"/>
      <c r="U37" s="253"/>
      <c r="V37" s="172">
        <v>895695.69</v>
      </c>
      <c r="W37" s="239" t="s">
        <v>49</v>
      </c>
      <c r="X37" s="174">
        <v>5.4000000000000003E-3</v>
      </c>
      <c r="Y37" s="266">
        <f>J37</f>
        <v>23011.88</v>
      </c>
    </row>
    <row r="38" spans="1:25" ht="20.25" customHeight="1" x14ac:dyDescent="0.25">
      <c r="A38" s="898" t="s">
        <v>51</v>
      </c>
      <c r="B38" s="898"/>
      <c r="C38" s="898"/>
      <c r="D38" s="898"/>
      <c r="E38" s="898"/>
      <c r="F38" s="248" t="s">
        <v>52</v>
      </c>
      <c r="G38" s="40"/>
      <c r="H38" s="223"/>
      <c r="I38" s="41"/>
      <c r="J38" s="131">
        <f>SUM(J36:J37)</f>
        <v>307251.17</v>
      </c>
      <c r="K38" s="39"/>
      <c r="L38" s="233"/>
      <c r="M38" s="233"/>
      <c r="N38" s="233"/>
      <c r="O38" s="31"/>
      <c r="P38" s="232"/>
      <c r="Q38" s="232"/>
      <c r="R38" s="862" t="s">
        <v>51</v>
      </c>
      <c r="S38" s="862"/>
      <c r="T38" s="862"/>
      <c r="U38" s="253" t="s">
        <v>52</v>
      </c>
      <c r="V38" s="175"/>
      <c r="W38" s="239"/>
      <c r="X38" s="176"/>
      <c r="Y38" s="266">
        <f>Y36+Y37</f>
        <v>307251.17</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1</v>
      </c>
      <c r="D41" s="415">
        <v>0</v>
      </c>
      <c r="E41" s="954">
        <f t="shared" ref="E41:E49" si="7">IF($D$50=0,C41*2,C41+D41)</f>
        <v>2</v>
      </c>
      <c r="F41" s="954"/>
      <c r="G41" s="223" t="s">
        <v>59</v>
      </c>
      <c r="H41" s="223">
        <v>251</v>
      </c>
      <c r="I41" s="136">
        <f>INDEX('[1]111-112-113 ADDITIONAL FUND'!D$1:D$65536,MATCH($A$1,'[1]111-112-113 ADDITIONAL FUND'!A$1:A$65536))</f>
        <v>1047</v>
      </c>
      <c r="J41" s="46">
        <f t="shared" ref="J41:J49" si="8">ROUND(E41*I41,2)</f>
        <v>2094</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x14ac:dyDescent="0.25">
      <c r="A44" s="960"/>
      <c r="B44" s="960"/>
      <c r="C44" s="415"/>
      <c r="D44" s="415">
        <v>0</v>
      </c>
      <c r="E44" s="954">
        <f t="shared" si="7"/>
        <v>0</v>
      </c>
      <c r="F44" s="954"/>
      <c r="G44" s="47" t="s">
        <v>60</v>
      </c>
      <c r="H44" s="223">
        <v>251</v>
      </c>
      <c r="I44" s="136">
        <f>INDEX('[1]111-112-113 ADDITIONAL FUND'!G$1:G$65536,MATCH($A$1,'[1]111-112-113 ADDITIONAL FUND'!A$1:A$65536))</f>
        <v>1173</v>
      </c>
      <c r="J44" s="13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46">
        <f t="shared" si="8"/>
        <v>0</v>
      </c>
      <c r="M45" s="2"/>
      <c r="R45" s="903"/>
      <c r="S45" s="903"/>
      <c r="T45" s="905"/>
      <c r="U45" s="905"/>
      <c r="V45" s="182" t="s">
        <v>60</v>
      </c>
      <c r="W45" s="239">
        <v>252</v>
      </c>
      <c r="X45" s="134">
        <f t="shared" si="9"/>
        <v>3506</v>
      </c>
      <c r="Y45" s="269">
        <f t="shared" si="10"/>
        <v>0</v>
      </c>
    </row>
    <row r="46" spans="1:25" x14ac:dyDescent="0.25">
      <c r="A46" s="960"/>
      <c r="B46" s="960"/>
      <c r="C46" s="415">
        <v>0.5</v>
      </c>
      <c r="D46" s="415">
        <v>0</v>
      </c>
      <c r="E46" s="954">
        <f t="shared" si="7"/>
        <v>1</v>
      </c>
      <c r="F46" s="954"/>
      <c r="G46" s="47" t="s">
        <v>60</v>
      </c>
      <c r="H46" s="223">
        <v>253</v>
      </c>
      <c r="I46" s="136">
        <f>INDEX('[1]111-112-113 ADDITIONAL FUND'!I$1:I$65536,MATCH($A$1,'[1]111-112-113 ADDITIONAL FUND'!A$1:A$65536))</f>
        <v>7023</v>
      </c>
      <c r="J46" s="46">
        <f t="shared" si="8"/>
        <v>7023</v>
      </c>
      <c r="M46" s="2"/>
      <c r="R46" s="903"/>
      <c r="S46" s="903"/>
      <c r="T46" s="905"/>
      <c r="U46" s="905"/>
      <c r="V46" s="182" t="s">
        <v>60</v>
      </c>
      <c r="W46" s="239">
        <v>253</v>
      </c>
      <c r="X46" s="134">
        <f t="shared" si="9"/>
        <v>7023</v>
      </c>
      <c r="Y46" s="269">
        <f t="shared" si="10"/>
        <v>0</v>
      </c>
    </row>
    <row r="47" spans="1:25" ht="16.5" customHeight="1" x14ac:dyDescent="0.25">
      <c r="A47" s="960"/>
      <c r="B47" s="960"/>
      <c r="C47" s="415">
        <v>0.5</v>
      </c>
      <c r="D47" s="415">
        <v>0</v>
      </c>
      <c r="E47" s="954">
        <f t="shared" si="7"/>
        <v>1</v>
      </c>
      <c r="F47" s="954"/>
      <c r="G47" s="47" t="s">
        <v>61</v>
      </c>
      <c r="H47" s="223">
        <v>251</v>
      </c>
      <c r="I47" s="136">
        <f>INDEX('[1]111-112-113 ADDITIONAL FUND'!J$1:J$65536,MATCH($A$1,'[1]111-112-113 ADDITIONAL FUND'!A$1:A$65536))</f>
        <v>835</v>
      </c>
      <c r="J47" s="46">
        <f t="shared" si="8"/>
        <v>835</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4.5</v>
      </c>
      <c r="D49" s="415">
        <v>0</v>
      </c>
      <c r="E49" s="955">
        <f t="shared" si="7"/>
        <v>9</v>
      </c>
      <c r="F49" s="955"/>
      <c r="G49" s="47" t="s">
        <v>61</v>
      </c>
      <c r="H49" s="223">
        <v>253</v>
      </c>
      <c r="I49" s="136">
        <f>INDEX('[1]111-112-113 ADDITIONAL FUND'!L$1:L$65536,MATCH($A$1,'[1]111-112-113 ADDITIONAL FUND'!A$1:A$65536))</f>
        <v>6685</v>
      </c>
      <c r="J49" s="137">
        <f t="shared" si="8"/>
        <v>60165</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6.5</v>
      </c>
      <c r="D50" s="585">
        <f>SUM(D41:D49)</f>
        <v>0</v>
      </c>
      <c r="E50" s="956">
        <f>SUM(E41:E49)</f>
        <v>13</v>
      </c>
      <c r="F50" s="956"/>
      <c r="G50" s="912" t="s">
        <v>63</v>
      </c>
      <c r="H50" s="912"/>
      <c r="I50" s="912"/>
      <c r="J50" s="276">
        <f>SUM(J41:J49)</f>
        <v>70117</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179</v>
      </c>
      <c r="U52" s="184" t="s">
        <v>66</v>
      </c>
      <c r="V52" s="185"/>
      <c r="W52" s="186" t="s">
        <v>67</v>
      </c>
      <c r="X52" s="919">
        <f>I53</f>
        <v>207782.75</v>
      </c>
      <c r="Y52" s="919"/>
    </row>
    <row r="53" spans="1:25" ht="16.5" customHeight="1" x14ac:dyDescent="0.25">
      <c r="A53" s="899" t="s">
        <v>65</v>
      </c>
      <c r="B53" s="899"/>
      <c r="C53" s="237"/>
      <c r="D53" s="237"/>
      <c r="E53" s="48">
        <f>E28</f>
        <v>179</v>
      </c>
      <c r="F53" s="49" t="s">
        <v>66</v>
      </c>
      <c r="G53" s="3"/>
      <c r="H53" s="50" t="s">
        <v>67</v>
      </c>
      <c r="I53" s="994">
        <f>'0040'!I53</f>
        <v>207782.75</v>
      </c>
      <c r="J53" s="994"/>
      <c r="M53" s="2"/>
      <c r="R53" s="255"/>
      <c r="S53" s="243"/>
      <c r="T53" s="170"/>
      <c r="U53" s="170"/>
      <c r="V53" s="170"/>
      <c r="W53" s="189" t="s">
        <v>68</v>
      </c>
      <c r="X53" s="920">
        <f>ROUND(T52/X52,6)</f>
        <v>8.61E-4</v>
      </c>
      <c r="Y53" s="920"/>
    </row>
    <row r="54" spans="1:25" ht="22.5" customHeight="1" x14ac:dyDescent="0.25">
      <c r="A54" s="237"/>
      <c r="B54" s="230"/>
      <c r="C54" s="230"/>
      <c r="D54" s="230"/>
      <c r="H54" s="53" t="s">
        <v>68</v>
      </c>
      <c r="I54" s="945">
        <f>IFERROR(ROUND(E53/I53,6),0)</f>
        <v>8.61E-4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179</v>
      </c>
      <c r="U55" s="184" t="s">
        <v>66</v>
      </c>
      <c r="V55" s="185"/>
      <c r="W55" s="186" t="s">
        <v>71</v>
      </c>
      <c r="X55" s="919">
        <f>I56</f>
        <v>221179.83999999997</v>
      </c>
      <c r="Y55" s="919"/>
    </row>
    <row r="56" spans="1:25" ht="16.5" customHeight="1" x14ac:dyDescent="0.25">
      <c r="A56" s="899" t="s">
        <v>70</v>
      </c>
      <c r="B56" s="899"/>
      <c r="C56" s="237"/>
      <c r="D56" s="237"/>
      <c r="E56" s="48">
        <f>G33</f>
        <v>837.89</v>
      </c>
      <c r="F56" s="49" t="s">
        <v>66</v>
      </c>
      <c r="G56" s="3"/>
      <c r="H56" s="50" t="s">
        <v>71</v>
      </c>
      <c r="I56" s="994">
        <f>'0040'!I56</f>
        <v>221179.83999999997</v>
      </c>
      <c r="J56" s="994"/>
      <c r="M56" s="2"/>
      <c r="R56" s="255"/>
      <c r="S56" s="170"/>
      <c r="T56" s="170"/>
      <c r="U56" s="170"/>
      <c r="V56" s="170"/>
      <c r="W56" s="189" t="s">
        <v>68</v>
      </c>
      <c r="X56" s="920">
        <f>ROUND(T55/X55,6)</f>
        <v>8.0900000000000004E-4</v>
      </c>
      <c r="Y56" s="920"/>
    </row>
    <row r="57" spans="1:25" ht="18.75" customHeight="1" x14ac:dyDescent="0.25">
      <c r="A57" s="237"/>
      <c r="H57" s="53" t="s">
        <v>68</v>
      </c>
      <c r="I57" s="945">
        <f>IFERROR(ROUND(E56/I56,6),0)</f>
        <v>3.7880000000000001E-3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179</v>
      </c>
      <c r="U58" s="184" t="s">
        <v>66</v>
      </c>
      <c r="V58" s="918" t="s">
        <v>74</v>
      </c>
      <c r="W58" s="918"/>
      <c r="X58" s="919">
        <f>I59</f>
        <v>178931.75</v>
      </c>
      <c r="Y58" s="919"/>
    </row>
    <row r="59" spans="1:25" ht="18.75" customHeight="1" x14ac:dyDescent="0.25">
      <c r="A59" s="899" t="s">
        <v>73</v>
      </c>
      <c r="B59" s="899"/>
      <c r="C59" s="237"/>
      <c r="D59" s="237"/>
      <c r="E59" s="48">
        <f>E28</f>
        <v>179</v>
      </c>
      <c r="F59" s="49" t="s">
        <v>66</v>
      </c>
      <c r="G59" s="990" t="s">
        <v>74</v>
      </c>
      <c r="H59" s="990"/>
      <c r="I59" s="994">
        <f>'0040'!I59</f>
        <v>178931.75</v>
      </c>
      <c r="J59" s="994"/>
      <c r="M59" s="2"/>
      <c r="R59" s="255"/>
      <c r="S59" s="170"/>
      <c r="T59" s="170"/>
      <c r="U59" s="170"/>
      <c r="V59" s="170"/>
      <c r="W59" s="189" t="s">
        <v>68</v>
      </c>
      <c r="X59" s="920">
        <f>ROUND(T58/X58,6)</f>
        <v>1E-3</v>
      </c>
      <c r="Y59" s="920"/>
    </row>
    <row r="60" spans="1:25" ht="18" customHeight="1" x14ac:dyDescent="0.25">
      <c r="A60" s="237"/>
      <c r="H60" s="53" t="s">
        <v>68</v>
      </c>
      <c r="I60" s="945">
        <f>IFERROR(ROUND(E59/I59,6),0)</f>
        <v>1E-3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179</v>
      </c>
      <c r="U61" s="184" t="s">
        <v>66</v>
      </c>
      <c r="V61" s="918" t="s">
        <v>76</v>
      </c>
      <c r="W61" s="918"/>
      <c r="X61" s="919">
        <f>I62</f>
        <v>207463.82</v>
      </c>
      <c r="Y61" s="919"/>
    </row>
    <row r="62" spans="1:25" ht="30.75" customHeight="1" x14ac:dyDescent="0.25">
      <c r="A62" s="899" t="s">
        <v>73</v>
      </c>
      <c r="B62" s="899"/>
      <c r="C62" s="237"/>
      <c r="D62" s="237"/>
      <c r="E62" s="48">
        <f>E28</f>
        <v>179</v>
      </c>
      <c r="F62" s="49" t="s">
        <v>66</v>
      </c>
      <c r="G62" s="990" t="s">
        <v>76</v>
      </c>
      <c r="H62" s="990"/>
      <c r="I62" s="994">
        <f>'0040'!I62</f>
        <v>207463.82</v>
      </c>
      <c r="J62" s="994"/>
      <c r="M62" s="2"/>
      <c r="R62" s="255"/>
      <c r="S62" s="170"/>
      <c r="T62" s="170"/>
      <c r="U62" s="170"/>
      <c r="V62" s="170"/>
      <c r="W62" s="189" t="s">
        <v>68</v>
      </c>
      <c r="X62" s="920">
        <f>ROUND(T61/X61,6)</f>
        <v>8.6300000000000005E-4</v>
      </c>
      <c r="Y62" s="920"/>
    </row>
    <row r="63" spans="1:25" ht="19.5" customHeight="1" x14ac:dyDescent="0.25">
      <c r="A63" s="237"/>
      <c r="H63" s="53" t="s">
        <v>68</v>
      </c>
      <c r="I63" s="945">
        <f>IFERROR(ROUND(E62/I62,6),0)</f>
        <v>8.6300000000000005E-4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179</v>
      </c>
      <c r="U64" s="184" t="s">
        <v>66</v>
      </c>
      <c r="V64" s="918" t="s">
        <v>161</v>
      </c>
      <c r="W64" s="918"/>
      <c r="X64" s="919">
        <f>I65</f>
        <v>178612.82</v>
      </c>
      <c r="Y64" s="919"/>
    </row>
    <row r="65" spans="1:26" ht="49.5" customHeight="1" x14ac:dyDescent="0.25">
      <c r="A65" s="899" t="s">
        <v>73</v>
      </c>
      <c r="B65" s="899"/>
      <c r="C65" s="237"/>
      <c r="D65" s="237"/>
      <c r="E65" s="48">
        <f>E28</f>
        <v>179</v>
      </c>
      <c r="F65" s="49" t="s">
        <v>66</v>
      </c>
      <c r="G65" s="990" t="s">
        <v>78</v>
      </c>
      <c r="H65" s="990"/>
      <c r="I65" s="994">
        <f>'0040'!I65</f>
        <v>178612.82</v>
      </c>
      <c r="J65" s="994"/>
      <c r="M65" s="2"/>
      <c r="R65" s="190"/>
      <c r="S65" s="170"/>
      <c r="T65" s="170"/>
      <c r="U65" s="170"/>
      <c r="V65" s="170"/>
      <c r="W65" s="189" t="s">
        <v>68</v>
      </c>
      <c r="X65" s="920">
        <f>ROUND(T64/X64,6)</f>
        <v>1.0020000000000001E-3</v>
      </c>
      <c r="Y65" s="920"/>
    </row>
    <row r="66" spans="1:26" ht="19.5" customHeight="1" x14ac:dyDescent="0.25">
      <c r="A66" s="237"/>
      <c r="H66" s="53" t="s">
        <v>68</v>
      </c>
      <c r="I66" s="945">
        <f>IFERROR(ROUND(E65/I65,6),0)</f>
        <v>1.0020000000000001E-3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8.6300000000000005E-4</v>
      </c>
      <c r="Y67" s="271">
        <f>ROUND(V67*X67,2)</f>
        <v>39378.339999999997</v>
      </c>
    </row>
    <row r="68" spans="1:26" ht="30.75" customHeight="1" x14ac:dyDescent="0.25">
      <c r="A68" s="946" t="s">
        <v>79</v>
      </c>
      <c r="B68" s="946"/>
      <c r="C68" s="946"/>
      <c r="D68" s="946"/>
      <c r="E68" s="946"/>
      <c r="F68" s="248" t="s">
        <v>80</v>
      </c>
      <c r="G68" s="277">
        <f>'0040'!G68</f>
        <v>45629593</v>
      </c>
      <c r="H68" s="223" t="s">
        <v>81</v>
      </c>
      <c r="I68" s="41">
        <f>I63</f>
        <v>8.6300000000000005E-4</v>
      </c>
      <c r="J68" s="138">
        <f>ROUND(G68*I68,2)</f>
        <v>39378.339999999997</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8.61E-4</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8.61E-4</v>
      </c>
      <c r="J70" s="138">
        <f>ROUND(G70*I70,2)</f>
        <v>0</v>
      </c>
      <c r="M70" s="2"/>
      <c r="R70" s="862" t="s">
        <v>163</v>
      </c>
      <c r="S70" s="862"/>
      <c r="T70" s="862"/>
      <c r="U70" s="253"/>
      <c r="V70" s="193">
        <f>G71</f>
        <v>18934058</v>
      </c>
      <c r="W70" s="239" t="s">
        <v>81</v>
      </c>
      <c r="X70" s="176">
        <f>X65</f>
        <v>1.0020000000000001E-3</v>
      </c>
      <c r="Y70" s="266">
        <f t="shared" si="11"/>
        <v>18971.93</v>
      </c>
    </row>
    <row r="71" spans="1:26" ht="19.5" customHeight="1" x14ac:dyDescent="0.25">
      <c r="A71" s="898" t="s">
        <v>85</v>
      </c>
      <c r="B71" s="898"/>
      <c r="C71" s="898"/>
      <c r="D71" s="898"/>
      <c r="E71" s="898"/>
      <c r="F71" s="248" t="s">
        <v>86</v>
      </c>
      <c r="G71" s="277">
        <f>'0040'!G71</f>
        <v>18934058</v>
      </c>
      <c r="H71" s="223" t="s">
        <v>81</v>
      </c>
      <c r="I71" s="41">
        <f>I66</f>
        <v>1.0020000000000001E-3</v>
      </c>
      <c r="J71" s="138">
        <f>ROUND(G71*I71,2)</f>
        <v>18971.93</v>
      </c>
      <c r="M71" s="2"/>
      <c r="R71" s="240" t="s">
        <v>164</v>
      </c>
      <c r="S71" s="240"/>
      <c r="T71" s="240"/>
      <c r="U71" s="253"/>
      <c r="V71" s="171">
        <f>G72</f>
        <v>11300012</v>
      </c>
      <c r="W71" s="239" t="s">
        <v>81</v>
      </c>
      <c r="X71" s="176">
        <f>X59</f>
        <v>1E-3</v>
      </c>
      <c r="Y71" s="266">
        <f t="shared" si="11"/>
        <v>11300.01</v>
      </c>
    </row>
    <row r="72" spans="1:26" ht="19.5" customHeight="1" x14ac:dyDescent="0.25">
      <c r="A72" s="235" t="s">
        <v>87</v>
      </c>
      <c r="B72" s="235"/>
      <c r="C72" s="235"/>
      <c r="D72" s="235"/>
      <c r="E72" s="235"/>
      <c r="F72" s="248" t="s">
        <v>88</v>
      </c>
      <c r="G72" s="277">
        <f>'0040'!G72</f>
        <v>11300012</v>
      </c>
      <c r="H72" s="223" t="s">
        <v>81</v>
      </c>
      <c r="I72" s="41">
        <f>I60</f>
        <v>1E-3</v>
      </c>
      <c r="J72" s="138">
        <f>ROUND(G72*I72,2)</f>
        <v>11300.01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3.7880000000000001E-3</v>
      </c>
      <c r="J85" s="138">
        <f>ROUND(G85*I85,2)</f>
        <v>1018276.06</v>
      </c>
      <c r="K85" s="70"/>
      <c r="L85" s="70"/>
      <c r="M85" s="71"/>
      <c r="N85" s="70"/>
      <c r="O85" s="70"/>
      <c r="P85" s="70"/>
      <c r="Q85" s="70"/>
      <c r="R85" s="862" t="s">
        <v>168</v>
      </c>
      <c r="S85" s="862"/>
      <c r="T85" s="862"/>
      <c r="U85" s="253"/>
      <c r="V85" s="171">
        <f>G85</f>
        <v>268816278</v>
      </c>
      <c r="W85" s="239" t="s">
        <v>81</v>
      </c>
      <c r="X85" s="176">
        <f>X56</f>
        <v>8.0900000000000004E-4</v>
      </c>
      <c r="Y85" s="266">
        <f t="shared" ref="Y85:Y87" si="12">ROUND(V85*X85,2)</f>
        <v>217472.37</v>
      </c>
    </row>
    <row r="86" spans="1:26" ht="14.25" customHeight="1" x14ac:dyDescent="0.25">
      <c r="A86" s="898" t="s">
        <v>104</v>
      </c>
      <c r="B86" s="898"/>
      <c r="C86" s="898"/>
      <c r="D86" s="898"/>
      <c r="E86" s="898"/>
      <c r="F86" s="248" t="s">
        <v>103</v>
      </c>
      <c r="G86" s="139">
        <v>0</v>
      </c>
      <c r="H86" s="223" t="s">
        <v>81</v>
      </c>
      <c r="I86" s="41">
        <f>I57</f>
        <v>3.7880000000000001E-3</v>
      </c>
      <c r="J86" s="138">
        <f>ROUND(G86*I86,2)</f>
        <v>0</v>
      </c>
      <c r="K86" s="70"/>
      <c r="L86" s="71"/>
      <c r="M86" s="76"/>
      <c r="N86" s="76"/>
      <c r="O86" s="76"/>
      <c r="P86" s="76"/>
      <c r="Q86" s="70"/>
      <c r="R86" s="862" t="s">
        <v>169</v>
      </c>
      <c r="S86" s="862"/>
      <c r="T86" s="862"/>
      <c r="U86" s="253"/>
      <c r="V86" s="203">
        <f>G86</f>
        <v>0</v>
      </c>
      <c r="W86" s="239" t="s">
        <v>81</v>
      </c>
      <c r="X86" s="176">
        <f>X56</f>
        <v>8.0900000000000004E-4</v>
      </c>
      <c r="Y86" s="266">
        <f t="shared" si="12"/>
        <v>0</v>
      </c>
    </row>
    <row r="87" spans="1:26" ht="18" customHeight="1" x14ac:dyDescent="0.25">
      <c r="A87" s="898" t="s">
        <v>105</v>
      </c>
      <c r="B87" s="898"/>
      <c r="C87" s="898"/>
      <c r="D87" s="898"/>
      <c r="E87" s="898"/>
      <c r="F87" s="248" t="s">
        <v>84</v>
      </c>
      <c r="G87" s="139">
        <v>0</v>
      </c>
      <c r="H87" s="223" t="s">
        <v>81</v>
      </c>
      <c r="I87" s="41">
        <f>I54</f>
        <v>8.61E-4</v>
      </c>
      <c r="J87" s="62">
        <f>ROUND(G87*I87,2)</f>
        <v>0</v>
      </c>
      <c r="K87" s="77"/>
      <c r="L87" s="70"/>
      <c r="M87" s="71"/>
      <c r="N87" s="70"/>
      <c r="O87" s="70"/>
      <c r="P87" s="70"/>
      <c r="Q87" s="70"/>
      <c r="R87" s="240" t="s">
        <v>170</v>
      </c>
      <c r="S87" s="240"/>
      <c r="T87" s="240"/>
      <c r="U87" s="253"/>
      <c r="V87" s="203">
        <f>G87</f>
        <v>0</v>
      </c>
      <c r="W87" s="239" t="s">
        <v>81</v>
      </c>
      <c r="X87" s="176">
        <f>X53</f>
        <v>8.61E-4</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158.13799999999998</v>
      </c>
      <c r="C90" s="245"/>
      <c r="D90" s="869">
        <f>I6</f>
        <v>1.0355000000000001</v>
      </c>
      <c r="E90" s="869"/>
      <c r="F90" s="869"/>
      <c r="G90" s="122">
        <f>'[1]Detail 2025-26 FEFP Second'!AB3</f>
        <v>958.42</v>
      </c>
      <c r="H90" s="47" t="s">
        <v>68</v>
      </c>
      <c r="I90" s="141">
        <f>ROUND(B90*D90*G90,2)</f>
        <v>156943.1</v>
      </c>
      <c r="J90" s="81"/>
      <c r="K90" s="70"/>
      <c r="L90" s="70"/>
      <c r="M90" s="71"/>
      <c r="N90" s="70"/>
      <c r="O90" s="70"/>
      <c r="P90" s="70"/>
      <c r="Q90" s="70"/>
      <c r="R90" s="238" t="s">
        <v>110</v>
      </c>
      <c r="S90" s="251">
        <f>X12+X13+X18+X21+X24</f>
        <v>35</v>
      </c>
      <c r="T90" s="924">
        <f>X6</f>
        <v>1.0355000000000001</v>
      </c>
      <c r="U90" s="924"/>
      <c r="V90" s="122">
        <f>G90</f>
        <v>958.42</v>
      </c>
      <c r="W90" s="182" t="s">
        <v>68</v>
      </c>
      <c r="X90" s="272">
        <f>ROUND(S90*T90*V90,2)</f>
        <v>34735.54</v>
      </c>
      <c r="Y90" s="205"/>
    </row>
    <row r="91" spans="1:26" ht="21" customHeight="1" x14ac:dyDescent="0.25">
      <c r="A91" s="82" t="s">
        <v>60</v>
      </c>
      <c r="B91" s="245">
        <f>I14+I15+I19+I22+I25</f>
        <v>209.19</v>
      </c>
      <c r="C91" s="245"/>
      <c r="D91" s="869">
        <f>I6</f>
        <v>1.0355000000000001</v>
      </c>
      <c r="E91" s="869"/>
      <c r="F91" s="869"/>
      <c r="G91" s="122">
        <f>'[1]Detail 2025-26 FEFP Second'!AC3</f>
        <v>915.09</v>
      </c>
      <c r="H91" s="47" t="s">
        <v>68</v>
      </c>
      <c r="I91" s="140">
        <f>ROUND(B91*D91*G91,2)</f>
        <v>198223.35999999999</v>
      </c>
      <c r="K91" s="70"/>
      <c r="L91" s="70"/>
      <c r="M91" s="71"/>
      <c r="N91" s="70"/>
      <c r="O91" s="70"/>
      <c r="P91" s="70"/>
      <c r="Q91" s="70"/>
      <c r="R91" s="206" t="s">
        <v>60</v>
      </c>
      <c r="S91" s="251">
        <f>X14+X15+X19+X22+X25</f>
        <v>41</v>
      </c>
      <c r="T91" s="924">
        <f>X6</f>
        <v>1.0355000000000001</v>
      </c>
      <c r="U91" s="924"/>
      <c r="V91" s="122">
        <f>G91</f>
        <v>915.09</v>
      </c>
      <c r="W91" s="182" t="s">
        <v>68</v>
      </c>
      <c r="X91" s="272">
        <f>ROUND(S91*T91*V91,2)</f>
        <v>38850.6</v>
      </c>
      <c r="Y91" s="170"/>
    </row>
    <row r="92" spans="1:26" ht="19.5" customHeight="1" thickBot="1" x14ac:dyDescent="0.3">
      <c r="A92" s="83" t="s">
        <v>61</v>
      </c>
      <c r="B92" s="109">
        <f>I16+I17+I20+I23+I26+I27</f>
        <v>470.56200000000001</v>
      </c>
      <c r="C92" s="109"/>
      <c r="D92" s="869">
        <f>I6</f>
        <v>1.0355000000000001</v>
      </c>
      <c r="E92" s="869"/>
      <c r="F92" s="869"/>
      <c r="G92" s="122">
        <f>'[1]Detail 2025-26 FEFP Second'!AD3</f>
        <v>917.3</v>
      </c>
      <c r="H92" s="47" t="s">
        <v>68</v>
      </c>
      <c r="I92" s="575">
        <f>ROUND(B92*D92*G92,2)</f>
        <v>446969.97</v>
      </c>
      <c r="K92" s="70"/>
      <c r="L92" s="70"/>
      <c r="M92" s="71"/>
      <c r="N92" s="70"/>
      <c r="O92" s="70"/>
      <c r="P92" s="70"/>
      <c r="Q92" s="70"/>
      <c r="R92" s="207" t="s">
        <v>61</v>
      </c>
      <c r="S92" s="208">
        <f>X16+X17+X20+X23+X26+X27</f>
        <v>103</v>
      </c>
      <c r="T92" s="924">
        <f>X6</f>
        <v>1.0355000000000001</v>
      </c>
      <c r="U92" s="924"/>
      <c r="V92" s="122">
        <f>G92</f>
        <v>917.3</v>
      </c>
      <c r="W92" s="182" t="s">
        <v>68</v>
      </c>
      <c r="X92" s="272">
        <f>ROUND(S92*T92*V92,2)</f>
        <v>97836.01</v>
      </c>
      <c r="Y92" s="170"/>
    </row>
    <row r="93" spans="1:26" ht="18.75" customHeight="1" thickBot="1" x14ac:dyDescent="0.3">
      <c r="A93" s="247" t="s">
        <v>111</v>
      </c>
      <c r="B93" s="109">
        <f>SUM(B90:B92)</f>
        <v>837.89</v>
      </c>
      <c r="C93" s="109"/>
      <c r="D93" s="109"/>
      <c r="E93" s="939" t="s">
        <v>112</v>
      </c>
      <c r="F93" s="939"/>
      <c r="G93" s="939"/>
      <c r="H93" s="939"/>
      <c r="I93" s="939"/>
      <c r="J93" s="127">
        <f>IF(A1=75,0,I92+I91+I90)</f>
        <v>802136.42999999993</v>
      </c>
      <c r="K93" s="70"/>
      <c r="L93" s="70"/>
      <c r="M93" s="71"/>
      <c r="N93" s="70"/>
      <c r="O93" s="70"/>
      <c r="P93" s="70"/>
      <c r="Q93" s="70"/>
      <c r="R93" s="252" t="s">
        <v>111</v>
      </c>
      <c r="S93" s="210">
        <f>SUM(S90:S92)</f>
        <v>179</v>
      </c>
      <c r="T93" s="925" t="s">
        <v>112</v>
      </c>
      <c r="U93" s="926"/>
      <c r="V93" s="926"/>
      <c r="W93" s="926"/>
      <c r="X93" s="926"/>
      <c r="Y93" s="266">
        <f>IF(R1=75,0,X92+X91+X90)</f>
        <v>171422.15</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1</v>
      </c>
      <c r="U96" s="930"/>
      <c r="V96" s="930"/>
      <c r="W96" s="261" t="s">
        <v>117</v>
      </c>
      <c r="X96" s="212">
        <f>I97</f>
        <v>586</v>
      </c>
      <c r="Y96" s="266">
        <f>ROUND(X96*T96,2)</f>
        <v>586</v>
      </c>
    </row>
    <row r="97" spans="1:25" ht="17.25" customHeight="1" x14ac:dyDescent="0.25">
      <c r="A97" s="912" t="s">
        <v>116</v>
      </c>
      <c r="B97" s="912"/>
      <c r="C97" s="279">
        <v>1</v>
      </c>
      <c r="D97" s="279">
        <v>0</v>
      </c>
      <c r="E97" s="988">
        <f>(C97+D97)</f>
        <v>1</v>
      </c>
      <c r="F97" s="942"/>
      <c r="G97" s="942"/>
      <c r="H97" s="224" t="s">
        <v>117</v>
      </c>
      <c r="I97" s="130">
        <f>'0040'!I97</f>
        <v>586</v>
      </c>
      <c r="J97" s="138">
        <f>ROUND(I97*E97,2)</f>
        <v>586</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1</v>
      </c>
      <c r="D98" s="279">
        <v>0</v>
      </c>
      <c r="E98" s="988">
        <f>(C98+D98)</f>
        <v>1</v>
      </c>
      <c r="F98" s="942"/>
      <c r="G98" s="942"/>
      <c r="H98" s="224" t="s">
        <v>117</v>
      </c>
      <c r="I98" s="130">
        <f>'0040'!I98</f>
        <v>1811</v>
      </c>
      <c r="J98" s="62">
        <f>ROUND(I98*E98,2)</f>
        <v>1811</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6624033.0899999999</v>
      </c>
      <c r="L107" s="576"/>
      <c r="R107" s="862" t="s">
        <v>125</v>
      </c>
      <c r="S107" s="862"/>
      <c r="T107" s="862"/>
      <c r="U107" s="862"/>
      <c r="V107" s="862"/>
      <c r="W107" s="862"/>
      <c r="X107" s="862"/>
      <c r="Y107" s="723">
        <f>SUM(Y106,Y105,Y97,Y96,Y93,Y86,Y85,Y84,Y70,Y69,Y67,Y33,Y71,Y50,Y87,Y83)</f>
        <v>1454966.3800000001</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6316781.9199999999</v>
      </c>
      <c r="R109" s="170" t="s">
        <v>176</v>
      </c>
      <c r="S109" s="170"/>
      <c r="T109" s="170"/>
      <c r="U109" s="170"/>
      <c r="V109" s="170"/>
      <c r="W109" s="170"/>
      <c r="X109" s="170"/>
      <c r="Y109" s="724">
        <f>Y107-Y38</f>
        <v>1147715.2100000002</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4">
        <v>1</v>
      </c>
      <c r="J111" s="137">
        <f>Y109</f>
        <v>1147715.2100000002</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602"/>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10">
        <f>IF(I111=1,J111,J109)</f>
        <v>1147715.2100000002</v>
      </c>
      <c r="J114" s="711">
        <f>ROUND(IF(E28=0,0,IF(E28&gt;250,-(((250/E28)*I114)*IF(H113="H",0.02,0.05)),IF(H113="H",-0.02*I114,-0.05*I114))),2)</f>
        <v>-57385.760000000002</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6566647.3300000001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Payments'!R83</f>
        <v>-3500810.65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3065836.68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613167.34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7115-A370-40C6-8E06-C088BC87A968}">
  <dimension ref="A1:Z207"/>
  <sheetViews>
    <sheetView topLeftCell="A104"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443</v>
      </c>
      <c r="B2" s="102"/>
      <c r="C2" s="102"/>
      <c r="D2" s="102"/>
      <c r="E2" s="100"/>
      <c r="F2" s="100"/>
      <c r="G2" s="100"/>
      <c r="H2" s="100"/>
      <c r="I2" s="100"/>
      <c r="J2" s="100"/>
      <c r="K2" s="6"/>
      <c r="L2" s="6"/>
      <c r="M2" s="6"/>
      <c r="N2" s="6"/>
      <c r="O2" s="6"/>
      <c r="P2" s="6"/>
      <c r="Q2" s="6"/>
      <c r="R2" s="875" t="str">
        <f>Revenue_Estimate_Worksheet_for___________Charter_School</f>
        <v>Revenue Estimate Worksheet: Career Academy of the Palm Beaches - 3345</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Second'!$C$1:$C$65536,MATCH('3345'!$A$1,'[1]Detail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Second'!$D$1:$D$65536,MATCH('3345'!$A$1,'[1]Detail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v>
      </c>
      <c r="D15" s="415">
        <v>0</v>
      </c>
      <c r="E15" s="967">
        <f t="shared" si="0"/>
        <v>0</v>
      </c>
      <c r="F15" s="967"/>
      <c r="G15" s="968">
        <v>1</v>
      </c>
      <c r="H15" s="968"/>
      <c r="I15" s="578">
        <f t="shared" si="2"/>
        <v>0</v>
      </c>
      <c r="J15" s="579">
        <f t="shared" si="1"/>
        <v>0</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40.5</v>
      </c>
      <c r="D17" s="415">
        <v>0</v>
      </c>
      <c r="E17" s="967">
        <f t="shared" si="0"/>
        <v>81</v>
      </c>
      <c r="F17" s="967"/>
      <c r="G17" s="968">
        <v>0.97199999999999998</v>
      </c>
      <c r="H17" s="968"/>
      <c r="I17" s="578">
        <f t="shared" si="2"/>
        <v>78.731999999999999</v>
      </c>
      <c r="J17" s="579">
        <f t="shared" si="1"/>
        <v>438011.88</v>
      </c>
      <c r="M17" s="2"/>
      <c r="R17" s="860" t="s">
        <v>25</v>
      </c>
      <c r="S17" s="860"/>
      <c r="T17" s="891">
        <f t="shared" si="3"/>
        <v>81</v>
      </c>
      <c r="U17" s="891"/>
      <c r="V17" s="896">
        <v>1</v>
      </c>
      <c r="W17" s="896"/>
      <c r="X17" s="156">
        <f t="shared" si="4"/>
        <v>81</v>
      </c>
      <c r="Y17" s="266">
        <f t="shared" si="6"/>
        <v>450629.51</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0.5</v>
      </c>
      <c r="D20" s="415">
        <v>0</v>
      </c>
      <c r="E20" s="967">
        <f t="shared" si="0"/>
        <v>1</v>
      </c>
      <c r="F20" s="967"/>
      <c r="G20" s="968">
        <v>3.609</v>
      </c>
      <c r="H20" s="968"/>
      <c r="I20" s="578">
        <f t="shared" si="2"/>
        <v>3.609</v>
      </c>
      <c r="J20" s="579">
        <f t="shared" si="1"/>
        <v>20078.05</v>
      </c>
      <c r="M20" s="2"/>
      <c r="R20" s="860" t="s">
        <v>28</v>
      </c>
      <c r="S20" s="860"/>
      <c r="T20" s="891">
        <f t="shared" si="3"/>
        <v>1</v>
      </c>
      <c r="U20" s="891"/>
      <c r="V20" s="896">
        <v>1</v>
      </c>
      <c r="W20" s="896"/>
      <c r="X20" s="156">
        <f t="shared" si="4"/>
        <v>1</v>
      </c>
      <c r="Y20" s="266">
        <f t="shared" si="6"/>
        <v>5563.33</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41</v>
      </c>
      <c r="D28" s="126">
        <f>SUM(D12:D27)</f>
        <v>0</v>
      </c>
      <c r="E28" s="966">
        <f>SUM(E12:E27)</f>
        <v>82</v>
      </c>
      <c r="F28" s="966"/>
      <c r="G28" s="961"/>
      <c r="H28" s="961"/>
      <c r="I28" s="23">
        <f>SUM(I12:I27)</f>
        <v>82.340999999999994</v>
      </c>
      <c r="J28" s="127">
        <f>SUM(J12:J27)</f>
        <v>458089.93</v>
      </c>
      <c r="M28" s="2"/>
      <c r="R28" s="907" t="s">
        <v>36</v>
      </c>
      <c r="S28" s="907"/>
      <c r="T28" s="908">
        <f>SUM(T12:T27)</f>
        <v>82</v>
      </c>
      <c r="U28" s="908"/>
      <c r="V28" s="909"/>
      <c r="W28" s="909"/>
      <c r="X28" s="158">
        <f>SUM(X12:X27)</f>
        <v>82</v>
      </c>
      <c r="Y28" s="266">
        <f>SUM(Y12:Y27)</f>
        <v>456192.84</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82.340999999999994</v>
      </c>
      <c r="H33" s="961" t="s">
        <v>45</v>
      </c>
      <c r="I33" s="961"/>
      <c r="J33" s="32">
        <f>SUM(J32,J28)</f>
        <v>458089.93</v>
      </c>
      <c r="M33" s="2"/>
      <c r="R33" s="911" t="s">
        <v>44</v>
      </c>
      <c r="S33" s="911"/>
      <c r="T33" s="911"/>
      <c r="U33" s="911"/>
      <c r="V33" s="164" t="e">
        <f>V32+X28</f>
        <v>#REF!</v>
      </c>
      <c r="W33" s="909" t="s">
        <v>45</v>
      </c>
      <c r="X33" s="909"/>
      <c r="Y33" s="165">
        <f>SUM(Y32,Y28)</f>
        <v>456192.84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445722.66</v>
      </c>
      <c r="H36" s="223" t="s">
        <v>49</v>
      </c>
      <c r="I36" s="38">
        <v>6.6699999999999995E-2</v>
      </c>
      <c r="J36" s="131">
        <f>ROUND(G36*I36,2)</f>
        <v>29729.7</v>
      </c>
      <c r="K36" s="39"/>
      <c r="L36" s="233"/>
      <c r="M36" s="233"/>
      <c r="N36" s="233"/>
      <c r="O36" s="31"/>
      <c r="P36" s="232"/>
      <c r="Q36" s="232"/>
      <c r="R36" s="860" t="s">
        <v>47</v>
      </c>
      <c r="S36" s="860"/>
      <c r="T36" s="860"/>
      <c r="U36" s="253"/>
      <c r="V36" s="172">
        <v>428376.2</v>
      </c>
      <c r="W36" s="239" t="s">
        <v>49</v>
      </c>
      <c r="X36" s="174">
        <v>6.6699999999999995E-2</v>
      </c>
      <c r="Y36" s="266">
        <f>J36</f>
        <v>29729.7</v>
      </c>
    </row>
    <row r="37" spans="1:25" ht="20.25" customHeight="1" x14ac:dyDescent="0.25">
      <c r="A37" s="861" t="s">
        <v>50</v>
      </c>
      <c r="B37" s="861"/>
      <c r="C37" s="861"/>
      <c r="D37" s="861"/>
      <c r="E37" s="861"/>
      <c r="F37" s="248" t="s">
        <v>48</v>
      </c>
      <c r="G37" s="132">
        <v>445722.66</v>
      </c>
      <c r="H37" s="223" t="s">
        <v>49</v>
      </c>
      <c r="I37" s="38">
        <v>5.4000000000000003E-3</v>
      </c>
      <c r="J37" s="131">
        <f>ROUND(G37*I37,2)</f>
        <v>2406.9</v>
      </c>
      <c r="K37" s="39"/>
      <c r="L37" s="233"/>
      <c r="M37" s="233"/>
      <c r="N37" s="233"/>
      <c r="O37" s="31"/>
      <c r="P37" s="232"/>
      <c r="Q37" s="232"/>
      <c r="R37" s="860" t="s">
        <v>50</v>
      </c>
      <c r="S37" s="860"/>
      <c r="T37" s="860"/>
      <c r="U37" s="253"/>
      <c r="V37" s="172">
        <v>428376.2</v>
      </c>
      <c r="W37" s="239" t="s">
        <v>49</v>
      </c>
      <c r="X37" s="174">
        <v>5.4000000000000003E-3</v>
      </c>
      <c r="Y37" s="266">
        <f>J37</f>
        <v>2406.9</v>
      </c>
    </row>
    <row r="38" spans="1:25" ht="20.25" customHeight="1" x14ac:dyDescent="0.25">
      <c r="A38" s="898" t="s">
        <v>51</v>
      </c>
      <c r="B38" s="898"/>
      <c r="C38" s="898"/>
      <c r="D38" s="898"/>
      <c r="E38" s="898"/>
      <c r="F38" s="248" t="s">
        <v>52</v>
      </c>
      <c r="G38" s="40"/>
      <c r="H38" s="223"/>
      <c r="I38" s="41"/>
      <c r="J38" s="131">
        <f>SUM(J36:J37)</f>
        <v>32136.600000000002</v>
      </c>
      <c r="K38" s="39"/>
      <c r="L38" s="233"/>
      <c r="M38" s="233"/>
      <c r="N38" s="233"/>
      <c r="O38" s="31"/>
      <c r="P38" s="232"/>
      <c r="Q38" s="232"/>
      <c r="R38" s="862" t="s">
        <v>51</v>
      </c>
      <c r="S38" s="862"/>
      <c r="T38" s="862"/>
      <c r="U38" s="253" t="s">
        <v>52</v>
      </c>
      <c r="V38" s="175"/>
      <c r="W38" s="239"/>
      <c r="X38" s="176"/>
      <c r="Y38" s="266">
        <f>Y36+Y37</f>
        <v>32136.600000000002</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0</v>
      </c>
      <c r="D44" s="415">
        <v>0</v>
      </c>
      <c r="E44" s="954">
        <f t="shared" si="7"/>
        <v>0</v>
      </c>
      <c r="F44" s="954"/>
      <c r="G44" s="47" t="s">
        <v>60</v>
      </c>
      <c r="H44" s="223">
        <v>251</v>
      </c>
      <c r="I44" s="136">
        <f>INDEX('[1]111-112-113 ADDITIONAL FUND'!G$1:G$65536,MATCH($A$1,'[1]111-112-113 ADDITIONAL FUND'!A$1:A$65536))</f>
        <v>1173</v>
      </c>
      <c r="J44" s="13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46">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1.52</v>
      </c>
      <c r="D47" s="415">
        <v>0</v>
      </c>
      <c r="E47" s="954">
        <f t="shared" si="7"/>
        <v>3.04</v>
      </c>
      <c r="F47" s="954"/>
      <c r="G47" s="47" t="s">
        <v>61</v>
      </c>
      <c r="H47" s="223">
        <v>251</v>
      </c>
      <c r="I47" s="136">
        <f>INDEX('[1]111-112-113 ADDITIONAL FUND'!J$1:J$65536,MATCH($A$1,'[1]111-112-113 ADDITIONAL FUND'!A$1:A$65536))</f>
        <v>835</v>
      </c>
      <c r="J47" s="137">
        <f t="shared" si="8"/>
        <v>2538.4</v>
      </c>
      <c r="M47" s="2"/>
      <c r="R47" s="903"/>
      <c r="S47" s="903"/>
      <c r="T47" s="905"/>
      <c r="U47" s="905"/>
      <c r="V47" s="182" t="s">
        <v>61</v>
      </c>
      <c r="W47" s="239">
        <v>251</v>
      </c>
      <c r="X47" s="134">
        <f t="shared" si="9"/>
        <v>835</v>
      </c>
      <c r="Y47" s="269">
        <f t="shared" si="10"/>
        <v>0</v>
      </c>
    </row>
    <row r="48" spans="1:25" ht="15.75" customHeight="1" x14ac:dyDescent="0.25">
      <c r="A48" s="960"/>
      <c r="B48" s="960"/>
      <c r="C48" s="415">
        <v>13.67</v>
      </c>
      <c r="D48" s="415">
        <v>0</v>
      </c>
      <c r="E48" s="954">
        <f t="shared" si="7"/>
        <v>27.34</v>
      </c>
      <c r="F48" s="954"/>
      <c r="G48" s="47" t="s">
        <v>61</v>
      </c>
      <c r="H48" s="223">
        <v>252</v>
      </c>
      <c r="I48" s="136">
        <f>INDEX('[1]111-112-113 ADDITIONAL FUND'!K$1:K$65536,MATCH($A$1,'[1]111-112-113 ADDITIONAL FUND'!A$1:A$65536))</f>
        <v>3168</v>
      </c>
      <c r="J48" s="137">
        <f t="shared" si="8"/>
        <v>86613.119999999995</v>
      </c>
      <c r="M48" s="2"/>
      <c r="R48" s="903"/>
      <c r="S48" s="903"/>
      <c r="T48" s="905"/>
      <c r="U48" s="905"/>
      <c r="V48" s="182" t="s">
        <v>61</v>
      </c>
      <c r="W48" s="239">
        <v>252</v>
      </c>
      <c r="X48" s="134">
        <f t="shared" si="9"/>
        <v>3168</v>
      </c>
      <c r="Y48" s="269">
        <f t="shared" si="10"/>
        <v>0</v>
      </c>
    </row>
    <row r="49" spans="1:25" ht="15.75" customHeight="1" thickBot="1" x14ac:dyDescent="0.3">
      <c r="A49" s="960"/>
      <c r="B49" s="960"/>
      <c r="C49" s="415">
        <v>25.31</v>
      </c>
      <c r="D49" s="415">
        <v>0</v>
      </c>
      <c r="E49" s="955">
        <f t="shared" si="7"/>
        <v>50.62</v>
      </c>
      <c r="F49" s="955"/>
      <c r="G49" s="47" t="s">
        <v>61</v>
      </c>
      <c r="H49" s="223">
        <v>253</v>
      </c>
      <c r="I49" s="136">
        <f>INDEX('[1]111-112-113 ADDITIONAL FUND'!L$1:L$65536,MATCH($A$1,'[1]111-112-113 ADDITIONAL FUND'!A$1:A$65536))</f>
        <v>6685</v>
      </c>
      <c r="J49" s="137">
        <f t="shared" si="8"/>
        <v>338394.7</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40.5</v>
      </c>
      <c r="D50" s="585">
        <f>SUM(D41:D49)</f>
        <v>0</v>
      </c>
      <c r="E50" s="956">
        <f>SUM(E41:E49)</f>
        <v>81</v>
      </c>
      <c r="F50" s="956"/>
      <c r="G50" s="912" t="s">
        <v>63</v>
      </c>
      <c r="H50" s="912"/>
      <c r="I50" s="912"/>
      <c r="J50" s="276">
        <f>SUM(J41:J49)</f>
        <v>427546.22</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82</v>
      </c>
      <c r="U52" s="184" t="s">
        <v>66</v>
      </c>
      <c r="V52" s="185"/>
      <c r="W52" s="186" t="s">
        <v>67</v>
      </c>
      <c r="X52" s="919">
        <f>I53</f>
        <v>207782.75</v>
      </c>
      <c r="Y52" s="919"/>
    </row>
    <row r="53" spans="1:25" ht="16.5" customHeight="1" x14ac:dyDescent="0.25">
      <c r="A53" s="899" t="s">
        <v>65</v>
      </c>
      <c r="B53" s="899"/>
      <c r="C53" s="237"/>
      <c r="D53" s="237"/>
      <c r="E53" s="48">
        <f>E28</f>
        <v>82</v>
      </c>
      <c r="F53" s="49" t="s">
        <v>66</v>
      </c>
      <c r="G53" s="3"/>
      <c r="H53" s="50" t="s">
        <v>67</v>
      </c>
      <c r="I53" s="994">
        <f>'0040'!I53</f>
        <v>207782.75</v>
      </c>
      <c r="J53" s="994"/>
      <c r="M53" s="2"/>
      <c r="R53" s="255"/>
      <c r="S53" s="243"/>
      <c r="T53" s="170"/>
      <c r="U53" s="170"/>
      <c r="V53" s="170"/>
      <c r="W53" s="189" t="s">
        <v>68</v>
      </c>
      <c r="X53" s="920">
        <f>ROUND(T52/X52,6)</f>
        <v>3.9500000000000001E-4</v>
      </c>
      <c r="Y53" s="920"/>
    </row>
    <row r="54" spans="1:25" ht="22.5" customHeight="1" x14ac:dyDescent="0.25">
      <c r="A54" s="237"/>
      <c r="B54" s="230"/>
      <c r="C54" s="230"/>
      <c r="D54" s="230"/>
      <c r="H54" s="53" t="s">
        <v>68</v>
      </c>
      <c r="I54" s="945">
        <f>IFERROR(ROUND(E53/I53,6),0)</f>
        <v>3.9500000000000001E-4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82</v>
      </c>
      <c r="U55" s="184" t="s">
        <v>66</v>
      </c>
      <c r="V55" s="185"/>
      <c r="W55" s="186" t="s">
        <v>71</v>
      </c>
      <c r="X55" s="919">
        <f>I56</f>
        <v>221179.83999999997</v>
      </c>
      <c r="Y55" s="919"/>
    </row>
    <row r="56" spans="1:25" ht="16.5" customHeight="1" x14ac:dyDescent="0.25">
      <c r="A56" s="899" t="s">
        <v>70</v>
      </c>
      <c r="B56" s="899"/>
      <c r="C56" s="237"/>
      <c r="D56" s="237"/>
      <c r="E56" s="48">
        <f>G33</f>
        <v>82.340999999999994</v>
      </c>
      <c r="F56" s="49" t="s">
        <v>66</v>
      </c>
      <c r="G56" s="3"/>
      <c r="H56" s="50" t="s">
        <v>71</v>
      </c>
      <c r="I56" s="994">
        <f>'0040'!I56</f>
        <v>221179.83999999997</v>
      </c>
      <c r="J56" s="994"/>
      <c r="M56" s="2"/>
      <c r="R56" s="255"/>
      <c r="S56" s="170"/>
      <c r="T56" s="170"/>
      <c r="U56" s="170"/>
      <c r="V56" s="170"/>
      <c r="W56" s="189" t="s">
        <v>68</v>
      </c>
      <c r="X56" s="920">
        <f>ROUND(T55/X55,6)</f>
        <v>3.7100000000000002E-4</v>
      </c>
      <c r="Y56" s="920"/>
    </row>
    <row r="57" spans="1:25" ht="18.75" customHeight="1" x14ac:dyDescent="0.25">
      <c r="A57" s="237"/>
      <c r="H57" s="53" t="s">
        <v>68</v>
      </c>
      <c r="I57" s="945">
        <f>IFERROR(ROUND(E56/I56,6),0)</f>
        <v>3.7199999999999999E-4</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82</v>
      </c>
      <c r="U58" s="184" t="s">
        <v>66</v>
      </c>
      <c r="V58" s="918" t="s">
        <v>74</v>
      </c>
      <c r="W58" s="918"/>
      <c r="X58" s="919">
        <f>I59</f>
        <v>178931.75</v>
      </c>
      <c r="Y58" s="919"/>
    </row>
    <row r="59" spans="1:25" ht="18.75" customHeight="1" x14ac:dyDescent="0.25">
      <c r="A59" s="899" t="s">
        <v>73</v>
      </c>
      <c r="B59" s="899"/>
      <c r="C59" s="237"/>
      <c r="D59" s="237"/>
      <c r="E59" s="48">
        <f>E28</f>
        <v>82</v>
      </c>
      <c r="F59" s="49" t="s">
        <v>66</v>
      </c>
      <c r="G59" s="990" t="s">
        <v>74</v>
      </c>
      <c r="H59" s="990"/>
      <c r="I59" s="994">
        <f>'0040'!I59</f>
        <v>178931.75</v>
      </c>
      <c r="J59" s="994"/>
      <c r="M59" s="2"/>
      <c r="R59" s="255"/>
      <c r="S59" s="170"/>
      <c r="T59" s="170"/>
      <c r="U59" s="170"/>
      <c r="V59" s="170"/>
      <c r="W59" s="189" t="s">
        <v>68</v>
      </c>
      <c r="X59" s="920">
        <f>ROUND(T58/X58,6)</f>
        <v>4.5800000000000002E-4</v>
      </c>
      <c r="Y59" s="920"/>
    </row>
    <row r="60" spans="1:25" ht="18" customHeight="1" x14ac:dyDescent="0.25">
      <c r="A60" s="237"/>
      <c r="H60" s="53" t="s">
        <v>68</v>
      </c>
      <c r="I60" s="945">
        <f>IFERROR(ROUND(E59/I59,6),0)</f>
        <v>4.5800000000000002E-4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82</v>
      </c>
      <c r="U61" s="184" t="s">
        <v>66</v>
      </c>
      <c r="V61" s="918" t="s">
        <v>76</v>
      </c>
      <c r="W61" s="918"/>
      <c r="X61" s="919">
        <f>I62</f>
        <v>207463.82</v>
      </c>
      <c r="Y61" s="919"/>
    </row>
    <row r="62" spans="1:25" ht="30.75" customHeight="1" x14ac:dyDescent="0.25">
      <c r="A62" s="899" t="s">
        <v>73</v>
      </c>
      <c r="B62" s="899"/>
      <c r="C62" s="237"/>
      <c r="D62" s="237"/>
      <c r="E62" s="48">
        <f>E28</f>
        <v>82</v>
      </c>
      <c r="F62" s="49" t="s">
        <v>66</v>
      </c>
      <c r="G62" s="990" t="s">
        <v>76</v>
      </c>
      <c r="H62" s="990"/>
      <c r="I62" s="994">
        <f>'0040'!I62</f>
        <v>207463.82</v>
      </c>
      <c r="J62" s="994"/>
      <c r="M62" s="2"/>
      <c r="R62" s="255"/>
      <c r="S62" s="170"/>
      <c r="T62" s="170"/>
      <c r="U62" s="170"/>
      <c r="V62" s="170"/>
      <c r="W62" s="189" t="s">
        <v>68</v>
      </c>
      <c r="X62" s="920">
        <f>ROUND(T61/X61,6)</f>
        <v>3.9500000000000001E-4</v>
      </c>
      <c r="Y62" s="920"/>
    </row>
    <row r="63" spans="1:25" ht="19.5" customHeight="1" x14ac:dyDescent="0.25">
      <c r="A63" s="237"/>
      <c r="H63" s="53" t="s">
        <v>68</v>
      </c>
      <c r="I63" s="945">
        <f>IFERROR(ROUND(E62/I62,6),0)</f>
        <v>3.9500000000000001E-4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82</v>
      </c>
      <c r="U64" s="184" t="s">
        <v>66</v>
      </c>
      <c r="V64" s="918" t="s">
        <v>161</v>
      </c>
      <c r="W64" s="918"/>
      <c r="X64" s="919">
        <f>I65</f>
        <v>178612.82</v>
      </c>
      <c r="Y64" s="919"/>
    </row>
    <row r="65" spans="1:26" ht="49.5" customHeight="1" x14ac:dyDescent="0.25">
      <c r="A65" s="899" t="s">
        <v>73</v>
      </c>
      <c r="B65" s="899"/>
      <c r="C65" s="237"/>
      <c r="D65" s="237"/>
      <c r="E65" s="48">
        <f>E28</f>
        <v>82</v>
      </c>
      <c r="F65" s="49" t="s">
        <v>66</v>
      </c>
      <c r="G65" s="990" t="s">
        <v>78</v>
      </c>
      <c r="H65" s="990"/>
      <c r="I65" s="994">
        <f>'0040'!I65</f>
        <v>178612.82</v>
      </c>
      <c r="J65" s="994"/>
      <c r="M65" s="2"/>
      <c r="R65" s="190"/>
      <c r="S65" s="170"/>
      <c r="T65" s="170"/>
      <c r="U65" s="170"/>
      <c r="V65" s="170"/>
      <c r="W65" s="189" t="s">
        <v>68</v>
      </c>
      <c r="X65" s="920">
        <f>ROUND(T64/X64,6)</f>
        <v>4.5899999999999999E-4</v>
      </c>
      <c r="Y65" s="920"/>
    </row>
    <row r="66" spans="1:26" ht="19.5" customHeight="1" x14ac:dyDescent="0.25">
      <c r="A66" s="237"/>
      <c r="H66" s="53" t="s">
        <v>68</v>
      </c>
      <c r="I66" s="945">
        <f>IFERROR(ROUND(E65/I65,6),0)</f>
        <v>4.5899999999999999E-4</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3.9500000000000001E-4</v>
      </c>
      <c r="Y67" s="271">
        <f>ROUND(V67*X67,2)</f>
        <v>18023.689999999999</v>
      </c>
    </row>
    <row r="68" spans="1:26" ht="30.75" customHeight="1" x14ac:dyDescent="0.25">
      <c r="A68" s="946" t="s">
        <v>79</v>
      </c>
      <c r="B68" s="946"/>
      <c r="C68" s="946"/>
      <c r="D68" s="946"/>
      <c r="E68" s="946"/>
      <c r="F68" s="248" t="s">
        <v>80</v>
      </c>
      <c r="G68" s="277">
        <f>'0040'!G68</f>
        <v>45629593</v>
      </c>
      <c r="H68" s="223" t="s">
        <v>81</v>
      </c>
      <c r="I68" s="41">
        <f>I63</f>
        <v>3.9500000000000001E-4</v>
      </c>
      <c r="J68" s="138">
        <f>ROUND(G68*I68,2)</f>
        <v>18023.689999999999</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3.9500000000000001E-4</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3.9500000000000001E-4</v>
      </c>
      <c r="J70" s="138">
        <f>ROUND(G70*I70,2)</f>
        <v>0</v>
      </c>
      <c r="M70" s="2"/>
      <c r="R70" s="862" t="s">
        <v>163</v>
      </c>
      <c r="S70" s="862"/>
      <c r="T70" s="862"/>
      <c r="U70" s="253"/>
      <c r="V70" s="193">
        <f>G71</f>
        <v>18934058</v>
      </c>
      <c r="W70" s="239" t="s">
        <v>81</v>
      </c>
      <c r="X70" s="176">
        <f>X65</f>
        <v>4.5899999999999999E-4</v>
      </c>
      <c r="Y70" s="266">
        <f t="shared" si="11"/>
        <v>8690.73</v>
      </c>
    </row>
    <row r="71" spans="1:26" ht="19.5" customHeight="1" x14ac:dyDescent="0.25">
      <c r="A71" s="898" t="s">
        <v>85</v>
      </c>
      <c r="B71" s="898"/>
      <c r="C71" s="898"/>
      <c r="D71" s="898"/>
      <c r="E71" s="898"/>
      <c r="F71" s="248" t="s">
        <v>86</v>
      </c>
      <c r="G71" s="277">
        <f>'0040'!G71</f>
        <v>18934058</v>
      </c>
      <c r="H71" s="223" t="s">
        <v>81</v>
      </c>
      <c r="I71" s="41">
        <f>I66</f>
        <v>4.5899999999999999E-4</v>
      </c>
      <c r="J71" s="138">
        <f>ROUND(G71*I71,2)</f>
        <v>8690.73</v>
      </c>
      <c r="M71" s="2"/>
      <c r="R71" s="240" t="s">
        <v>164</v>
      </c>
      <c r="S71" s="240"/>
      <c r="T71" s="240"/>
      <c r="U71" s="253"/>
      <c r="V71" s="171">
        <f>G72</f>
        <v>11300012</v>
      </c>
      <c r="W71" s="239" t="s">
        <v>81</v>
      </c>
      <c r="X71" s="176">
        <f>X59</f>
        <v>4.5800000000000002E-4</v>
      </c>
      <c r="Y71" s="266">
        <f t="shared" si="11"/>
        <v>5175.41</v>
      </c>
    </row>
    <row r="72" spans="1:26" ht="19.5" customHeight="1" x14ac:dyDescent="0.25">
      <c r="A72" s="235" t="s">
        <v>87</v>
      </c>
      <c r="B72" s="235"/>
      <c r="C72" s="235"/>
      <c r="D72" s="235"/>
      <c r="E72" s="235"/>
      <c r="F72" s="248" t="s">
        <v>88</v>
      </c>
      <c r="G72" s="277">
        <f>'0040'!G72</f>
        <v>11300012</v>
      </c>
      <c r="H72" s="223" t="s">
        <v>81</v>
      </c>
      <c r="I72" s="41">
        <f>I60</f>
        <v>4.5800000000000002E-4</v>
      </c>
      <c r="J72" s="138">
        <f>ROUND(G72*I72,2)</f>
        <v>5175.41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3.7199999999999999E-4</v>
      </c>
      <c r="J85" s="138">
        <f>ROUND(G85*I85,2)</f>
        <v>99999.66</v>
      </c>
      <c r="K85" s="70"/>
      <c r="L85" s="70"/>
      <c r="M85" s="71"/>
      <c r="N85" s="70"/>
      <c r="O85" s="70"/>
      <c r="P85" s="70"/>
      <c r="Q85" s="70"/>
      <c r="R85" s="862" t="s">
        <v>168</v>
      </c>
      <c r="S85" s="862"/>
      <c r="T85" s="862"/>
      <c r="U85" s="253"/>
      <c r="V85" s="171">
        <f>G85</f>
        <v>268816278</v>
      </c>
      <c r="W85" s="239" t="s">
        <v>81</v>
      </c>
      <c r="X85" s="176">
        <f>X56</f>
        <v>3.7100000000000002E-4</v>
      </c>
      <c r="Y85" s="266">
        <f t="shared" ref="Y85:Y87" si="12">ROUND(V85*X85,2)</f>
        <v>99730.84</v>
      </c>
    </row>
    <row r="86" spans="1:26" ht="14.25" customHeight="1" x14ac:dyDescent="0.25">
      <c r="A86" s="898" t="s">
        <v>104</v>
      </c>
      <c r="B86" s="898"/>
      <c r="C86" s="898"/>
      <c r="D86" s="898"/>
      <c r="E86" s="898"/>
      <c r="F86" s="248" t="s">
        <v>103</v>
      </c>
      <c r="G86" s="139">
        <v>0</v>
      </c>
      <c r="H86" s="223" t="s">
        <v>81</v>
      </c>
      <c r="I86" s="41">
        <f>I57</f>
        <v>3.7199999999999999E-4</v>
      </c>
      <c r="J86" s="138">
        <f>ROUND(G86*I86,2)</f>
        <v>0</v>
      </c>
      <c r="K86" s="70"/>
      <c r="L86" s="71"/>
      <c r="M86" s="76"/>
      <c r="N86" s="76"/>
      <c r="O86" s="76"/>
      <c r="P86" s="76"/>
      <c r="Q86" s="70"/>
      <c r="R86" s="862" t="s">
        <v>169</v>
      </c>
      <c r="S86" s="862"/>
      <c r="T86" s="862"/>
      <c r="U86" s="253"/>
      <c r="V86" s="203">
        <f>G86</f>
        <v>0</v>
      </c>
      <c r="W86" s="239" t="s">
        <v>81</v>
      </c>
      <c r="X86" s="176">
        <f>X56</f>
        <v>3.7100000000000002E-4</v>
      </c>
      <c r="Y86" s="266">
        <f t="shared" si="12"/>
        <v>0</v>
      </c>
    </row>
    <row r="87" spans="1:26" ht="18" customHeight="1" x14ac:dyDescent="0.25">
      <c r="A87" s="898" t="s">
        <v>105</v>
      </c>
      <c r="B87" s="898"/>
      <c r="C87" s="898"/>
      <c r="D87" s="898"/>
      <c r="E87" s="898"/>
      <c r="F87" s="248" t="s">
        <v>84</v>
      </c>
      <c r="G87" s="139">
        <v>0</v>
      </c>
      <c r="H87" s="223" t="s">
        <v>81</v>
      </c>
      <c r="I87" s="41">
        <f>I54</f>
        <v>3.9500000000000001E-4</v>
      </c>
      <c r="J87" s="62">
        <f>ROUND(G87*I87,2)</f>
        <v>0</v>
      </c>
      <c r="K87" s="77"/>
      <c r="L87" s="70"/>
      <c r="M87" s="71"/>
      <c r="N87" s="70"/>
      <c r="O87" s="70"/>
      <c r="P87" s="70"/>
      <c r="Q87" s="70"/>
      <c r="R87" s="240" t="s">
        <v>170</v>
      </c>
      <c r="S87" s="240"/>
      <c r="T87" s="240"/>
      <c r="U87" s="253"/>
      <c r="V87" s="203">
        <f>G87</f>
        <v>0</v>
      </c>
      <c r="W87" s="239" t="s">
        <v>81</v>
      </c>
      <c r="X87" s="176">
        <f>X53</f>
        <v>3.9500000000000001E-4</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141">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0</v>
      </c>
      <c r="C91" s="245"/>
      <c r="D91" s="869">
        <f>I6</f>
        <v>1.0355000000000001</v>
      </c>
      <c r="E91" s="869"/>
      <c r="F91" s="869"/>
      <c r="G91" s="122">
        <f>'[1]Detail 2025-26 FEFP Second'!AC3</f>
        <v>915.09</v>
      </c>
      <c r="H91" s="47" t="s">
        <v>68</v>
      </c>
      <c r="I91" s="140">
        <f>ROUND(B91*D91*G91,2)</f>
        <v>0</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82.340999999999994</v>
      </c>
      <c r="C92" s="109"/>
      <c r="D92" s="869">
        <f>I6</f>
        <v>1.0355000000000001</v>
      </c>
      <c r="E92" s="869"/>
      <c r="F92" s="869"/>
      <c r="G92" s="122">
        <f>'[1]Detail 2025-26 FEFP Second'!AD3</f>
        <v>917.3</v>
      </c>
      <c r="H92" s="47" t="s">
        <v>68</v>
      </c>
      <c r="I92" s="575">
        <f>ROUND(B92*D92*G92,2)</f>
        <v>78212.759999999995</v>
      </c>
      <c r="K92" s="70"/>
      <c r="L92" s="70"/>
      <c r="M92" s="71"/>
      <c r="N92" s="70"/>
      <c r="O92" s="70"/>
      <c r="P92" s="70"/>
      <c r="Q92" s="70"/>
      <c r="R92" s="207" t="s">
        <v>61</v>
      </c>
      <c r="S92" s="208">
        <f>X16+X17+X20+X23+X26+X27</f>
        <v>82</v>
      </c>
      <c r="T92" s="924">
        <f>X6</f>
        <v>1.0355000000000001</v>
      </c>
      <c r="U92" s="924"/>
      <c r="V92" s="122">
        <f>G92</f>
        <v>917.3</v>
      </c>
      <c r="W92" s="182" t="s">
        <v>68</v>
      </c>
      <c r="X92" s="272">
        <f>ROUND(S92*T92*V92,2)</f>
        <v>77888.86</v>
      </c>
      <c r="Y92" s="170"/>
    </row>
    <row r="93" spans="1:26" ht="18.75" customHeight="1" thickBot="1" x14ac:dyDescent="0.3">
      <c r="A93" s="247" t="s">
        <v>111</v>
      </c>
      <c r="B93" s="109">
        <f>SUM(B90:B92)</f>
        <v>82.340999999999994</v>
      </c>
      <c r="C93" s="109"/>
      <c r="D93" s="109"/>
      <c r="E93" s="939" t="s">
        <v>112</v>
      </c>
      <c r="F93" s="939"/>
      <c r="G93" s="939"/>
      <c r="H93" s="939"/>
      <c r="I93" s="939"/>
      <c r="J93" s="127">
        <f>IF(A1=75,0,I92+I91+I90)</f>
        <v>78212.759999999995</v>
      </c>
      <c r="K93" s="70"/>
      <c r="L93" s="70"/>
      <c r="M93" s="71"/>
      <c r="N93" s="70"/>
      <c r="O93" s="70"/>
      <c r="P93" s="70"/>
      <c r="Q93" s="70"/>
      <c r="R93" s="252" t="s">
        <v>111</v>
      </c>
      <c r="S93" s="210">
        <f>SUM(S90:S92)</f>
        <v>82</v>
      </c>
      <c r="T93" s="925" t="s">
        <v>112</v>
      </c>
      <c r="U93" s="926"/>
      <c r="V93" s="926"/>
      <c r="W93" s="926"/>
      <c r="X93" s="926"/>
      <c r="Y93" s="266">
        <f>IF(R1=75,0,X92+X91+X90)</f>
        <v>77888.86</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73</v>
      </c>
      <c r="U96" s="930"/>
      <c r="V96" s="930"/>
      <c r="W96" s="261" t="s">
        <v>117</v>
      </c>
      <c r="X96" s="212">
        <f>I97</f>
        <v>586</v>
      </c>
      <c r="Y96" s="266">
        <f>ROUND(X96*T96,2)</f>
        <v>42778</v>
      </c>
    </row>
    <row r="97" spans="1:25" ht="17.25" customHeight="1" x14ac:dyDescent="0.25">
      <c r="A97" s="912" t="s">
        <v>116</v>
      </c>
      <c r="B97" s="912"/>
      <c r="C97" s="279">
        <v>73</v>
      </c>
      <c r="D97" s="279">
        <v>0</v>
      </c>
      <c r="E97" s="988">
        <f>(C97+D97)</f>
        <v>73</v>
      </c>
      <c r="F97" s="942"/>
      <c r="G97" s="942"/>
      <c r="H97" s="224" t="s">
        <v>117</v>
      </c>
      <c r="I97" s="130">
        <f>'0040'!I97</f>
        <v>586</v>
      </c>
      <c r="J97" s="138">
        <f>ROUND(I97*E97,2)</f>
        <v>42778</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1138516.3999999999</v>
      </c>
      <c r="L107" s="576"/>
      <c r="R107" s="862" t="s">
        <v>125</v>
      </c>
      <c r="S107" s="862"/>
      <c r="T107" s="862"/>
      <c r="U107" s="862"/>
      <c r="V107" s="862"/>
      <c r="W107" s="862"/>
      <c r="X107" s="862"/>
      <c r="Y107" s="723">
        <f>SUM(Y106,Y105,Y97,Y96,Y93,Y86,Y85,Y84,Y70,Y69,Y67,Y33,Y71,Y50,Y87,Y83)</f>
        <v>708480.37000000011</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1106379.7999999998</v>
      </c>
      <c r="R109" s="170" t="s">
        <v>176</v>
      </c>
      <c r="S109" s="170"/>
      <c r="T109" s="170"/>
      <c r="U109" s="170"/>
      <c r="V109" s="170"/>
      <c r="W109" s="170"/>
      <c r="X109" s="170"/>
      <c r="Y109" s="724">
        <f>Y107-Y38</f>
        <v>676343.77000000014</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v>1</v>
      </c>
      <c r="J111" s="137">
        <f>Y109</f>
        <v>676343.77000000014</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602"/>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09"/>
      <c r="I114" s="710">
        <f>IF(I111=1,J111,J109)</f>
        <v>676343.77000000014</v>
      </c>
      <c r="J114" s="711">
        <f>ROUND(IF(E28=0,0,IF(E28&gt;250,-(((250/E28)*I114)*IF(H114="H",0.02,0.05)),IF(H114="H",-0.02*I114,-0.05*I114))),2)</f>
        <v>-33817.19</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1104699.21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Payments'!R84</f>
        <v>-647297.82000000007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457401.3899999999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91480.28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587C-2277-491E-887B-4AF823F5E25B}">
  <dimension ref="A1:Z207"/>
  <sheetViews>
    <sheetView topLeftCell="A98" workbookViewId="0">
      <selection activeCell="C45" sqref="C45"/>
    </sheetView>
  </sheetViews>
  <sheetFormatPr defaultRowHeight="15.75" x14ac:dyDescent="0.25"/>
  <cols>
    <col min="1" max="1" width="13" style="75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556</v>
      </c>
      <c r="B2" s="102"/>
      <c r="C2" s="102"/>
      <c r="D2" s="102"/>
      <c r="E2" s="100"/>
      <c r="F2" s="100"/>
      <c r="G2" s="100"/>
      <c r="H2" s="100"/>
      <c r="I2" s="100"/>
      <c r="J2" s="100"/>
      <c r="K2" s="6"/>
      <c r="L2" s="6"/>
      <c r="M2" s="6"/>
      <c r="N2" s="6"/>
      <c r="O2" s="6"/>
      <c r="P2" s="6"/>
      <c r="Q2" s="6"/>
      <c r="R2" s="875" t="str">
        <f>Revenue_Estimate_Worksheet_for___________Charter_School</f>
        <v>Revenue Estimate Worksheet: Somerset Academy Avenir 3362</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772"/>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773"/>
      <c r="D6" s="773"/>
      <c r="E6" s="983">
        <v>5372.6</v>
      </c>
      <c r="F6" s="983"/>
      <c r="G6" s="984" t="s">
        <v>5</v>
      </c>
      <c r="H6" s="984"/>
      <c r="I6" s="283">
        <f>INDEX('[1]Detail 2025-26 FEFP Second'!$C$1:$C$65536,MATCH('3362'!$A$1,'[1]Detail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773"/>
      <c r="B7" s="773"/>
      <c r="C7" s="773"/>
      <c r="D7" s="773"/>
      <c r="E7" s="227"/>
      <c r="F7" s="227"/>
      <c r="G7" s="774" t="s">
        <v>6</v>
      </c>
      <c r="H7" s="774"/>
      <c r="I7" s="283">
        <f>INDEX('[1]Detail 2025-26 FEFP Second'!$D$1:$D$65536,MATCH('3362'!$A$1,'[1]Detail 2025-26 FEFP Second'!$A$1:$A$65536,0))</f>
        <v>1</v>
      </c>
      <c r="J7" s="12"/>
      <c r="M7" s="2"/>
      <c r="R7" s="747"/>
      <c r="S7" s="747"/>
      <c r="T7" s="748"/>
      <c r="U7" s="748"/>
      <c r="V7" s="749" t="s">
        <v>6</v>
      </c>
      <c r="W7" s="749"/>
      <c r="X7" s="750">
        <v>1</v>
      </c>
      <c r="Y7" s="750"/>
    </row>
    <row r="8" spans="1:25" ht="18" customHeight="1" x14ac:dyDescent="0.25">
      <c r="A8" s="773"/>
      <c r="B8" s="773"/>
      <c r="C8" s="773"/>
      <c r="D8" s="773"/>
      <c r="E8" s="13"/>
      <c r="F8" s="13"/>
      <c r="G8" s="14"/>
      <c r="H8" s="14"/>
      <c r="I8" s="15"/>
      <c r="J8" s="16" t="s">
        <v>7</v>
      </c>
      <c r="M8" s="2"/>
      <c r="R8" s="747"/>
      <c r="S8" s="747"/>
      <c r="T8" s="148"/>
      <c r="U8" s="148"/>
      <c r="V8" s="149"/>
      <c r="W8" s="149"/>
      <c r="X8" s="150"/>
      <c r="Y8" s="151" t="s">
        <v>7</v>
      </c>
    </row>
    <row r="9" spans="1:25" ht="15.75" customHeight="1" x14ac:dyDescent="0.25">
      <c r="A9" s="773"/>
      <c r="B9" s="773"/>
      <c r="C9" s="111" t="s">
        <v>570</v>
      </c>
      <c r="D9" s="112" t="s">
        <v>571</v>
      </c>
      <c r="E9" s="13"/>
      <c r="F9" s="13"/>
      <c r="G9" s="985" t="s">
        <v>8</v>
      </c>
      <c r="H9" s="985"/>
      <c r="I9" s="15" t="s">
        <v>9</v>
      </c>
      <c r="J9" s="16" t="s">
        <v>10</v>
      </c>
      <c r="M9" s="2"/>
      <c r="R9" s="747"/>
      <c r="S9" s="747"/>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49.8</v>
      </c>
      <c r="D12" s="411">
        <v>0</v>
      </c>
      <c r="E12" s="980">
        <f t="shared" ref="E12:E27" si="0">IF($D$28=0,C12*2,C12+D12)</f>
        <v>99.6</v>
      </c>
      <c r="F12" s="980"/>
      <c r="G12" s="981">
        <v>1.1080000000000001</v>
      </c>
      <c r="H12" s="981"/>
      <c r="I12" s="578">
        <f>ROUND(E12*G12,4)</f>
        <v>110.35680000000001</v>
      </c>
      <c r="J12" s="579">
        <f t="shared" ref="J12:J27" si="1">ROUND(ROUND(ROUND(I12*$E$6,4)*($I$6),2)*(MAX($I$7,1)),2)</f>
        <v>613951</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6.5</v>
      </c>
      <c r="D13" s="415">
        <v>0</v>
      </c>
      <c r="E13" s="967">
        <f t="shared" si="0"/>
        <v>13</v>
      </c>
      <c r="F13" s="967"/>
      <c r="G13" s="968">
        <v>1.1080000000000001</v>
      </c>
      <c r="H13" s="968"/>
      <c r="I13" s="578">
        <f t="shared" ref="I13:I27" si="2">ROUND(E13*G13,4)</f>
        <v>14.404</v>
      </c>
      <c r="J13" s="579">
        <f t="shared" si="1"/>
        <v>80134.17</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13.59</v>
      </c>
      <c r="D14" s="415">
        <v>0</v>
      </c>
      <c r="E14" s="967">
        <f t="shared" si="0"/>
        <v>27.18</v>
      </c>
      <c r="F14" s="967"/>
      <c r="G14" s="968">
        <v>1</v>
      </c>
      <c r="H14" s="968"/>
      <c r="I14" s="578">
        <f t="shared" si="2"/>
        <v>27.18</v>
      </c>
      <c r="J14" s="579">
        <f>ROUND(ROUND(ROUND(I14*$E$6,4)*($I$6),2)*(MAX($I$7,1)),2)</f>
        <v>151211.24</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3.5</v>
      </c>
      <c r="D15" s="415">
        <v>0</v>
      </c>
      <c r="E15" s="967">
        <f t="shared" si="0"/>
        <v>7</v>
      </c>
      <c r="F15" s="967"/>
      <c r="G15" s="968">
        <v>1</v>
      </c>
      <c r="H15" s="968"/>
      <c r="I15" s="578">
        <f t="shared" si="2"/>
        <v>7</v>
      </c>
      <c r="J15" s="579">
        <f t="shared" si="1"/>
        <v>38943.29</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6.2</v>
      </c>
      <c r="D24" s="415">
        <v>0</v>
      </c>
      <c r="E24" s="967">
        <f t="shared" si="0"/>
        <v>12.4</v>
      </c>
      <c r="F24" s="967"/>
      <c r="G24" s="968">
        <v>1.165</v>
      </c>
      <c r="H24" s="968"/>
      <c r="I24" s="578">
        <f t="shared" si="2"/>
        <v>14.446</v>
      </c>
      <c r="J24" s="579">
        <f t="shared" si="1"/>
        <v>80367.83</v>
      </c>
      <c r="M24" s="2"/>
      <c r="R24" s="860" t="s">
        <v>32</v>
      </c>
      <c r="S24" s="860"/>
      <c r="T24" s="891">
        <f t="shared" si="3"/>
        <v>0</v>
      </c>
      <c r="U24" s="891"/>
      <c r="V24" s="896">
        <v>1</v>
      </c>
      <c r="W24" s="896"/>
      <c r="X24" s="156">
        <f t="shared" si="4"/>
        <v>0</v>
      </c>
      <c r="Y24" s="266">
        <f t="shared" si="6"/>
        <v>0</v>
      </c>
    </row>
    <row r="25" spans="1:25" x14ac:dyDescent="0.25">
      <c r="A25" s="861" t="s">
        <v>33</v>
      </c>
      <c r="B25" s="861"/>
      <c r="C25" s="415">
        <v>0.41</v>
      </c>
      <c r="D25" s="415">
        <v>0</v>
      </c>
      <c r="E25" s="967">
        <f t="shared" si="0"/>
        <v>0.82</v>
      </c>
      <c r="F25" s="967"/>
      <c r="G25" s="968">
        <v>1.165</v>
      </c>
      <c r="H25" s="968"/>
      <c r="I25" s="578">
        <f t="shared" si="2"/>
        <v>0.95530000000000004</v>
      </c>
      <c r="J25" s="579">
        <f t="shared" si="1"/>
        <v>5314.65</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80</v>
      </c>
      <c r="D28" s="126">
        <f>SUM(D12:D27)</f>
        <v>0</v>
      </c>
      <c r="E28" s="966">
        <f>SUM(E12:E27)</f>
        <v>160</v>
      </c>
      <c r="F28" s="966"/>
      <c r="G28" s="961"/>
      <c r="H28" s="961"/>
      <c r="I28" s="23">
        <f>SUM(I12:I27)</f>
        <v>174.34209999999999</v>
      </c>
      <c r="J28" s="127">
        <f>SUM(J12:J27)</f>
        <v>969922.18</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736"/>
      <c r="D30" s="736"/>
      <c r="E30" s="857" t="s">
        <v>39</v>
      </c>
      <c r="F30" s="858"/>
      <c r="G30" s="858"/>
      <c r="H30" s="858"/>
      <c r="I30" s="858"/>
      <c r="J30" s="18" t="s">
        <v>40</v>
      </c>
      <c r="L30" s="25"/>
      <c r="M30" s="25"/>
      <c r="R30" s="735" t="s">
        <v>38</v>
      </c>
      <c r="S30" s="735"/>
      <c r="T30" s="854" t="s">
        <v>158</v>
      </c>
      <c r="U30" s="855"/>
      <c r="V30" s="855"/>
      <c r="W30" s="855"/>
      <c r="X30" s="855"/>
      <c r="Y30" s="153" t="s">
        <v>40</v>
      </c>
    </row>
    <row r="31" spans="1:25" ht="20.25" hidden="1" customHeight="1" x14ac:dyDescent="0.25">
      <c r="A31" s="839" t="s">
        <v>41</v>
      </c>
      <c r="B31" s="839"/>
      <c r="C31" s="734"/>
      <c r="D31" s="734"/>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174.34209999999999</v>
      </c>
      <c r="H33" s="961" t="s">
        <v>45</v>
      </c>
      <c r="I33" s="961"/>
      <c r="J33" s="32">
        <f>SUM(J32,J28)</f>
        <v>969922.18</v>
      </c>
      <c r="M33" s="2"/>
      <c r="R33" s="911" t="s">
        <v>44</v>
      </c>
      <c r="S33" s="911"/>
      <c r="T33" s="911"/>
      <c r="U33" s="911"/>
      <c r="V33" s="164" t="e">
        <f>V32+X28</f>
        <v>#REF!</v>
      </c>
      <c r="W33" s="909" t="s">
        <v>45</v>
      </c>
      <c r="X33" s="909"/>
      <c r="Y33" s="165">
        <f>SUM(Y32,Y28)</f>
        <v>0</v>
      </c>
    </row>
    <row r="34" spans="1:25" ht="20.25" customHeight="1" x14ac:dyDescent="0.25">
      <c r="A34" s="756"/>
      <c r="B34" s="756"/>
      <c r="C34" s="756"/>
      <c r="D34" s="756"/>
      <c r="E34" s="756"/>
      <c r="F34" s="756"/>
      <c r="G34" s="31"/>
      <c r="H34" s="771"/>
      <c r="I34" s="771"/>
      <c r="J34" s="35"/>
      <c r="M34" s="2"/>
      <c r="R34" s="755"/>
      <c r="S34" s="755"/>
      <c r="T34" s="755"/>
      <c r="U34" s="755"/>
      <c r="V34" s="164"/>
      <c r="W34" s="754"/>
      <c r="X34" s="754"/>
      <c r="Y34" s="168"/>
    </row>
    <row r="35" spans="1:25" ht="66.75" customHeight="1" x14ac:dyDescent="0.25">
      <c r="A35" s="947" t="s">
        <v>46</v>
      </c>
      <c r="B35" s="947"/>
      <c r="C35" s="947"/>
      <c r="D35" s="947"/>
      <c r="E35" s="947"/>
      <c r="F35" s="947"/>
      <c r="G35" s="766"/>
      <c r="J35" s="267"/>
      <c r="M35" s="2"/>
      <c r="R35" s="900" t="s">
        <v>46</v>
      </c>
      <c r="S35" s="862"/>
      <c r="T35" s="862"/>
      <c r="U35" s="862"/>
      <c r="V35" s="761"/>
      <c r="W35" s="170"/>
      <c r="X35" s="170"/>
      <c r="Y35" s="268"/>
    </row>
    <row r="36" spans="1:25" ht="20.25" customHeight="1" x14ac:dyDescent="0.25">
      <c r="A36" s="861" t="s">
        <v>47</v>
      </c>
      <c r="B36" s="861"/>
      <c r="C36" s="861"/>
      <c r="D36" s="861"/>
      <c r="E36" s="861"/>
      <c r="F36" s="766" t="s">
        <v>48</v>
      </c>
      <c r="G36" s="132">
        <v>191517.55</v>
      </c>
      <c r="H36" s="743" t="s">
        <v>49</v>
      </c>
      <c r="I36" s="38">
        <v>6.6699999999999995E-2</v>
      </c>
      <c r="J36" s="131">
        <f>ROUND(G36*I36,2)</f>
        <v>12774.22</v>
      </c>
      <c r="K36" s="39"/>
      <c r="L36" s="756"/>
      <c r="M36" s="756"/>
      <c r="N36" s="756"/>
      <c r="O36" s="31"/>
      <c r="P36" s="771"/>
      <c r="Q36" s="771"/>
      <c r="R36" s="860" t="s">
        <v>47</v>
      </c>
      <c r="S36" s="860"/>
      <c r="T36" s="860"/>
      <c r="U36" s="761"/>
      <c r="V36" s="172">
        <v>61196.59</v>
      </c>
      <c r="W36" s="745" t="s">
        <v>49</v>
      </c>
      <c r="X36" s="174">
        <v>6.6699999999999995E-2</v>
      </c>
      <c r="Y36" s="266">
        <f>ROUND(V36*X36,2)</f>
        <v>4081.81</v>
      </c>
    </row>
    <row r="37" spans="1:25" ht="20.25" customHeight="1" x14ac:dyDescent="0.25">
      <c r="A37" s="861" t="s">
        <v>50</v>
      </c>
      <c r="B37" s="861"/>
      <c r="C37" s="861"/>
      <c r="D37" s="861"/>
      <c r="E37" s="861"/>
      <c r="F37" s="766" t="s">
        <v>48</v>
      </c>
      <c r="G37" s="132">
        <v>191517.55</v>
      </c>
      <c r="H37" s="743" t="s">
        <v>49</v>
      </c>
      <c r="I37" s="38">
        <v>5.4000000000000003E-3</v>
      </c>
      <c r="J37" s="131">
        <f>ROUND(G37*I37,2)</f>
        <v>1034.19</v>
      </c>
      <c r="K37" s="39"/>
      <c r="L37" s="756"/>
      <c r="M37" s="756"/>
      <c r="N37" s="756"/>
      <c r="O37" s="31"/>
      <c r="P37" s="771"/>
      <c r="Q37" s="771"/>
      <c r="R37" s="860" t="s">
        <v>50</v>
      </c>
      <c r="S37" s="860"/>
      <c r="T37" s="860"/>
      <c r="U37" s="761"/>
      <c r="V37" s="172">
        <v>61196.59</v>
      </c>
      <c r="W37" s="745" t="s">
        <v>49</v>
      </c>
      <c r="X37" s="174">
        <v>5.4000000000000003E-3</v>
      </c>
      <c r="Y37" s="266">
        <f>ROUND(V37*X37,2)</f>
        <v>330.46</v>
      </c>
    </row>
    <row r="38" spans="1:25" ht="20.25" customHeight="1" x14ac:dyDescent="0.25">
      <c r="A38" s="898" t="s">
        <v>51</v>
      </c>
      <c r="B38" s="898"/>
      <c r="C38" s="898"/>
      <c r="D38" s="898"/>
      <c r="E38" s="898"/>
      <c r="F38" s="766" t="s">
        <v>52</v>
      </c>
      <c r="G38" s="40"/>
      <c r="H38" s="743"/>
      <c r="I38" s="41"/>
      <c r="J38" s="131">
        <f>SUM(J36:J37)</f>
        <v>13808.41</v>
      </c>
      <c r="K38" s="39"/>
      <c r="L38" s="756"/>
      <c r="M38" s="756"/>
      <c r="N38" s="756"/>
      <c r="O38" s="31"/>
      <c r="P38" s="771"/>
      <c r="Q38" s="771"/>
      <c r="R38" s="862" t="s">
        <v>51</v>
      </c>
      <c r="S38" s="862"/>
      <c r="T38" s="862"/>
      <c r="U38" s="761" t="s">
        <v>52</v>
      </c>
      <c r="V38" s="175"/>
      <c r="W38" s="745"/>
      <c r="X38" s="176"/>
      <c r="Y38" s="157">
        <f>Y36+Y37</f>
        <v>4412.2699999999995</v>
      </c>
    </row>
    <row r="39" spans="1:25" ht="20.25" customHeight="1" x14ac:dyDescent="0.25">
      <c r="B39" s="752"/>
      <c r="C39" s="752"/>
      <c r="D39" s="752"/>
      <c r="E39" s="752"/>
      <c r="F39" s="766"/>
      <c r="G39" s="40"/>
      <c r="H39" s="743"/>
      <c r="I39" s="41"/>
      <c r="J39" s="43"/>
      <c r="K39" s="39"/>
      <c r="L39" s="756"/>
      <c r="M39" s="756"/>
      <c r="N39" s="756"/>
      <c r="O39" s="31"/>
      <c r="P39" s="771"/>
      <c r="Q39" s="771"/>
      <c r="R39" s="740"/>
      <c r="S39" s="740"/>
      <c r="T39" s="740"/>
      <c r="U39" s="761"/>
      <c r="V39" s="175"/>
      <c r="W39" s="745"/>
      <c r="X39" s="176"/>
      <c r="Y39" s="178"/>
    </row>
    <row r="40" spans="1:25" ht="45.75" customHeight="1" x14ac:dyDescent="0.25">
      <c r="A40" s="957" t="s">
        <v>53</v>
      </c>
      <c r="B40" s="957"/>
      <c r="C40" s="117" t="s">
        <v>572</v>
      </c>
      <c r="D40" s="117" t="s">
        <v>573</v>
      </c>
      <c r="E40" s="958" t="s">
        <v>156</v>
      </c>
      <c r="F40" s="958"/>
      <c r="G40" s="44" t="s">
        <v>55</v>
      </c>
      <c r="H40" s="770" t="s">
        <v>56</v>
      </c>
      <c r="I40" s="700" t="s">
        <v>57</v>
      </c>
      <c r="J40" s="44"/>
      <c r="K40" s="39"/>
      <c r="L40" s="756"/>
      <c r="M40" s="756"/>
      <c r="N40" s="756"/>
      <c r="O40" s="31"/>
      <c r="P40" s="771"/>
      <c r="Q40" s="771"/>
      <c r="R40" s="901" t="s">
        <v>53</v>
      </c>
      <c r="S40" s="901"/>
      <c r="T40" s="902" t="s">
        <v>54</v>
      </c>
      <c r="U40" s="902"/>
      <c r="V40" s="179" t="s">
        <v>55</v>
      </c>
      <c r="W40" s="764" t="s">
        <v>56</v>
      </c>
      <c r="X40" s="181" t="s">
        <v>57</v>
      </c>
      <c r="Y40" s="179"/>
    </row>
    <row r="41" spans="1:25" ht="17.25" customHeight="1" x14ac:dyDescent="0.25">
      <c r="A41" s="959" t="s">
        <v>58</v>
      </c>
      <c r="B41" s="959"/>
      <c r="C41" s="415">
        <v>3.5</v>
      </c>
      <c r="D41" s="415">
        <v>0</v>
      </c>
      <c r="E41" s="954">
        <f t="shared" ref="E41:E49" si="7">IF($D$50=0,C41*2,C41+D41)</f>
        <v>7</v>
      </c>
      <c r="F41" s="954"/>
      <c r="G41" s="743" t="s">
        <v>59</v>
      </c>
      <c r="H41" s="743">
        <v>251</v>
      </c>
      <c r="I41" s="136">
        <f>INDEX('[1]111-112-113 ADDITIONAL FUND'!D$1:D$65536,MATCH($A$1,'[1]111-112-113 ADDITIONAL FUND'!A$1:A$65536))</f>
        <v>1047</v>
      </c>
      <c r="J41" s="46">
        <f t="shared" ref="J41:J49" si="8">ROUND(E41*I41,2)</f>
        <v>7329</v>
      </c>
      <c r="L41" s="3"/>
      <c r="M41" s="2"/>
      <c r="Q41" s="4"/>
      <c r="R41" s="903" t="s">
        <v>159</v>
      </c>
      <c r="S41" s="903"/>
      <c r="T41" s="867"/>
      <c r="U41" s="867"/>
      <c r="V41" s="745" t="s">
        <v>59</v>
      </c>
      <c r="W41" s="745">
        <v>251</v>
      </c>
      <c r="X41" s="134">
        <f t="shared" ref="X41:X49" si="9">I41</f>
        <v>1047</v>
      </c>
      <c r="Y41" s="269">
        <f>ROUND(T41*X41,2)</f>
        <v>0</v>
      </c>
    </row>
    <row r="42" spans="1:25" x14ac:dyDescent="0.25">
      <c r="A42" s="960"/>
      <c r="B42" s="960"/>
      <c r="C42" s="415">
        <v>3</v>
      </c>
      <c r="D42" s="415">
        <v>0</v>
      </c>
      <c r="E42" s="954">
        <f t="shared" si="7"/>
        <v>6</v>
      </c>
      <c r="F42" s="954"/>
      <c r="G42" s="743" t="s">
        <v>59</v>
      </c>
      <c r="H42" s="743">
        <v>252</v>
      </c>
      <c r="I42" s="136">
        <f>INDEX('[1]111-112-113 ADDITIONAL FUND'!E$1:E$65536,MATCH($A$1,'[1]111-112-113 ADDITIONAL FUND'!A$1:A$65536))</f>
        <v>3380</v>
      </c>
      <c r="J42" s="46">
        <f t="shared" si="8"/>
        <v>20280</v>
      </c>
      <c r="M42" s="2"/>
      <c r="R42" s="903"/>
      <c r="S42" s="903"/>
      <c r="T42" s="904"/>
      <c r="U42" s="904"/>
      <c r="V42" s="745" t="s">
        <v>59</v>
      </c>
      <c r="W42" s="745">
        <v>252</v>
      </c>
      <c r="X42" s="134">
        <f t="shared" si="9"/>
        <v>3380</v>
      </c>
      <c r="Y42" s="269">
        <f t="shared" ref="Y42:Y49" si="10">ROUND(T42*X42,2)</f>
        <v>0</v>
      </c>
    </row>
    <row r="43" spans="1:25" x14ac:dyDescent="0.25">
      <c r="A43" s="960"/>
      <c r="B43" s="960"/>
      <c r="C43" s="415">
        <v>0</v>
      </c>
      <c r="D43" s="415">
        <v>0</v>
      </c>
      <c r="E43" s="954">
        <f t="shared" si="7"/>
        <v>0</v>
      </c>
      <c r="F43" s="954"/>
      <c r="G43" s="743" t="s">
        <v>59</v>
      </c>
      <c r="H43" s="743">
        <v>253</v>
      </c>
      <c r="I43" s="136">
        <f>INDEX('[1]111-112-113 ADDITIONAL FUND'!F$1:F$65536,MATCH($A$1,'[1]111-112-113 ADDITIONAL FUND'!A$1:A$65536))</f>
        <v>6896</v>
      </c>
      <c r="J43" s="46">
        <f t="shared" si="8"/>
        <v>0</v>
      </c>
      <c r="M43" s="2"/>
      <c r="R43" s="903"/>
      <c r="S43" s="903"/>
      <c r="T43" s="905"/>
      <c r="U43" s="905"/>
      <c r="V43" s="745" t="s">
        <v>59</v>
      </c>
      <c r="W43" s="745">
        <v>253</v>
      </c>
      <c r="X43" s="134">
        <f t="shared" si="9"/>
        <v>6896</v>
      </c>
      <c r="Y43" s="269">
        <f t="shared" si="10"/>
        <v>0</v>
      </c>
    </row>
    <row r="44" spans="1:25" x14ac:dyDescent="0.25">
      <c r="A44" s="960"/>
      <c r="B44" s="960"/>
      <c r="C44" s="415">
        <v>2.5</v>
      </c>
      <c r="D44" s="415">
        <v>0</v>
      </c>
      <c r="E44" s="954">
        <f t="shared" si="7"/>
        <v>5</v>
      </c>
      <c r="F44" s="954"/>
      <c r="G44" s="47" t="s">
        <v>60</v>
      </c>
      <c r="H44" s="743">
        <v>251</v>
      </c>
      <c r="I44" s="136">
        <f>INDEX('[1]111-112-113 ADDITIONAL FUND'!G$1:G$65536,MATCH($A$1,'[1]111-112-113 ADDITIONAL FUND'!A$1:A$65536))</f>
        <v>1173</v>
      </c>
      <c r="J44" s="137">
        <f t="shared" si="8"/>
        <v>5865</v>
      </c>
      <c r="L44" s="3"/>
      <c r="M44" s="2"/>
      <c r="Q44" s="4"/>
      <c r="R44" s="903"/>
      <c r="S44" s="903"/>
      <c r="T44" s="905"/>
      <c r="U44" s="905"/>
      <c r="V44" s="182" t="s">
        <v>60</v>
      </c>
      <c r="W44" s="745">
        <v>251</v>
      </c>
      <c r="X44" s="134">
        <f t="shared" si="9"/>
        <v>1173</v>
      </c>
      <c r="Y44" s="269">
        <f t="shared" si="10"/>
        <v>0</v>
      </c>
    </row>
    <row r="45" spans="1:25" x14ac:dyDescent="0.25">
      <c r="A45" s="960"/>
      <c r="B45" s="960"/>
      <c r="C45" s="415">
        <v>1</v>
      </c>
      <c r="D45" s="415">
        <v>0</v>
      </c>
      <c r="E45" s="954">
        <f t="shared" si="7"/>
        <v>2</v>
      </c>
      <c r="F45" s="954"/>
      <c r="G45" s="47" t="s">
        <v>60</v>
      </c>
      <c r="H45" s="743">
        <v>252</v>
      </c>
      <c r="I45" s="136">
        <f>INDEX('[1]111-112-113 ADDITIONAL FUND'!H$1:H$65536,MATCH($A$1,'[1]111-112-113 ADDITIONAL FUND'!A$1:A$65536))</f>
        <v>3506</v>
      </c>
      <c r="J45" s="46">
        <f t="shared" si="8"/>
        <v>7012</v>
      </c>
      <c r="L45" s="285"/>
      <c r="M45" s="2"/>
      <c r="R45" s="903"/>
      <c r="S45" s="903"/>
      <c r="T45" s="905"/>
      <c r="U45" s="905"/>
      <c r="V45" s="182" t="s">
        <v>60</v>
      </c>
      <c r="W45" s="745">
        <v>252</v>
      </c>
      <c r="X45" s="134">
        <f t="shared" si="9"/>
        <v>3506</v>
      </c>
      <c r="Y45" s="269">
        <f t="shared" si="10"/>
        <v>0</v>
      </c>
    </row>
    <row r="46" spans="1:25" x14ac:dyDescent="0.25">
      <c r="A46" s="960"/>
      <c r="B46" s="960"/>
      <c r="C46" s="415">
        <v>0</v>
      </c>
      <c r="D46" s="415">
        <v>0</v>
      </c>
      <c r="E46" s="954">
        <f t="shared" si="7"/>
        <v>0</v>
      </c>
      <c r="F46" s="954"/>
      <c r="G46" s="47" t="s">
        <v>60</v>
      </c>
      <c r="H46" s="743">
        <v>253</v>
      </c>
      <c r="I46" s="136">
        <f>INDEX('[1]111-112-113 ADDITIONAL FUND'!I$1:I$65536,MATCH($A$1,'[1]111-112-113 ADDITIONAL FUND'!A$1:A$65536))</f>
        <v>7023</v>
      </c>
      <c r="J46" s="46">
        <f t="shared" si="8"/>
        <v>0</v>
      </c>
      <c r="L46" s="798"/>
      <c r="M46" s="2"/>
      <c r="R46" s="903"/>
      <c r="S46" s="903"/>
      <c r="T46" s="905"/>
      <c r="U46" s="905"/>
      <c r="V46" s="182" t="s">
        <v>60</v>
      </c>
      <c r="W46" s="745">
        <v>253</v>
      </c>
      <c r="X46" s="134">
        <f t="shared" si="9"/>
        <v>7023</v>
      </c>
      <c r="Y46" s="269">
        <f t="shared" si="10"/>
        <v>0</v>
      </c>
    </row>
    <row r="47" spans="1:25" ht="16.5" customHeight="1" x14ac:dyDescent="0.25">
      <c r="A47" s="960"/>
      <c r="B47" s="960"/>
      <c r="C47" s="415">
        <v>0</v>
      </c>
      <c r="D47" s="415">
        <v>0</v>
      </c>
      <c r="E47" s="954">
        <f t="shared" si="7"/>
        <v>0</v>
      </c>
      <c r="F47" s="954"/>
      <c r="G47" s="47" t="s">
        <v>61</v>
      </c>
      <c r="H47" s="743">
        <v>251</v>
      </c>
      <c r="I47" s="136">
        <f>INDEX('[1]111-112-113 ADDITIONAL FUND'!J$1:J$65536,MATCH($A$1,'[1]111-112-113 ADDITIONAL FUND'!A$1:A$65536))</f>
        <v>835</v>
      </c>
      <c r="J47" s="46">
        <f t="shared" si="8"/>
        <v>0</v>
      </c>
      <c r="L47" s="798"/>
      <c r="M47" s="2"/>
      <c r="R47" s="903"/>
      <c r="S47" s="903"/>
      <c r="T47" s="905"/>
      <c r="U47" s="905"/>
      <c r="V47" s="182" t="s">
        <v>61</v>
      </c>
      <c r="W47" s="745">
        <v>251</v>
      </c>
      <c r="X47" s="134">
        <f t="shared" si="9"/>
        <v>835</v>
      </c>
      <c r="Y47" s="269">
        <f t="shared" si="10"/>
        <v>0</v>
      </c>
    </row>
    <row r="48" spans="1:25" ht="15.75" customHeight="1" x14ac:dyDescent="0.25">
      <c r="A48" s="960"/>
      <c r="B48" s="960"/>
      <c r="C48" s="415">
        <v>0</v>
      </c>
      <c r="D48" s="415">
        <v>0</v>
      </c>
      <c r="E48" s="954">
        <f t="shared" si="7"/>
        <v>0</v>
      </c>
      <c r="F48" s="954"/>
      <c r="G48" s="47" t="s">
        <v>61</v>
      </c>
      <c r="H48" s="743">
        <v>252</v>
      </c>
      <c r="I48" s="136">
        <f>INDEX('[1]111-112-113 ADDITIONAL FUND'!K$1:K$65536,MATCH($A$1,'[1]111-112-113 ADDITIONAL FUND'!A$1:A$65536))</f>
        <v>3168</v>
      </c>
      <c r="J48" s="46">
        <f t="shared" si="8"/>
        <v>0</v>
      </c>
      <c r="L48" s="285"/>
      <c r="M48" s="2"/>
      <c r="R48" s="903"/>
      <c r="S48" s="903"/>
      <c r="T48" s="905"/>
      <c r="U48" s="905"/>
      <c r="V48" s="182" t="s">
        <v>61</v>
      </c>
      <c r="W48" s="745">
        <v>252</v>
      </c>
      <c r="X48" s="134">
        <f t="shared" si="9"/>
        <v>3168</v>
      </c>
      <c r="Y48" s="269">
        <f t="shared" si="10"/>
        <v>0</v>
      </c>
    </row>
    <row r="49" spans="1:25" ht="15.75" customHeight="1" thickBot="1" x14ac:dyDescent="0.3">
      <c r="A49" s="960"/>
      <c r="B49" s="960"/>
      <c r="C49" s="415">
        <v>0</v>
      </c>
      <c r="D49" s="415">
        <v>0</v>
      </c>
      <c r="E49" s="955">
        <f t="shared" si="7"/>
        <v>0</v>
      </c>
      <c r="F49" s="955"/>
      <c r="G49" s="47" t="s">
        <v>61</v>
      </c>
      <c r="H49" s="743">
        <v>253</v>
      </c>
      <c r="I49" s="136">
        <f>INDEX('[1]111-112-113 ADDITIONAL FUND'!L$1:L$65536,MATCH($A$1,'[1]111-112-113 ADDITIONAL FUND'!A$1:A$65536))</f>
        <v>6685</v>
      </c>
      <c r="J49" s="46">
        <f t="shared" si="8"/>
        <v>0</v>
      </c>
      <c r="M49" s="2"/>
      <c r="R49" s="903"/>
      <c r="S49" s="903"/>
      <c r="T49" s="913"/>
      <c r="U49" s="913"/>
      <c r="V49" s="182" t="s">
        <v>61</v>
      </c>
      <c r="W49" s="745">
        <v>253</v>
      </c>
      <c r="X49" s="134">
        <f t="shared" si="9"/>
        <v>6685</v>
      </c>
      <c r="Y49" s="269">
        <f t="shared" si="10"/>
        <v>0</v>
      </c>
    </row>
    <row r="50" spans="1:25" ht="15.75" customHeight="1" thickBot="1" x14ac:dyDescent="0.3">
      <c r="A50" s="912" t="s">
        <v>62</v>
      </c>
      <c r="B50" s="912"/>
      <c r="C50" s="585">
        <f>SUM(C41:C49)</f>
        <v>10</v>
      </c>
      <c r="D50" s="756">
        <f>SUM(D41:D49)</f>
        <v>0</v>
      </c>
      <c r="E50" s="956">
        <f>SUM(E41:E49)</f>
        <v>20</v>
      </c>
      <c r="F50" s="956"/>
      <c r="G50" s="912" t="s">
        <v>63</v>
      </c>
      <c r="H50" s="912"/>
      <c r="I50" s="912"/>
      <c r="J50" s="276">
        <f>SUM(J41:J49)</f>
        <v>40486</v>
      </c>
      <c r="M50" s="2"/>
      <c r="R50" s="911" t="s">
        <v>62</v>
      </c>
      <c r="S50" s="911"/>
      <c r="T50" s="914">
        <f>SUM(T42:T49)</f>
        <v>0</v>
      </c>
      <c r="U50" s="914"/>
      <c r="V50" s="911" t="s">
        <v>63</v>
      </c>
      <c r="W50" s="911"/>
      <c r="X50" s="911"/>
      <c r="Y50" s="270">
        <f>SUM(Y41:Y49)</f>
        <v>0</v>
      </c>
    </row>
    <row r="51" spans="1:25" ht="15.75" customHeight="1" x14ac:dyDescent="0.25">
      <c r="A51" s="756"/>
      <c r="B51" s="756"/>
      <c r="C51" s="756"/>
      <c r="D51" s="756"/>
      <c r="E51" s="771"/>
      <c r="F51" s="771"/>
      <c r="G51" s="756"/>
      <c r="H51" s="756"/>
      <c r="I51" s="756"/>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48">
        <f>E28</f>
        <v>160</v>
      </c>
      <c r="D53" s="49" t="s">
        <v>66</v>
      </c>
      <c r="G53" s="3"/>
      <c r="H53" s="50" t="s">
        <v>67</v>
      </c>
      <c r="I53" s="702">
        <f>'0040'!I53</f>
        <v>207782.75</v>
      </c>
      <c r="J53" s="704"/>
      <c r="M53" s="2"/>
      <c r="R53" s="758"/>
      <c r="S53" s="738"/>
      <c r="T53" s="170"/>
      <c r="U53" s="170"/>
      <c r="V53" s="170"/>
      <c r="W53" s="189" t="s">
        <v>68</v>
      </c>
      <c r="X53" s="920">
        <f>ROUND(T52/X52,6)</f>
        <v>0</v>
      </c>
      <c r="Y53" s="920"/>
    </row>
    <row r="54" spans="1:25" ht="22.5" customHeight="1" x14ac:dyDescent="0.25">
      <c r="A54" s="753"/>
      <c r="B54" s="739"/>
      <c r="C54" s="739"/>
      <c r="D54" s="739"/>
      <c r="H54" s="53" t="s">
        <v>68</v>
      </c>
      <c r="I54" s="945">
        <f>IFERROR(ROUND(C53/I53,6),0)</f>
        <v>7.6999999999999996E-4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48">
        <f>G33</f>
        <v>174.34209999999999</v>
      </c>
      <c r="D56" s="49" t="s">
        <v>66</v>
      </c>
      <c r="G56" s="3"/>
      <c r="H56" s="50" t="s">
        <v>71</v>
      </c>
      <c r="I56" s="702">
        <f>'0040'!I56</f>
        <v>221179.83999999997</v>
      </c>
      <c r="J56" s="704"/>
      <c r="M56" s="2"/>
      <c r="R56" s="758"/>
      <c r="S56" s="170"/>
      <c r="T56" s="170"/>
      <c r="U56" s="170"/>
      <c r="V56" s="170"/>
      <c r="W56" s="189" t="s">
        <v>68</v>
      </c>
      <c r="X56" s="920">
        <f>ROUND(T55/X55,6)</f>
        <v>0</v>
      </c>
      <c r="Y56" s="920"/>
    </row>
    <row r="57" spans="1:25" ht="18.75" customHeight="1" x14ac:dyDescent="0.25">
      <c r="A57" s="753"/>
      <c r="H57" s="53" t="s">
        <v>68</v>
      </c>
      <c r="I57" s="945">
        <f>IFERROR(ROUND(C56/I56,6),0)</f>
        <v>7.8799999999999996E-4</v>
      </c>
      <c r="J57" s="945"/>
      <c r="M57" s="2"/>
      <c r="P57" s="752"/>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48">
        <f>E28</f>
        <v>160</v>
      </c>
      <c r="D59" s="49" t="s">
        <v>66</v>
      </c>
      <c r="F59" s="969" t="s">
        <v>74</v>
      </c>
      <c r="G59" s="969"/>
      <c r="H59" s="969"/>
      <c r="I59" s="702">
        <f>'0040'!I59</f>
        <v>178931.75</v>
      </c>
      <c r="J59" s="704"/>
      <c r="M59" s="2"/>
      <c r="R59" s="758"/>
      <c r="S59" s="170"/>
      <c r="T59" s="170"/>
      <c r="U59" s="170"/>
      <c r="V59" s="170"/>
      <c r="W59" s="189" t="s">
        <v>68</v>
      </c>
      <c r="X59" s="920">
        <f>ROUND(T58/X58,6)</f>
        <v>0</v>
      </c>
      <c r="Y59" s="920"/>
    </row>
    <row r="60" spans="1:25" ht="18" customHeight="1" x14ac:dyDescent="0.25">
      <c r="A60" s="753"/>
      <c r="H60" s="53" t="s">
        <v>68</v>
      </c>
      <c r="I60" s="945">
        <f>IFERROR(ROUND(C59/I59,6),0)</f>
        <v>8.9400000000000005E-4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23.25" customHeight="1" x14ac:dyDescent="0.25">
      <c r="A62" s="899" t="s">
        <v>73</v>
      </c>
      <c r="B62" s="899"/>
      <c r="C62" s="48">
        <f>E28</f>
        <v>160</v>
      </c>
      <c r="D62" s="49" t="s">
        <v>66</v>
      </c>
      <c r="F62" s="969" t="s">
        <v>76</v>
      </c>
      <c r="G62" s="969"/>
      <c r="H62" s="969"/>
      <c r="I62" s="702">
        <f>'0040'!I62</f>
        <v>207463.82</v>
      </c>
      <c r="J62" s="704"/>
      <c r="M62" s="2"/>
      <c r="R62" s="758"/>
      <c r="S62" s="170"/>
      <c r="T62" s="170"/>
      <c r="U62" s="170"/>
      <c r="V62" s="170"/>
      <c r="W62" s="189" t="s">
        <v>68</v>
      </c>
      <c r="X62" s="920">
        <f>ROUND(T61/X61,6)</f>
        <v>0</v>
      </c>
      <c r="Y62" s="920"/>
    </row>
    <row r="63" spans="1:25" ht="19.5" customHeight="1" x14ac:dyDescent="0.25">
      <c r="A63" s="753"/>
      <c r="H63" s="53" t="s">
        <v>68</v>
      </c>
      <c r="I63" s="945">
        <f>IFERROR(ROUND(C62/I62,6),0)</f>
        <v>7.7099999999999998E-4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22.5" customHeight="1" x14ac:dyDescent="0.25">
      <c r="A65" s="899" t="s">
        <v>73</v>
      </c>
      <c r="B65" s="899"/>
      <c r="C65" s="48">
        <f>E28</f>
        <v>160</v>
      </c>
      <c r="D65" s="990" t="s">
        <v>547</v>
      </c>
      <c r="E65" s="990"/>
      <c r="F65" s="990"/>
      <c r="G65" s="990"/>
      <c r="H65" s="990"/>
      <c r="I65" s="702">
        <f>'0040'!I65</f>
        <v>178612.82</v>
      </c>
      <c r="J65" s="704"/>
      <c r="M65" s="2"/>
      <c r="R65" s="190"/>
      <c r="S65" s="170"/>
      <c r="T65" s="170"/>
      <c r="U65" s="170"/>
      <c r="V65" s="170"/>
      <c r="W65" s="189" t="s">
        <v>68</v>
      </c>
      <c r="X65" s="920">
        <f>ROUND(T64/X64,6)</f>
        <v>0</v>
      </c>
      <c r="Y65" s="920"/>
    </row>
    <row r="66" spans="1:26" ht="19.5" customHeight="1" x14ac:dyDescent="0.25">
      <c r="A66" s="753"/>
      <c r="H66" s="53" t="s">
        <v>68</v>
      </c>
      <c r="I66" s="945">
        <f>IFERROR(ROUND(C65/I65,6),0)</f>
        <v>8.9599999999999999E-4</v>
      </c>
      <c r="J66" s="945"/>
      <c r="M66" s="2"/>
      <c r="R66" s="758"/>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761"/>
      <c r="V67" s="193">
        <f>G68</f>
        <v>45629593</v>
      </c>
      <c r="W67" s="745" t="s">
        <v>81</v>
      </c>
      <c r="X67" s="176">
        <f>X62</f>
        <v>0</v>
      </c>
      <c r="Y67" s="271">
        <f>ROUND(V67*X67,2)</f>
        <v>0</v>
      </c>
    </row>
    <row r="68" spans="1:26" ht="30.75" customHeight="1" x14ac:dyDescent="0.25">
      <c r="A68" s="946" t="s">
        <v>79</v>
      </c>
      <c r="B68" s="946"/>
      <c r="C68" s="946"/>
      <c r="D68" s="946"/>
      <c r="E68" s="946"/>
      <c r="F68" s="766" t="s">
        <v>80</v>
      </c>
      <c r="G68" s="277">
        <f>'0040'!G68</f>
        <v>45629593</v>
      </c>
      <c r="H68" s="743" t="s">
        <v>81</v>
      </c>
      <c r="I68" s="41">
        <f>I63</f>
        <v>7.7099999999999998E-4</v>
      </c>
      <c r="J68" s="138">
        <f>ROUND(G68*I68,2)</f>
        <v>35180.42</v>
      </c>
      <c r="M68" s="2"/>
      <c r="R68" s="900" t="s">
        <v>82</v>
      </c>
      <c r="S68" s="900"/>
      <c r="T68" s="740"/>
      <c r="U68" s="761"/>
      <c r="V68" s="194"/>
      <c r="W68" s="745"/>
      <c r="X68" s="176"/>
      <c r="Y68" s="271"/>
    </row>
    <row r="69" spans="1:26" ht="30.75" customHeight="1" x14ac:dyDescent="0.25">
      <c r="A69" s="947" t="s">
        <v>82</v>
      </c>
      <c r="B69" s="947"/>
      <c r="C69" s="768"/>
      <c r="D69" s="768"/>
      <c r="E69" s="752"/>
      <c r="F69" s="766"/>
      <c r="G69" s="63"/>
      <c r="H69" s="743"/>
      <c r="I69" s="41"/>
      <c r="J69" s="62"/>
      <c r="M69" s="2"/>
      <c r="R69" s="923" t="s">
        <v>162</v>
      </c>
      <c r="S69" s="917"/>
      <c r="T69" s="917"/>
      <c r="U69" s="761"/>
      <c r="V69" s="195">
        <f>G70</f>
        <v>0</v>
      </c>
      <c r="W69" s="745" t="s">
        <v>81</v>
      </c>
      <c r="X69" s="176">
        <f>X53</f>
        <v>0</v>
      </c>
      <c r="Y69" s="266">
        <f t="shared" ref="Y69:Y71" si="11">ROUND(V69*X69,2)</f>
        <v>0</v>
      </c>
    </row>
    <row r="70" spans="1:26" ht="17.25" customHeight="1" x14ac:dyDescent="0.25">
      <c r="A70" s="948" t="s">
        <v>83</v>
      </c>
      <c r="B70" s="948"/>
      <c r="C70" s="948"/>
      <c r="D70" s="948"/>
      <c r="E70" s="948"/>
      <c r="F70" s="766" t="s">
        <v>84</v>
      </c>
      <c r="G70" s="277">
        <f>'0040'!G70</f>
        <v>0</v>
      </c>
      <c r="H70" s="743" t="s">
        <v>81</v>
      </c>
      <c r="I70" s="41">
        <f>I54</f>
        <v>7.6999999999999996E-4</v>
      </c>
      <c r="J70" s="138">
        <f>ROUND(G70*I70,2)</f>
        <v>0</v>
      </c>
      <c r="M70" s="2"/>
      <c r="R70" s="862" t="s">
        <v>163</v>
      </c>
      <c r="S70" s="862"/>
      <c r="T70" s="862"/>
      <c r="U70" s="761"/>
      <c r="V70" s="193">
        <f>G71</f>
        <v>18934058</v>
      </c>
      <c r="W70" s="745" t="s">
        <v>81</v>
      </c>
      <c r="X70" s="176">
        <f>X65</f>
        <v>0</v>
      </c>
      <c r="Y70" s="266">
        <f t="shared" si="11"/>
        <v>0</v>
      </c>
    </row>
    <row r="71" spans="1:26" ht="19.5" customHeight="1" x14ac:dyDescent="0.25">
      <c r="A71" s="898" t="s">
        <v>85</v>
      </c>
      <c r="B71" s="898"/>
      <c r="C71" s="898"/>
      <c r="D71" s="898"/>
      <c r="E71" s="898"/>
      <c r="F71" s="766" t="s">
        <v>86</v>
      </c>
      <c r="G71" s="277">
        <f>'0040'!G71</f>
        <v>18934058</v>
      </c>
      <c r="H71" s="743" t="s">
        <v>81</v>
      </c>
      <c r="I71" s="41">
        <f>I66</f>
        <v>8.9599999999999999E-4</v>
      </c>
      <c r="J71" s="138">
        <f>ROUND(G71*I71,2)</f>
        <v>16964.919999999998</v>
      </c>
      <c r="M71" s="2"/>
      <c r="R71" s="740" t="s">
        <v>164</v>
      </c>
      <c r="S71" s="740"/>
      <c r="T71" s="740"/>
      <c r="U71" s="761"/>
      <c r="V71" s="171">
        <f>G72</f>
        <v>11300012</v>
      </c>
      <c r="W71" s="745" t="s">
        <v>81</v>
      </c>
      <c r="X71" s="176">
        <f>X59</f>
        <v>0</v>
      </c>
      <c r="Y71" s="266">
        <f t="shared" si="11"/>
        <v>0</v>
      </c>
    </row>
    <row r="72" spans="1:26" ht="19.5" customHeight="1" x14ac:dyDescent="0.25">
      <c r="A72" s="752" t="s">
        <v>87</v>
      </c>
      <c r="B72" s="752"/>
      <c r="C72" s="752"/>
      <c r="D72" s="752"/>
      <c r="E72" s="752"/>
      <c r="F72" s="766" t="s">
        <v>88</v>
      </c>
      <c r="G72" s="277">
        <f>'0040'!G72</f>
        <v>11300012</v>
      </c>
      <c r="H72" s="743" t="s">
        <v>81</v>
      </c>
      <c r="I72" s="41">
        <f>I60</f>
        <v>8.9400000000000005E-4</v>
      </c>
      <c r="J72" s="138">
        <f>ROUND(G72*I72,2)</f>
        <v>10102.209999999999</v>
      </c>
      <c r="M72" s="2"/>
      <c r="R72" s="740" t="s">
        <v>165</v>
      </c>
      <c r="S72" s="740"/>
      <c r="T72" s="740"/>
      <c r="U72" s="761"/>
      <c r="V72" s="196"/>
      <c r="W72" s="745"/>
      <c r="X72" s="176"/>
      <c r="Y72" s="178"/>
    </row>
    <row r="73" spans="1:26" ht="24.75" customHeight="1" x14ac:dyDescent="0.25">
      <c r="A73" s="752" t="s">
        <v>89</v>
      </c>
      <c r="B73" s="752"/>
      <c r="C73" s="752"/>
      <c r="D73" s="752"/>
      <c r="E73" s="752"/>
      <c r="F73" s="766" t="s">
        <v>90</v>
      </c>
      <c r="G73" s="64"/>
      <c r="H73" s="743"/>
      <c r="I73" s="41"/>
      <c r="J73" s="30"/>
      <c r="M73" s="2"/>
      <c r="R73" s="853" t="s">
        <v>91</v>
      </c>
      <c r="S73" s="853"/>
      <c r="T73" s="854" t="s">
        <v>166</v>
      </c>
      <c r="U73" s="855"/>
      <c r="V73" s="855"/>
      <c r="W73" s="855"/>
      <c r="X73" s="855"/>
      <c r="Y73" s="153"/>
    </row>
    <row r="74" spans="1:26" ht="63" customHeight="1" x14ac:dyDescent="0.25">
      <c r="A74" s="856" t="s">
        <v>91</v>
      </c>
      <c r="B74" s="856"/>
      <c r="C74" s="736"/>
      <c r="D74" s="736"/>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734"/>
      <c r="D75" s="734"/>
      <c r="E75" s="65"/>
      <c r="F75" s="65"/>
      <c r="G75" s="65"/>
      <c r="H75" s="65"/>
      <c r="I75" s="65"/>
      <c r="J75" s="129"/>
      <c r="L75" s="66"/>
      <c r="M75" s="2"/>
      <c r="O75" s="766"/>
      <c r="P75" s="766"/>
      <c r="R75" s="859" t="s">
        <v>94</v>
      </c>
      <c r="S75" s="859"/>
      <c r="T75" s="197"/>
      <c r="U75" s="197"/>
      <c r="V75" s="197"/>
      <c r="W75" s="197"/>
      <c r="X75" s="197"/>
      <c r="Y75" s="197"/>
    </row>
    <row r="76" spans="1:26" ht="18.75" customHeight="1" x14ac:dyDescent="0.25">
      <c r="A76" s="839" t="s">
        <v>94</v>
      </c>
      <c r="B76" s="839"/>
      <c r="C76" s="734"/>
      <c r="D76" s="734"/>
      <c r="E76" s="65"/>
      <c r="F76" s="65"/>
      <c r="G76" s="65"/>
      <c r="H76" s="65"/>
      <c r="I76" s="65"/>
      <c r="J76" s="129"/>
      <c r="L76" s="67"/>
      <c r="M76" s="2"/>
      <c r="O76" s="766"/>
      <c r="P76" s="766"/>
      <c r="R76" s="863" t="s">
        <v>95</v>
      </c>
      <c r="S76" s="863"/>
      <c r="T76" s="198"/>
      <c r="U76" s="198"/>
      <c r="V76" s="198"/>
      <c r="W76" s="198"/>
      <c r="X76" s="198"/>
      <c r="Y76" s="197"/>
    </row>
    <row r="77" spans="1:26" ht="18.75" customHeight="1" x14ac:dyDescent="0.25">
      <c r="A77" s="864" t="s">
        <v>95</v>
      </c>
      <c r="B77" s="864"/>
      <c r="C77" s="741"/>
      <c r="D77" s="741"/>
      <c r="E77" s="68"/>
      <c r="F77" s="68"/>
      <c r="G77" s="68"/>
      <c r="H77" s="68"/>
      <c r="I77" s="68"/>
      <c r="J77" s="128"/>
      <c r="L77" s="67"/>
      <c r="M77" s="2"/>
      <c r="O77" s="766"/>
      <c r="P77" s="766"/>
      <c r="R77" s="737" t="s">
        <v>96</v>
      </c>
      <c r="S77" s="737"/>
      <c r="T77" s="197"/>
      <c r="U77" s="197"/>
      <c r="V77" s="197"/>
      <c r="W77" s="197"/>
      <c r="X77" s="197"/>
      <c r="Y77" s="197"/>
    </row>
    <row r="78" spans="1:26" ht="20.25" customHeight="1" x14ac:dyDescent="0.25">
      <c r="A78" s="734" t="s">
        <v>96</v>
      </c>
      <c r="B78" s="734"/>
      <c r="C78" s="734"/>
      <c r="D78" s="734"/>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734"/>
      <c r="D79" s="734"/>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742"/>
      <c r="D80" s="742"/>
      <c r="E80" s="73"/>
      <c r="F80" s="73"/>
      <c r="G80" s="73"/>
      <c r="H80" s="73"/>
      <c r="I80" s="73"/>
      <c r="J80" s="129"/>
      <c r="K80" s="70"/>
      <c r="L80" s="70"/>
      <c r="M80" s="71"/>
      <c r="N80" s="70"/>
      <c r="O80" s="70"/>
      <c r="P80" s="70"/>
      <c r="Q80" s="70"/>
      <c r="R80" s="755"/>
      <c r="S80" s="755"/>
      <c r="T80" s="755"/>
      <c r="U80" s="755"/>
      <c r="V80" s="164"/>
      <c r="W80" s="754"/>
      <c r="X80" s="754" t="s">
        <v>99</v>
      </c>
      <c r="Y80" s="201">
        <f>SUM(Y74:Y79)</f>
        <v>0</v>
      </c>
      <c r="Z80" s="72"/>
    </row>
    <row r="81" spans="1:26" ht="17.25" customHeight="1" x14ac:dyDescent="0.25">
      <c r="A81" s="756"/>
      <c r="B81" s="756"/>
      <c r="C81" s="756"/>
      <c r="D81" s="756"/>
      <c r="E81" s="756"/>
      <c r="F81" s="756"/>
      <c r="G81" s="31"/>
      <c r="H81" s="771"/>
      <c r="I81" s="771" t="s">
        <v>99</v>
      </c>
      <c r="J81" s="74">
        <f>SUM(J75:J80)</f>
        <v>0</v>
      </c>
      <c r="K81" s="70"/>
      <c r="L81" s="70"/>
      <c r="M81" s="71"/>
      <c r="N81" s="70"/>
      <c r="O81" s="70"/>
      <c r="P81" s="70"/>
      <c r="Q81" s="70"/>
      <c r="R81" s="755"/>
      <c r="S81" s="755"/>
      <c r="T81" s="755"/>
      <c r="U81" s="755"/>
      <c r="V81" s="164"/>
      <c r="W81" s="754"/>
      <c r="X81" s="754" t="s">
        <v>100</v>
      </c>
      <c r="Y81" s="201">
        <f>J82</f>
        <v>12903.05</v>
      </c>
      <c r="Z81" s="72"/>
    </row>
    <row r="82" spans="1:26" ht="18.75" customHeight="1" x14ac:dyDescent="0.25">
      <c r="A82" s="756"/>
      <c r="B82" s="756"/>
      <c r="C82" s="756"/>
      <c r="D82" s="756"/>
      <c r="E82" s="756"/>
      <c r="F82" s="756"/>
      <c r="G82" s="31"/>
      <c r="H82" s="771"/>
      <c r="I82" s="771" t="s">
        <v>100</v>
      </c>
      <c r="J82" s="74">
        <f>'0040'!J82</f>
        <v>12903.05</v>
      </c>
      <c r="K82" s="70"/>
      <c r="L82" s="70"/>
      <c r="M82" s="71"/>
      <c r="N82" s="70"/>
      <c r="O82" s="70"/>
      <c r="P82" s="70"/>
      <c r="Q82" s="70"/>
      <c r="R82" s="755"/>
      <c r="S82" s="755"/>
      <c r="T82" s="755"/>
      <c r="U82" s="755"/>
      <c r="V82" s="164"/>
      <c r="W82" s="754"/>
      <c r="X82" s="754"/>
      <c r="Y82" s="202"/>
      <c r="Z82" s="72"/>
    </row>
    <row r="83" spans="1:26" ht="15.75" customHeight="1" x14ac:dyDescent="0.25">
      <c r="A83" s="756"/>
      <c r="B83" s="756"/>
      <c r="C83" s="756"/>
      <c r="D83" s="756"/>
      <c r="E83" s="756"/>
      <c r="F83" s="756"/>
      <c r="G83" s="31"/>
      <c r="H83" s="771"/>
      <c r="I83" s="771"/>
      <c r="J83" s="75"/>
      <c r="K83" s="70"/>
      <c r="L83" s="70"/>
      <c r="M83" s="71"/>
      <c r="N83" s="70"/>
      <c r="O83" s="70"/>
      <c r="P83" s="70"/>
      <c r="Q83" s="70"/>
      <c r="R83" s="860" t="s">
        <v>101</v>
      </c>
      <c r="S83" s="860"/>
      <c r="T83" s="170"/>
      <c r="U83" s="170"/>
      <c r="V83" s="171">
        <f>G84</f>
        <v>58502790</v>
      </c>
      <c r="W83" s="745" t="s">
        <v>81</v>
      </c>
      <c r="X83" s="176">
        <f>IFERROR(ROUND(Y80/Y81,6),0)</f>
        <v>0</v>
      </c>
      <c r="Y83" s="266">
        <f>ROUND(V83*X83,2)</f>
        <v>0</v>
      </c>
      <c r="Z83" s="72"/>
    </row>
    <row r="84" spans="1:26" ht="21" customHeight="1" x14ac:dyDescent="0.25">
      <c r="A84" s="861" t="s">
        <v>101</v>
      </c>
      <c r="B84" s="861"/>
      <c r="C84" s="739"/>
      <c r="D84" s="739"/>
      <c r="G84" s="277">
        <f>'0040'!G84</f>
        <v>58502790</v>
      </c>
      <c r="H84" s="743" t="s">
        <v>81</v>
      </c>
      <c r="I84" s="41">
        <f>IFERROR(ROUND(J81/J82,6),0)</f>
        <v>0</v>
      </c>
      <c r="J84" s="62">
        <f>ROUND(G84*I84,2)</f>
        <v>0</v>
      </c>
      <c r="K84" s="70"/>
      <c r="L84" s="70"/>
      <c r="M84" s="71"/>
      <c r="N84" s="70"/>
      <c r="O84" s="70"/>
      <c r="P84" s="70"/>
      <c r="Q84" s="70"/>
      <c r="R84" s="862" t="s">
        <v>167</v>
      </c>
      <c r="S84" s="862"/>
      <c r="T84" s="862"/>
      <c r="U84" s="761"/>
      <c r="V84" s="274"/>
      <c r="W84" s="745"/>
      <c r="X84" s="176"/>
      <c r="Y84" s="266"/>
    </row>
    <row r="85" spans="1:26" ht="17.25" customHeight="1" x14ac:dyDescent="0.25">
      <c r="A85" s="898" t="s">
        <v>102</v>
      </c>
      <c r="B85" s="898"/>
      <c r="C85" s="898"/>
      <c r="D85" s="898"/>
      <c r="E85" s="898"/>
      <c r="F85" s="766" t="s">
        <v>103</v>
      </c>
      <c r="G85" s="277">
        <f>'0040'!G85</f>
        <v>268816278</v>
      </c>
      <c r="H85" s="743" t="s">
        <v>81</v>
      </c>
      <c r="I85" s="41">
        <f>I57</f>
        <v>7.8799999999999996E-4</v>
      </c>
      <c r="J85" s="138">
        <f>ROUND(G85*I85,2)</f>
        <v>211827.23</v>
      </c>
      <c r="K85" s="70"/>
      <c r="L85" s="70"/>
      <c r="M85" s="71"/>
      <c r="N85" s="70"/>
      <c r="O85" s="70"/>
      <c r="P85" s="70"/>
      <c r="Q85" s="70"/>
      <c r="R85" s="862" t="s">
        <v>168</v>
      </c>
      <c r="S85" s="862"/>
      <c r="T85" s="862"/>
      <c r="U85" s="761"/>
      <c r="V85" s="171">
        <f>G85</f>
        <v>268816278</v>
      </c>
      <c r="W85" s="745" t="s">
        <v>81</v>
      </c>
      <c r="X85" s="176">
        <f>X56</f>
        <v>0</v>
      </c>
      <c r="Y85" s="266">
        <f t="shared" ref="Y85:Y87" si="12">ROUND(V85*X85,2)</f>
        <v>0</v>
      </c>
    </row>
    <row r="86" spans="1:26" ht="14.25" customHeight="1" x14ac:dyDescent="0.25">
      <c r="A86" s="898" t="s">
        <v>104</v>
      </c>
      <c r="B86" s="898"/>
      <c r="C86" s="898"/>
      <c r="D86" s="898"/>
      <c r="E86" s="898"/>
      <c r="F86" s="766" t="s">
        <v>103</v>
      </c>
      <c r="G86" s="139">
        <v>0</v>
      </c>
      <c r="H86" s="743" t="s">
        <v>81</v>
      </c>
      <c r="I86" s="41">
        <f>I57</f>
        <v>7.8799999999999996E-4</v>
      </c>
      <c r="J86" s="138">
        <f>ROUND(G86*I86,2)</f>
        <v>0</v>
      </c>
      <c r="K86" s="70"/>
      <c r="L86" s="71"/>
      <c r="M86" s="76"/>
      <c r="N86" s="76"/>
      <c r="O86" s="76"/>
      <c r="P86" s="76"/>
      <c r="Q86" s="70"/>
      <c r="R86" s="862" t="s">
        <v>169</v>
      </c>
      <c r="S86" s="862"/>
      <c r="T86" s="862"/>
      <c r="U86" s="761"/>
      <c r="V86" s="203">
        <f>G86</f>
        <v>0</v>
      </c>
      <c r="W86" s="745" t="s">
        <v>81</v>
      </c>
      <c r="X86" s="176">
        <f>X56</f>
        <v>0</v>
      </c>
      <c r="Y86" s="266">
        <f t="shared" si="12"/>
        <v>0</v>
      </c>
    </row>
    <row r="87" spans="1:26" ht="18" customHeight="1" x14ac:dyDescent="0.25">
      <c r="A87" s="898" t="s">
        <v>105</v>
      </c>
      <c r="B87" s="898"/>
      <c r="C87" s="898"/>
      <c r="D87" s="898"/>
      <c r="E87" s="898"/>
      <c r="F87" s="766" t="s">
        <v>84</v>
      </c>
      <c r="G87" s="139">
        <v>0</v>
      </c>
      <c r="H87" s="743" t="s">
        <v>81</v>
      </c>
      <c r="I87" s="41">
        <f>I54</f>
        <v>7.6999999999999996E-4</v>
      </c>
      <c r="J87" s="62">
        <f>ROUND(G87*I87,2)</f>
        <v>0</v>
      </c>
      <c r="K87" s="77"/>
      <c r="L87" s="70"/>
      <c r="M87" s="71"/>
      <c r="N87" s="70"/>
      <c r="O87" s="70"/>
      <c r="P87" s="70"/>
      <c r="Q87" s="70"/>
      <c r="R87" s="740" t="s">
        <v>170</v>
      </c>
      <c r="S87" s="740"/>
      <c r="T87" s="740"/>
      <c r="U87" s="761"/>
      <c r="V87" s="203">
        <f>G87</f>
        <v>0</v>
      </c>
      <c r="W87" s="745"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756" t="s">
        <v>110</v>
      </c>
      <c r="B90" s="744">
        <f>I12+I13+I18+I21+I24</f>
        <v>139.20680000000002</v>
      </c>
      <c r="C90" s="744"/>
      <c r="D90" s="869">
        <f>I6</f>
        <v>1.0355000000000001</v>
      </c>
      <c r="E90" s="869"/>
      <c r="F90" s="869"/>
      <c r="G90" s="122">
        <f>'[1]Detail 2025-26 FEFP Second'!AB3</f>
        <v>958.42</v>
      </c>
      <c r="H90" s="47" t="s">
        <v>68</v>
      </c>
      <c r="I90" s="708">
        <f>ROUND(B90*D90*G90,2)</f>
        <v>138154.94</v>
      </c>
      <c r="J90" s="81"/>
      <c r="K90" s="70"/>
      <c r="L90" s="70"/>
      <c r="M90" s="71"/>
      <c r="N90" s="70"/>
      <c r="O90" s="70"/>
      <c r="P90" s="70"/>
      <c r="Q90" s="70"/>
      <c r="R90" s="755" t="s">
        <v>110</v>
      </c>
      <c r="S90" s="759">
        <f>X12+X13+X18+X21+X24</f>
        <v>0</v>
      </c>
      <c r="T90" s="924">
        <f>X6</f>
        <v>1.0355000000000001</v>
      </c>
      <c r="U90" s="924"/>
      <c r="V90" s="122">
        <f>G90</f>
        <v>958.42</v>
      </c>
      <c r="W90" s="182" t="s">
        <v>68</v>
      </c>
      <c r="X90" s="272">
        <f>ROUND(S90*T90*V90,2)</f>
        <v>0</v>
      </c>
      <c r="Y90" s="205"/>
    </row>
    <row r="91" spans="1:26" ht="21" customHeight="1" x14ac:dyDescent="0.25">
      <c r="A91" s="82" t="s">
        <v>60</v>
      </c>
      <c r="B91" s="744">
        <f>I14+I15+I19+I22+I25</f>
        <v>35.135300000000001</v>
      </c>
      <c r="C91" s="744"/>
      <c r="D91" s="869">
        <f>I6</f>
        <v>1.0355000000000001</v>
      </c>
      <c r="E91" s="869"/>
      <c r="F91" s="869"/>
      <c r="G91" s="122">
        <f>'[1]Detail 2025-26 FEFP Second'!AC3</f>
        <v>915.09</v>
      </c>
      <c r="H91" s="47" t="s">
        <v>68</v>
      </c>
      <c r="I91" s="707">
        <f>ROUND(B91*D91*G91,2)</f>
        <v>33293.360000000001</v>
      </c>
      <c r="K91" s="70"/>
      <c r="L91" s="70"/>
      <c r="M91" s="71"/>
      <c r="N91" s="70"/>
      <c r="O91" s="70"/>
      <c r="P91" s="70"/>
      <c r="Q91" s="70"/>
      <c r="R91" s="206" t="s">
        <v>60</v>
      </c>
      <c r="S91" s="759">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765" t="s">
        <v>111</v>
      </c>
      <c r="B93" s="109">
        <f>SUM(B90:B92)</f>
        <v>174.34210000000002</v>
      </c>
      <c r="C93" s="109"/>
      <c r="D93" s="109"/>
      <c r="E93" s="939" t="s">
        <v>112</v>
      </c>
      <c r="F93" s="939"/>
      <c r="G93" s="939"/>
      <c r="H93" s="939"/>
      <c r="I93" s="939"/>
      <c r="J93" s="127">
        <f>IF(A1=75,0,I92+I91+I90)</f>
        <v>171448.3</v>
      </c>
      <c r="K93" s="70"/>
      <c r="L93" s="70"/>
      <c r="M93" s="71"/>
      <c r="N93" s="70"/>
      <c r="O93" s="70"/>
      <c r="P93" s="70"/>
      <c r="Q93" s="70"/>
      <c r="R93" s="760"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766" t="s">
        <v>115</v>
      </c>
      <c r="G95" s="941"/>
      <c r="H95" s="941"/>
      <c r="I95" s="941"/>
      <c r="J95" s="941"/>
      <c r="K95" s="70"/>
      <c r="L95" s="70"/>
      <c r="M95" s="71"/>
      <c r="N95" s="70"/>
      <c r="O95" s="70"/>
      <c r="P95" s="70"/>
      <c r="Q95" s="70"/>
      <c r="R95" s="862" t="s">
        <v>173</v>
      </c>
      <c r="S95" s="862"/>
      <c r="T95" s="862"/>
      <c r="U95" s="761"/>
      <c r="V95" s="928"/>
      <c r="W95" s="928"/>
      <c r="X95" s="928"/>
      <c r="Y95" s="928"/>
    </row>
    <row r="96" spans="1:26" ht="15" customHeight="1" x14ac:dyDescent="0.25">
      <c r="B96" s="752"/>
      <c r="C96" s="123" t="s">
        <v>572</v>
      </c>
      <c r="D96" s="123" t="s">
        <v>573</v>
      </c>
      <c r="E96" s="872" t="s">
        <v>157</v>
      </c>
      <c r="F96" s="872"/>
      <c r="G96" s="872"/>
      <c r="H96" s="766"/>
      <c r="I96" s="766"/>
      <c r="J96" s="766"/>
      <c r="K96" s="70"/>
      <c r="L96" s="70"/>
      <c r="M96" s="71"/>
      <c r="N96" s="70"/>
      <c r="O96" s="70"/>
      <c r="P96" s="70"/>
      <c r="Q96" s="70"/>
      <c r="R96" s="929" t="s">
        <v>116</v>
      </c>
      <c r="S96" s="929"/>
      <c r="T96" s="930">
        <f>IF(I111=1,E97,0)</f>
        <v>0</v>
      </c>
      <c r="U96" s="930"/>
      <c r="V96" s="930"/>
      <c r="W96" s="746" t="s">
        <v>117</v>
      </c>
      <c r="X96" s="212">
        <f>I97</f>
        <v>586</v>
      </c>
      <c r="Y96" s="266">
        <f>ROUND(X96*T96,2)</f>
        <v>0</v>
      </c>
    </row>
    <row r="97" spans="1:25" ht="17.25" customHeight="1" x14ac:dyDescent="0.25">
      <c r="A97" s="912" t="s">
        <v>116</v>
      </c>
      <c r="B97" s="912"/>
      <c r="C97" s="279">
        <v>0</v>
      </c>
      <c r="D97" s="279">
        <v>0</v>
      </c>
      <c r="E97" s="942">
        <f>(C97+D97)/2</f>
        <v>0</v>
      </c>
      <c r="F97" s="942"/>
      <c r="G97" s="942"/>
      <c r="H97" s="772" t="s">
        <v>117</v>
      </c>
      <c r="I97" s="130">
        <f>'0040'!I97</f>
        <v>586</v>
      </c>
      <c r="J97" s="138">
        <f>ROUND(I97*E97,2)</f>
        <v>0</v>
      </c>
      <c r="K97" s="70"/>
      <c r="L97" s="70"/>
      <c r="M97" s="71"/>
      <c r="N97" s="70"/>
      <c r="O97" s="70"/>
      <c r="P97" s="70"/>
      <c r="Q97" s="70"/>
      <c r="R97" s="929" t="s">
        <v>118</v>
      </c>
      <c r="S97" s="929"/>
      <c r="T97" s="930">
        <f>IF(I112=1,E98,0)</f>
        <v>0</v>
      </c>
      <c r="U97" s="930"/>
      <c r="V97" s="930"/>
      <c r="W97" s="746" t="s">
        <v>117</v>
      </c>
      <c r="X97" s="212">
        <f>I98</f>
        <v>1811</v>
      </c>
      <c r="Y97" s="266">
        <f>ROUND(X97*T97,2)</f>
        <v>0</v>
      </c>
    </row>
    <row r="98" spans="1:25" ht="17.25" customHeight="1" x14ac:dyDescent="0.25">
      <c r="A98" s="912" t="s">
        <v>118</v>
      </c>
      <c r="B98" s="912"/>
      <c r="C98" s="279">
        <v>0</v>
      </c>
      <c r="D98" s="279"/>
      <c r="E98" s="943">
        <f>(C98+D98)/2</f>
        <v>0</v>
      </c>
      <c r="F98" s="943"/>
      <c r="G98" s="943"/>
      <c r="H98" s="772" t="s">
        <v>117</v>
      </c>
      <c r="I98" s="130">
        <f>'0040'!I98</f>
        <v>1811</v>
      </c>
      <c r="J98" s="62">
        <f>ROUND(I98*E98,2)</f>
        <v>0</v>
      </c>
      <c r="K98" s="70"/>
      <c r="L98" s="70"/>
      <c r="M98" s="71"/>
      <c r="N98" s="70"/>
      <c r="O98" s="70"/>
      <c r="P98" s="70"/>
      <c r="Q98" s="70"/>
      <c r="R98" s="762"/>
      <c r="S98" s="762"/>
      <c r="T98" s="275"/>
      <c r="U98" s="275"/>
      <c r="V98" s="275"/>
      <c r="W98" s="746"/>
      <c r="X98" s="212"/>
      <c r="Y98" s="271"/>
    </row>
    <row r="99" spans="1:25" ht="27.75" customHeight="1" x14ac:dyDescent="0.25">
      <c r="A99" s="756"/>
      <c r="B99" s="756"/>
      <c r="C99" s="110"/>
      <c r="D99" s="110"/>
      <c r="E99" s="124"/>
      <c r="F99" s="124"/>
      <c r="G99" s="124"/>
      <c r="H99" s="772"/>
      <c r="I99" s="86"/>
      <c r="J99" s="30"/>
      <c r="K99" s="70"/>
      <c r="L99" s="70"/>
      <c r="M99" s="71"/>
      <c r="N99" s="70"/>
      <c r="O99" s="70"/>
      <c r="P99" s="70"/>
      <c r="Q99" s="70"/>
      <c r="R99" s="762"/>
      <c r="S99" s="762"/>
      <c r="T99" s="275"/>
      <c r="U99" s="275"/>
      <c r="V99" s="275"/>
      <c r="W99" s="746"/>
      <c r="X99" s="212"/>
      <c r="Y99" s="271"/>
    </row>
    <row r="100" spans="1:25" ht="14.25" customHeight="1" x14ac:dyDescent="0.25">
      <c r="A100" s="898" t="s">
        <v>119</v>
      </c>
      <c r="B100" s="898"/>
      <c r="C100" s="898"/>
      <c r="D100" s="898"/>
      <c r="E100" s="898"/>
      <c r="F100" s="743" t="s">
        <v>120</v>
      </c>
      <c r="G100" s="868"/>
      <c r="H100" s="868"/>
      <c r="I100" s="868"/>
      <c r="J100" s="868"/>
      <c r="K100" s="70"/>
      <c r="L100" s="70"/>
      <c r="M100" s="71"/>
      <c r="N100" s="70"/>
      <c r="O100" s="70"/>
      <c r="P100" s="70"/>
      <c r="Q100" s="70"/>
      <c r="R100" s="862" t="s">
        <v>174</v>
      </c>
      <c r="S100" s="862"/>
      <c r="T100" s="862"/>
      <c r="U100" s="745"/>
      <c r="V100" s="876"/>
      <c r="W100" s="876"/>
      <c r="X100" s="876"/>
      <c r="Y100" s="876"/>
    </row>
    <row r="101" spans="1:25" ht="48" customHeight="1" x14ac:dyDescent="0.25">
      <c r="A101" s="949" t="s">
        <v>121</v>
      </c>
      <c r="B101" s="949"/>
      <c r="C101" s="769"/>
      <c r="D101" s="870" t="s">
        <v>122</v>
      </c>
      <c r="E101" s="870"/>
      <c r="F101" s="870"/>
      <c r="G101" s="950" t="s">
        <v>123</v>
      </c>
      <c r="H101" s="950"/>
      <c r="I101" s="770" t="s">
        <v>124</v>
      </c>
      <c r="J101" s="769" t="s">
        <v>125</v>
      </c>
      <c r="K101" s="70"/>
      <c r="L101" s="70"/>
      <c r="M101" s="70"/>
      <c r="N101" s="70"/>
      <c r="O101" s="70"/>
      <c r="P101" s="70"/>
      <c r="Q101" s="70"/>
      <c r="R101" s="936" t="s">
        <v>121</v>
      </c>
      <c r="S101" s="936"/>
      <c r="T101" s="937" t="s">
        <v>122</v>
      </c>
      <c r="U101" s="937"/>
      <c r="V101" s="938" t="s">
        <v>123</v>
      </c>
      <c r="W101" s="938"/>
      <c r="X101" s="764" t="s">
        <v>124</v>
      </c>
      <c r="Y101" s="763" t="s">
        <v>125</v>
      </c>
    </row>
    <row r="102" spans="1:25" ht="16.5" customHeight="1" x14ac:dyDescent="0.25">
      <c r="A102" s="861" t="s">
        <v>126</v>
      </c>
      <c r="B102" s="861"/>
      <c r="C102" s="739"/>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739"/>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742"/>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743"/>
      <c r="D105" s="74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757" t="s">
        <v>130</v>
      </c>
      <c r="G106" s="916"/>
      <c r="H106" s="916"/>
      <c r="I106" s="916"/>
      <c r="J106" s="93"/>
      <c r="K106" s="94"/>
      <c r="L106" s="94"/>
      <c r="M106" s="94"/>
      <c r="N106" s="94"/>
      <c r="O106" s="94"/>
      <c r="P106" s="94"/>
      <c r="Q106" s="94"/>
      <c r="R106" s="862" t="s">
        <v>175</v>
      </c>
      <c r="S106" s="862"/>
      <c r="T106" s="862"/>
      <c r="U106" s="767"/>
      <c r="V106" s="944"/>
      <c r="W106" s="944"/>
      <c r="X106" s="944"/>
      <c r="Y106" s="157">
        <v>0</v>
      </c>
    </row>
    <row r="107" spans="1:25" ht="30" customHeight="1" thickBot="1" x14ac:dyDescent="0.3">
      <c r="A107" s="912" t="s">
        <v>125</v>
      </c>
      <c r="B107" s="912"/>
      <c r="C107" s="912"/>
      <c r="D107" s="912"/>
      <c r="E107" s="912"/>
      <c r="F107" s="912"/>
      <c r="G107" s="912"/>
      <c r="H107" s="912"/>
      <c r="I107" s="912"/>
      <c r="J107" s="580">
        <f>SUM(J106,J105,J98,J97,J93,J86,J85,J71,J70,J68,J33,J72,J50,J87,J84)</f>
        <v>1455931.26</v>
      </c>
      <c r="R107" s="862" t="s">
        <v>125</v>
      </c>
      <c r="S107" s="862"/>
      <c r="T107" s="862"/>
      <c r="U107" s="862"/>
      <c r="V107" s="862"/>
      <c r="W107" s="862"/>
      <c r="X107" s="862"/>
      <c r="Y107" s="723">
        <f>SUM(Y106,Y105,Y97,Y96,Y93,Y86,Y85,Y84,Y70,Y69,Y67,Y33,Y71,Y50,Y87,Y83)</f>
        <v>0</v>
      </c>
    </row>
    <row r="108" spans="1:25" ht="15.75" customHeight="1" thickTop="1" x14ac:dyDescent="0.25">
      <c r="A108" s="868"/>
      <c r="B108" s="868"/>
      <c r="C108" s="868"/>
      <c r="D108" s="868"/>
      <c r="E108" s="868"/>
      <c r="F108" s="868"/>
      <c r="G108" s="868"/>
      <c r="H108" s="868"/>
      <c r="I108" s="868"/>
      <c r="J108" s="868"/>
      <c r="R108" s="876"/>
      <c r="S108" s="876"/>
      <c r="T108" s="876"/>
      <c r="U108" s="876"/>
      <c r="V108" s="876"/>
      <c r="W108" s="876"/>
      <c r="X108" s="876"/>
      <c r="Y108" s="876"/>
    </row>
    <row r="109" spans="1:25" ht="17.25" customHeight="1" thickBot="1" x14ac:dyDescent="0.3">
      <c r="A109" s="898" t="s">
        <v>131</v>
      </c>
      <c r="B109" s="898"/>
      <c r="C109" s="898"/>
      <c r="D109" s="898"/>
      <c r="E109" s="898"/>
      <c r="F109" s="868"/>
      <c r="G109" s="868"/>
      <c r="H109" s="868"/>
      <c r="I109" s="2" t="s">
        <v>132</v>
      </c>
      <c r="J109" s="582">
        <f>J107-J38</f>
        <v>1442122.85</v>
      </c>
      <c r="R109" s="170" t="s">
        <v>176</v>
      </c>
      <c r="S109" s="170"/>
      <c r="T109" s="170"/>
      <c r="U109" s="170"/>
      <c r="V109" s="170"/>
      <c r="W109" s="170"/>
      <c r="X109" s="170"/>
      <c r="Y109" s="724">
        <f>Y107-Y38</f>
        <v>-4412.2699999999995</v>
      </c>
    </row>
    <row r="110" spans="1:25" ht="18.75" customHeight="1" thickTop="1" x14ac:dyDescent="0.25">
      <c r="A110" s="898" t="s">
        <v>133</v>
      </c>
      <c r="B110" s="898"/>
      <c r="C110" s="898"/>
      <c r="D110" s="898"/>
      <c r="E110" s="898"/>
      <c r="F110" s="898"/>
      <c r="G110" s="898"/>
      <c r="H110" s="898"/>
      <c r="I110" s="752" t="s">
        <v>134</v>
      </c>
      <c r="J110" s="72"/>
      <c r="R110" s="953" t="s">
        <v>136</v>
      </c>
      <c r="S110" s="953"/>
      <c r="T110" s="953"/>
      <c r="U110" s="953"/>
      <c r="V110" s="953"/>
      <c r="W110" s="953"/>
      <c r="X110" s="953"/>
      <c r="Y110" s="953"/>
    </row>
    <row r="111" spans="1:25" ht="15.75" customHeight="1" x14ac:dyDescent="0.25">
      <c r="A111" s="899" t="s">
        <v>135</v>
      </c>
      <c r="B111" s="899"/>
      <c r="C111" s="899"/>
      <c r="D111" s="899"/>
      <c r="E111" s="899"/>
      <c r="F111" s="899"/>
      <c r="G111" s="899"/>
      <c r="H111" s="899"/>
      <c r="I111" s="280"/>
      <c r="J111" s="137">
        <f>Y109</f>
        <v>-4412.2699999999995</v>
      </c>
      <c r="R111" s="952" t="s">
        <v>177</v>
      </c>
      <c r="S111" s="952"/>
      <c r="T111" s="952"/>
      <c r="U111" s="952"/>
      <c r="V111" s="952"/>
      <c r="W111" s="952"/>
      <c r="X111" s="952"/>
      <c r="Y111" s="952"/>
    </row>
    <row r="112" spans="1:25" ht="15.75" customHeight="1" x14ac:dyDescent="0.25">
      <c r="A112" s="753"/>
      <c r="B112" s="753"/>
      <c r="C112" s="753"/>
      <c r="D112" s="753"/>
      <c r="E112" s="753"/>
      <c r="F112" s="753"/>
      <c r="G112" s="753"/>
      <c r="H112" s="753"/>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181</v>
      </c>
      <c r="B114" s="293"/>
      <c r="C114" s="293"/>
      <c r="D114" s="293"/>
      <c r="E114" s="293"/>
      <c r="F114" s="293"/>
      <c r="G114" s="293"/>
      <c r="H114" s="709">
        <v>0</v>
      </c>
      <c r="I114" s="710">
        <f>IF(I111=1,J111,J109)</f>
        <v>1442122.85</v>
      </c>
      <c r="J114" s="711">
        <f>ROUND(IF(E28=0,0,IF(E28&gt;250,-(((250/E28)*I114)*IF(H114="H",0.02,0.05)),IF(H114="H",-0.02*I114,-0.05*I114))),2)</f>
        <v>-72106.14</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1383825.12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12"/>
      <c r="I118" s="713"/>
      <c r="J118" s="718">
        <f>-'Cumulative Payments'!R85</f>
        <v>-610372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773453.12000000011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154690.62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751" t="s">
        <v>146</v>
      </c>
      <c r="B138" s="751"/>
      <c r="C138" s="751"/>
      <c r="D138" s="751"/>
      <c r="E138" s="751"/>
      <c r="F138" s="751"/>
      <c r="G138" s="751"/>
      <c r="H138" s="751"/>
      <c r="I138" s="751"/>
      <c r="J138" s="751"/>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X56:Y56"/>
    <mergeCell ref="A59:B59"/>
    <mergeCell ref="F59:H59"/>
    <mergeCell ref="X59:Y59"/>
    <mergeCell ref="I60:J60"/>
    <mergeCell ref="R60:Y60"/>
    <mergeCell ref="A61:J61"/>
    <mergeCell ref="R61:S61"/>
    <mergeCell ref="V61:W61"/>
    <mergeCell ref="X61:Y61"/>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84:B84"/>
    <mergeCell ref="R84:T84"/>
    <mergeCell ref="A85:E85"/>
    <mergeCell ref="R85:T85"/>
    <mergeCell ref="A86:E86"/>
    <mergeCell ref="R86:T86"/>
    <mergeCell ref="A77:B77"/>
    <mergeCell ref="R78:S78"/>
    <mergeCell ref="A79:B79"/>
    <mergeCell ref="R79:S79"/>
    <mergeCell ref="A80:B80"/>
    <mergeCell ref="R83:S83"/>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1F80-EBBF-476F-8041-5F2637D0FB76}">
  <dimension ref="A1:Z207"/>
  <sheetViews>
    <sheetView topLeftCell="A105" workbookViewId="0">
      <selection activeCell="J124" sqref="J12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444</v>
      </c>
      <c r="B2" s="102"/>
      <c r="C2" s="102"/>
      <c r="D2" s="102"/>
      <c r="E2" s="100"/>
      <c r="F2" s="100"/>
      <c r="G2" s="100"/>
      <c r="H2" s="100"/>
      <c r="I2" s="100"/>
      <c r="J2" s="100"/>
      <c r="K2" s="6"/>
      <c r="L2" s="6"/>
      <c r="M2" s="6"/>
      <c r="N2" s="6"/>
      <c r="O2" s="6"/>
      <c r="P2" s="6"/>
      <c r="Q2" s="6"/>
      <c r="R2" s="875" t="str">
        <f>Revenue_Estimate_Worksheet_for___________Charter_School</f>
        <v>Revenue Estimate Worksheet: Imagine Schools - Chancellor Campus - 3381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Second'!$C$1:$C$65536,MATCH('3381'!$A$1,'[1]Detail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Second'!$D$1:$D$65536,MATCH('3381'!$A$1,'[1]Detail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171.58</v>
      </c>
      <c r="D12" s="411">
        <v>0</v>
      </c>
      <c r="E12" s="980">
        <f t="shared" ref="E12:E27" si="0">IF($D$28=0,C12*2,C12+D12)</f>
        <v>343.16</v>
      </c>
      <c r="F12" s="980"/>
      <c r="G12" s="981">
        <v>1.1080000000000001</v>
      </c>
      <c r="H12" s="981"/>
      <c r="I12" s="578">
        <f>ROUND(E12*G12,4)</f>
        <v>380.22129999999999</v>
      </c>
      <c r="J12" s="579">
        <f t="shared" ref="J12:J27" si="1">ROUND(ROUND(ROUND(I12*$E$6,4)*($I$6),2)*(MAX($I$7,1)),2)</f>
        <v>2115295.54</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29</v>
      </c>
      <c r="D13" s="415">
        <v>0</v>
      </c>
      <c r="E13" s="967">
        <f t="shared" si="0"/>
        <v>58</v>
      </c>
      <c r="F13" s="967"/>
      <c r="G13" s="968">
        <v>1.1080000000000001</v>
      </c>
      <c r="H13" s="968"/>
      <c r="I13" s="578">
        <f t="shared" ref="I13:I27" si="2">ROUND(E13*G13,4)</f>
        <v>64.263999999999996</v>
      </c>
      <c r="J13" s="579">
        <f t="shared" si="1"/>
        <v>357521.67</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229.57</v>
      </c>
      <c r="D14" s="415">
        <v>0</v>
      </c>
      <c r="E14" s="967">
        <f t="shared" si="0"/>
        <v>459.14</v>
      </c>
      <c r="F14" s="967"/>
      <c r="G14" s="968">
        <v>1</v>
      </c>
      <c r="H14" s="968"/>
      <c r="I14" s="578">
        <f t="shared" si="2"/>
        <v>459.14</v>
      </c>
      <c r="J14" s="579">
        <f>ROUND(ROUND(ROUND(I14*$E$6,4)*($I$6),2)*(MAX($I$7,1)),2)</f>
        <v>2554346.1</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61.5</v>
      </c>
      <c r="D15" s="415">
        <v>0</v>
      </c>
      <c r="E15" s="967">
        <f t="shared" si="0"/>
        <v>123</v>
      </c>
      <c r="F15" s="967"/>
      <c r="G15" s="968">
        <v>1</v>
      </c>
      <c r="H15" s="968"/>
      <c r="I15" s="578">
        <f t="shared" si="2"/>
        <v>123</v>
      </c>
      <c r="J15" s="579">
        <f t="shared" si="1"/>
        <v>684289.26</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27.42</v>
      </c>
      <c r="D24" s="415">
        <v>0</v>
      </c>
      <c r="E24" s="967">
        <f t="shared" si="0"/>
        <v>54.84</v>
      </c>
      <c r="F24" s="967"/>
      <c r="G24" s="968">
        <v>1.165</v>
      </c>
      <c r="H24" s="968"/>
      <c r="I24" s="578">
        <f t="shared" si="2"/>
        <v>63.888599999999997</v>
      </c>
      <c r="J24" s="579">
        <f t="shared" si="1"/>
        <v>355433.19</v>
      </c>
      <c r="M24" s="2"/>
      <c r="R24" s="860" t="s">
        <v>32</v>
      </c>
      <c r="S24" s="860"/>
      <c r="T24" s="891">
        <f t="shared" si="3"/>
        <v>0</v>
      </c>
      <c r="U24" s="891"/>
      <c r="V24" s="896">
        <v>1</v>
      </c>
      <c r="W24" s="896"/>
      <c r="X24" s="156">
        <f t="shared" si="4"/>
        <v>0</v>
      </c>
      <c r="Y24" s="266">
        <f t="shared" si="6"/>
        <v>0</v>
      </c>
    </row>
    <row r="25" spans="1:25" x14ac:dyDescent="0.25">
      <c r="A25" s="861" t="s">
        <v>33</v>
      </c>
      <c r="B25" s="861"/>
      <c r="C25" s="415">
        <v>4.72</v>
      </c>
      <c r="D25" s="415">
        <v>0</v>
      </c>
      <c r="E25" s="967">
        <f t="shared" si="0"/>
        <v>9.44</v>
      </c>
      <c r="F25" s="967"/>
      <c r="G25" s="968">
        <v>1.165</v>
      </c>
      <c r="H25" s="968"/>
      <c r="I25" s="578">
        <f t="shared" si="2"/>
        <v>10.9976</v>
      </c>
      <c r="J25" s="579">
        <f t="shared" si="1"/>
        <v>61183.25</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523.79</v>
      </c>
      <c r="D28" s="126">
        <f>SUM(D12:D27)</f>
        <v>0</v>
      </c>
      <c r="E28" s="991">
        <f>SUM(E12:E27)</f>
        <v>1047.58</v>
      </c>
      <c r="F28" s="991"/>
      <c r="G28" s="961"/>
      <c r="H28" s="961"/>
      <c r="I28" s="23">
        <f>SUM(I12:I27)</f>
        <v>1101.5114999999998</v>
      </c>
      <c r="J28" s="127">
        <f>SUM(J12:J27)</f>
        <v>6128069.0100000007</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1101.5114999999998</v>
      </c>
      <c r="H33" s="961" t="s">
        <v>45</v>
      </c>
      <c r="I33" s="961"/>
      <c r="J33" s="32">
        <f>SUM(J32,J28)</f>
        <v>6128069.0100000007</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6129355.2400000002</v>
      </c>
      <c r="H36" s="223" t="s">
        <v>49</v>
      </c>
      <c r="I36" s="38">
        <v>6.6699999999999995E-2</v>
      </c>
      <c r="J36" s="131">
        <f>ROUND(G36*I36,2)</f>
        <v>408827.99</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6129355.2400000002</v>
      </c>
      <c r="H37" s="223" t="s">
        <v>49</v>
      </c>
      <c r="I37" s="38">
        <v>5.4000000000000003E-3</v>
      </c>
      <c r="J37" s="131">
        <f>ROUND(G37*I37,2)</f>
        <v>33098.519999999997</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441926.51</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25.5</v>
      </c>
      <c r="D41" s="415">
        <v>0</v>
      </c>
      <c r="E41" s="954">
        <f t="shared" ref="E41:E49" si="7">IF($D$50=0,C41*2,C41+D41)</f>
        <v>51</v>
      </c>
      <c r="F41" s="954"/>
      <c r="G41" s="223" t="s">
        <v>59</v>
      </c>
      <c r="H41" s="223">
        <v>251</v>
      </c>
      <c r="I41" s="136">
        <f>INDEX('[1]111-112-113 ADDITIONAL FUND'!D$1:D$65536,MATCH($A$1,'[1]111-112-113 ADDITIONAL FUND'!A$1:A$65536))</f>
        <v>1047</v>
      </c>
      <c r="J41" s="46">
        <f t="shared" ref="J41:J49" si="8">ROUND(E41*I41,2)</f>
        <v>53397</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3.5</v>
      </c>
      <c r="D42" s="415">
        <v>0</v>
      </c>
      <c r="E42" s="954">
        <f t="shared" si="7"/>
        <v>7</v>
      </c>
      <c r="F42" s="954"/>
      <c r="G42" s="223" t="s">
        <v>59</v>
      </c>
      <c r="H42" s="223">
        <v>252</v>
      </c>
      <c r="I42" s="136">
        <f>INDEX('[1]111-112-113 ADDITIONAL FUND'!E$1:E$65536,MATCH($A$1,'[1]111-112-113 ADDITIONAL FUND'!A$1:A$65536))</f>
        <v>3380</v>
      </c>
      <c r="J42" s="46">
        <f t="shared" si="8"/>
        <v>23660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58.98</v>
      </c>
      <c r="D44" s="415">
        <v>0</v>
      </c>
      <c r="E44" s="954">
        <f t="shared" si="7"/>
        <v>117.96</v>
      </c>
      <c r="F44" s="954"/>
      <c r="G44" s="47" t="s">
        <v>60</v>
      </c>
      <c r="H44" s="223">
        <v>251</v>
      </c>
      <c r="I44" s="136">
        <f>INDEX('[1]111-112-113 ADDITIONAL FUND'!G$1:G$65536,MATCH($A$1,'[1]111-112-113 ADDITIONAL FUND'!A$1:A$65536))</f>
        <v>1173</v>
      </c>
      <c r="J44" s="137">
        <f t="shared" si="8"/>
        <v>138367.07999999999</v>
      </c>
      <c r="L44" s="3"/>
      <c r="M44" s="2"/>
      <c r="Q44" s="4"/>
      <c r="R44" s="903"/>
      <c r="S44" s="903"/>
      <c r="T44" s="905"/>
      <c r="U44" s="905"/>
      <c r="V44" s="182" t="s">
        <v>60</v>
      </c>
      <c r="W44" s="239">
        <v>251</v>
      </c>
      <c r="X44" s="134">
        <f t="shared" si="9"/>
        <v>1173</v>
      </c>
      <c r="Y44" s="269">
        <f t="shared" si="10"/>
        <v>0</v>
      </c>
    </row>
    <row r="45" spans="1:25" x14ac:dyDescent="0.25">
      <c r="A45" s="960"/>
      <c r="B45" s="960"/>
      <c r="C45" s="415">
        <v>2.52</v>
      </c>
      <c r="D45" s="415">
        <v>0</v>
      </c>
      <c r="E45" s="954">
        <f t="shared" si="7"/>
        <v>5.04</v>
      </c>
      <c r="F45" s="954"/>
      <c r="G45" s="47" t="s">
        <v>60</v>
      </c>
      <c r="H45" s="223">
        <v>252</v>
      </c>
      <c r="I45" s="136">
        <f>INDEX('[1]111-112-113 ADDITIONAL FUND'!H$1:H$65536,MATCH($A$1,'[1]111-112-113 ADDITIONAL FUND'!A$1:A$65536))</f>
        <v>3506</v>
      </c>
      <c r="J45" s="46">
        <f t="shared" si="8"/>
        <v>17670.240000000002</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90.499999999999986</v>
      </c>
      <c r="D50" s="585">
        <f>SUM(D41:D49)</f>
        <v>0</v>
      </c>
      <c r="E50" s="956">
        <f>SUM(E41:E49)</f>
        <v>180.99999999999997</v>
      </c>
      <c r="F50" s="956"/>
      <c r="G50" s="912" t="s">
        <v>63</v>
      </c>
      <c r="H50" s="912"/>
      <c r="I50" s="912"/>
      <c r="J50" s="276">
        <f>SUM(J41:J49)</f>
        <v>233094.31999999998</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1047.58</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5.0419999999999996E-3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1101.5114999999998</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4.9800000000000001E-3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1047.58</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5.855E-3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1047.58</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5.0489999999999997E-3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1047.58</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5.8650000000000004E-3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5.0489999999999997E-3</v>
      </c>
      <c r="J68" s="138">
        <f>ROUND(G68*I68,2)</f>
        <v>230383.82</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5.0419999999999996E-3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5.8650000000000004E-3</v>
      </c>
      <c r="J71" s="138">
        <f>ROUND(G71*I71,2)</f>
        <v>111048.25</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5.855E-3</v>
      </c>
      <c r="J72" s="138">
        <f>ROUND(G72*I72,2)</f>
        <v>66161.570000000007</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4.9800000000000001E-3</v>
      </c>
      <c r="J85" s="138">
        <f>ROUND(G85*I85,2)</f>
        <v>1338705.06</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4.9800000000000001E-3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5.0419999999999996E-3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508.37389999999999</v>
      </c>
      <c r="C90" s="245"/>
      <c r="D90" s="869">
        <f>I6</f>
        <v>1.0355000000000001</v>
      </c>
      <c r="E90" s="869"/>
      <c r="F90" s="869"/>
      <c r="G90" s="122">
        <f>'[1]Detail 2025-26 FEFP Second'!AB3</f>
        <v>958.42</v>
      </c>
      <c r="H90" s="47" t="s">
        <v>68</v>
      </c>
      <c r="I90" s="727">
        <f>ROUND(B90*D90*G90,2)</f>
        <v>504532.58</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593.13760000000002</v>
      </c>
      <c r="C91" s="245"/>
      <c r="D91" s="869">
        <f>I6</f>
        <v>1.0355000000000001</v>
      </c>
      <c r="E91" s="869"/>
      <c r="F91" s="869"/>
      <c r="G91" s="122">
        <f>'[1]Detail 2025-26 FEFP Second'!AC3</f>
        <v>915.09</v>
      </c>
      <c r="H91" s="47" t="s">
        <v>68</v>
      </c>
      <c r="I91" s="727">
        <f>ROUND(B91*D91*G91,2)</f>
        <v>562042.77</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1101.5115000000001</v>
      </c>
      <c r="C93" s="109"/>
      <c r="D93" s="109"/>
      <c r="E93" s="939" t="s">
        <v>112</v>
      </c>
      <c r="F93" s="939"/>
      <c r="G93" s="939"/>
      <c r="H93" s="939"/>
      <c r="I93" s="939"/>
      <c r="J93" s="127">
        <f>IF(A1=75,0,I92+I91+I90)</f>
        <v>1066575.3500000001</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109</v>
      </c>
      <c r="D97" s="279">
        <v>0</v>
      </c>
      <c r="E97" s="988">
        <f>(C97+D97)</f>
        <v>109</v>
      </c>
      <c r="F97" s="942"/>
      <c r="G97" s="942"/>
      <c r="H97" s="224" t="s">
        <v>117</v>
      </c>
      <c r="I97" s="130">
        <f>'0040'!I97</f>
        <v>586</v>
      </c>
      <c r="J97" s="138">
        <f>ROUND(I97*E97,2)</f>
        <v>63874</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9237911.3800000008</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8795984.870000001</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602"/>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09" t="s">
        <v>432</v>
      </c>
      <c r="I114" s="710">
        <f>IF(I111=1,J111,J109)</f>
        <v>8795984.870000001</v>
      </c>
      <c r="J114" s="711">
        <f>ROUND(IF(E28=0,0,IF(E28&gt;250,-(((250/E28)*I114)*IF(H114="H",0.02,0.05)),IF(H114="H",-0.02*I114,-0.05*I114))),2)</f>
        <v>-41982.400000000001</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9195928.9800000004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Payments'!R86</f>
        <v>-5340202.8600000003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3855726.12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771145.22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133937.29999999999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9939-EC71-4FF6-8991-4A56F4519FA9}">
  <dimension ref="A1:Z207"/>
  <sheetViews>
    <sheetView workbookViewId="0">
      <selection activeCell="A3" sqref="A3:J3"/>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580</v>
      </c>
      <c r="B2" s="102"/>
      <c r="C2" s="102"/>
      <c r="D2" s="102"/>
      <c r="E2" s="100"/>
      <c r="F2" s="100"/>
      <c r="G2" s="100"/>
      <c r="H2" s="100"/>
      <c r="I2" s="100"/>
      <c r="J2" s="100"/>
      <c r="K2" s="6"/>
      <c r="L2" s="6"/>
      <c r="M2" s="6"/>
      <c r="N2" s="6"/>
      <c r="O2" s="6"/>
      <c r="P2" s="6"/>
      <c r="Q2" s="6"/>
      <c r="R2" s="875" t="str">
        <f>Revenue_Estimate_Worksheet_for___________Charter_School</f>
        <v>Revenue Estimate Worksheet: Glades Academy - 3382</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Second'!$C$1:$C$65536,MATCH('3382'!$A$1,'[1]Detail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Second'!$D$1:$D$65536,MATCH('3382'!$A$1,'[1]Detail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41.54</v>
      </c>
      <c r="D12" s="411">
        <v>0</v>
      </c>
      <c r="E12" s="980">
        <f t="shared" ref="E12:E27" si="0">IF($D$28=0,C12*2,C12+D12)</f>
        <v>83.08</v>
      </c>
      <c r="F12" s="980"/>
      <c r="G12" s="981">
        <v>1.1080000000000001</v>
      </c>
      <c r="H12" s="981"/>
      <c r="I12" s="578">
        <f>ROUND(E12*G12,4)</f>
        <v>92.052599999999998</v>
      </c>
      <c r="J12" s="579">
        <f t="shared" ref="J12:J27" si="1">ROUND(ROUND(ROUND(I12*$E$6,4)*($I$6),2)*(MAX($I$7,1)),2)</f>
        <v>512118.74</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8</v>
      </c>
      <c r="D13" s="415">
        <v>0</v>
      </c>
      <c r="E13" s="967">
        <f t="shared" si="0"/>
        <v>16</v>
      </c>
      <c r="F13" s="967"/>
      <c r="G13" s="968">
        <v>1.1080000000000001</v>
      </c>
      <c r="H13" s="968"/>
      <c r="I13" s="578">
        <f t="shared" ref="I13:I27" si="2">ROUND(E13*G13,4)</f>
        <v>17.728000000000002</v>
      </c>
      <c r="J13" s="579">
        <f t="shared" si="1"/>
        <v>98626.67</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62.08</v>
      </c>
      <c r="D14" s="415">
        <v>0</v>
      </c>
      <c r="E14" s="967">
        <f t="shared" si="0"/>
        <v>124.16</v>
      </c>
      <c r="F14" s="967"/>
      <c r="G14" s="968">
        <v>1</v>
      </c>
      <c r="H14" s="968"/>
      <c r="I14" s="578">
        <f t="shared" si="2"/>
        <v>124.16</v>
      </c>
      <c r="J14" s="579">
        <f>ROUND(ROUND(ROUND(I14*$E$6,4)*($I$6),2)*(MAX($I$7,1)),2)</f>
        <v>690742.72</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20</v>
      </c>
      <c r="D15" s="415">
        <v>0</v>
      </c>
      <c r="E15" s="967">
        <f t="shared" si="0"/>
        <v>40</v>
      </c>
      <c r="F15" s="967"/>
      <c r="G15" s="968">
        <v>1</v>
      </c>
      <c r="H15" s="968"/>
      <c r="I15" s="578">
        <f t="shared" si="2"/>
        <v>40</v>
      </c>
      <c r="J15" s="579">
        <f t="shared" si="1"/>
        <v>222533.09</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3.4699999999999998</v>
      </c>
      <c r="D24" s="415">
        <v>0</v>
      </c>
      <c r="E24" s="967">
        <f t="shared" si="0"/>
        <v>6.9399999999999995</v>
      </c>
      <c r="F24" s="967"/>
      <c r="G24" s="968">
        <v>1.165</v>
      </c>
      <c r="H24" s="968"/>
      <c r="I24" s="578">
        <f t="shared" si="2"/>
        <v>8.0851000000000006</v>
      </c>
      <c r="J24" s="579">
        <f t="shared" si="1"/>
        <v>44980.06</v>
      </c>
      <c r="M24" s="2"/>
      <c r="R24" s="860" t="s">
        <v>32</v>
      </c>
      <c r="S24" s="860"/>
      <c r="T24" s="891">
        <f t="shared" si="3"/>
        <v>0</v>
      </c>
      <c r="U24" s="891"/>
      <c r="V24" s="896">
        <v>1</v>
      </c>
      <c r="W24" s="896"/>
      <c r="X24" s="156">
        <f t="shared" si="4"/>
        <v>0</v>
      </c>
      <c r="Y24" s="266">
        <f t="shared" si="6"/>
        <v>0</v>
      </c>
    </row>
    <row r="25" spans="1:25" x14ac:dyDescent="0.25">
      <c r="A25" s="861" t="s">
        <v>33</v>
      </c>
      <c r="B25" s="861"/>
      <c r="C25" s="415">
        <v>0.42</v>
      </c>
      <c r="D25" s="415">
        <v>0</v>
      </c>
      <c r="E25" s="967">
        <f t="shared" si="0"/>
        <v>0.84</v>
      </c>
      <c r="F25" s="967"/>
      <c r="G25" s="968">
        <v>1.165</v>
      </c>
      <c r="H25" s="968"/>
      <c r="I25" s="578">
        <f t="shared" si="2"/>
        <v>0.97860000000000003</v>
      </c>
      <c r="J25" s="579">
        <f t="shared" si="1"/>
        <v>5444.27</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26">
        <f>SUM(C12:C27)</f>
        <v>135.51</v>
      </c>
      <c r="D28" s="126">
        <f>SUM(D12:D27)</f>
        <v>0</v>
      </c>
      <c r="E28" s="966">
        <f>SUM(E12:E27)</f>
        <v>271.02</v>
      </c>
      <c r="F28" s="966"/>
      <c r="G28" s="961"/>
      <c r="H28" s="961"/>
      <c r="I28" s="23">
        <f>SUM(I12:I27)</f>
        <v>283.0043</v>
      </c>
      <c r="J28" s="127">
        <f>SUM(J12:J27)</f>
        <v>1574445.55</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283.0043</v>
      </c>
      <c r="H33" s="961" t="s">
        <v>45</v>
      </c>
      <c r="I33" s="961"/>
      <c r="J33" s="32">
        <f>SUM(J32,J28)</f>
        <v>1574445.55</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1589443.16</v>
      </c>
      <c r="H36" s="223" t="s">
        <v>49</v>
      </c>
      <c r="I36" s="38">
        <v>6.6699999999999995E-2</v>
      </c>
      <c r="J36" s="131">
        <f>ROUND(G36*I36,2)</f>
        <v>106015.86</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1589443.16</v>
      </c>
      <c r="H37" s="223" t="s">
        <v>49</v>
      </c>
      <c r="I37" s="38">
        <v>5.4000000000000003E-3</v>
      </c>
      <c r="J37" s="131">
        <f>ROUND(G37*I37,2)</f>
        <v>8582.99</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114598.85</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7.5</v>
      </c>
      <c r="D41" s="415">
        <v>0</v>
      </c>
      <c r="E41" s="954">
        <f t="shared" ref="E41:E49" si="7">IF($D$50=0,C41*2,C41+D41)</f>
        <v>15</v>
      </c>
      <c r="F41" s="954"/>
      <c r="G41" s="223" t="s">
        <v>59</v>
      </c>
      <c r="H41" s="223">
        <v>251</v>
      </c>
      <c r="I41" s="136">
        <f>INDEX('[1]111-112-113 ADDITIONAL FUND'!D$1:D$65536,MATCH($A$1,'[1]111-112-113 ADDITIONAL FUND'!A$1:A$65536))</f>
        <v>1047</v>
      </c>
      <c r="J41" s="727">
        <f t="shared" ref="J41:J49" si="8">ROUND(E41*I41,2)</f>
        <v>15705</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0.5</v>
      </c>
      <c r="D42" s="415">
        <v>0</v>
      </c>
      <c r="E42" s="954">
        <f t="shared" si="7"/>
        <v>1</v>
      </c>
      <c r="F42" s="954"/>
      <c r="G42" s="223" t="s">
        <v>59</v>
      </c>
      <c r="H42" s="223">
        <v>252</v>
      </c>
      <c r="I42" s="136">
        <f>INDEX('[1]111-112-113 ADDITIONAL FUND'!E$1:E$65536,MATCH($A$1,'[1]111-112-113 ADDITIONAL FUND'!A$1:A$65536))</f>
        <v>3380</v>
      </c>
      <c r="J42" s="727">
        <f t="shared" si="8"/>
        <v>3380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18.46</v>
      </c>
      <c r="D44" s="415">
        <v>0</v>
      </c>
      <c r="E44" s="954">
        <f t="shared" si="7"/>
        <v>36.92</v>
      </c>
      <c r="F44" s="954"/>
      <c r="G44" s="47" t="s">
        <v>60</v>
      </c>
      <c r="H44" s="223">
        <v>251</v>
      </c>
      <c r="I44" s="136">
        <f>INDEX('[1]111-112-113 ADDITIONAL FUND'!G$1:G$65536,MATCH($A$1,'[1]111-112-113 ADDITIONAL FUND'!A$1:A$65536))</f>
        <v>1173</v>
      </c>
      <c r="J44" s="137">
        <f t="shared" si="8"/>
        <v>43307.16</v>
      </c>
      <c r="L44" s="3"/>
      <c r="M44" s="2"/>
      <c r="Q44" s="4"/>
      <c r="R44" s="903"/>
      <c r="S44" s="903"/>
      <c r="T44" s="905"/>
      <c r="U44" s="905"/>
      <c r="V44" s="182" t="s">
        <v>60</v>
      </c>
      <c r="W44" s="239">
        <v>251</v>
      </c>
      <c r="X44" s="134">
        <f t="shared" si="9"/>
        <v>1173</v>
      </c>
      <c r="Y44" s="269">
        <f t="shared" si="10"/>
        <v>0</v>
      </c>
    </row>
    <row r="45" spans="1:25" x14ac:dyDescent="0.25">
      <c r="A45" s="960"/>
      <c r="B45" s="960"/>
      <c r="C45" s="415">
        <v>1.54</v>
      </c>
      <c r="D45" s="415">
        <v>0</v>
      </c>
      <c r="E45" s="954">
        <f t="shared" si="7"/>
        <v>3.08</v>
      </c>
      <c r="F45" s="954"/>
      <c r="G45" s="47" t="s">
        <v>60</v>
      </c>
      <c r="H45" s="223">
        <v>252</v>
      </c>
      <c r="I45" s="136">
        <f>INDEX('[1]111-112-113 ADDITIONAL FUND'!H$1:H$65536,MATCH($A$1,'[1]111-112-113 ADDITIONAL FUND'!A$1:A$65536))</f>
        <v>3506</v>
      </c>
      <c r="J45" s="727">
        <f t="shared" si="8"/>
        <v>10798.48</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28</v>
      </c>
      <c r="D50" s="585">
        <f>SUM(D41:D49)</f>
        <v>0</v>
      </c>
      <c r="E50" s="956">
        <f>SUM(E41:E49)</f>
        <v>56</v>
      </c>
      <c r="F50" s="956"/>
      <c r="G50" s="912" t="s">
        <v>63</v>
      </c>
      <c r="H50" s="912"/>
      <c r="I50" s="912"/>
      <c r="J50" s="276">
        <f>SUM(J41:J49)</f>
        <v>73190.64</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271.02</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1.304E-3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283.0043</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1.2800000000000001E-3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271.02</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1.5150000000000001E-3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271.02</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1.3060000000000001E-3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271.02</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1.5169999999999999E-3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1.3060000000000001E-3</v>
      </c>
      <c r="J68" s="138">
        <f>ROUND(G68*I68,2)</f>
        <v>59592.25</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1.304E-3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1.5169999999999999E-3</v>
      </c>
      <c r="J71" s="138">
        <f>ROUND(G71*I71,2)</f>
        <v>28722.97</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1.5150000000000001E-3</v>
      </c>
      <c r="J72" s="138">
        <f>ROUND(G72*I72,2)</f>
        <v>17119.52</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1.2800000000000001E-3</v>
      </c>
      <c r="J85" s="138">
        <f>ROUND(G85*I85,2)</f>
        <v>344084.84</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1.2800000000000001E-3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1.304E-3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117.86569999999999</v>
      </c>
      <c r="C90" s="245"/>
      <c r="D90" s="869">
        <f>I6</f>
        <v>1.0355000000000001</v>
      </c>
      <c r="E90" s="869"/>
      <c r="F90" s="869"/>
      <c r="G90" s="122">
        <f>'[1]Detail 2025-26 FEFP Second'!AB3</f>
        <v>958.42</v>
      </c>
      <c r="H90" s="47" t="s">
        <v>68</v>
      </c>
      <c r="I90" s="727">
        <f>ROUND(B90*D90*G90,2)</f>
        <v>116975.1</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165.1386</v>
      </c>
      <c r="C91" s="245"/>
      <c r="D91" s="869">
        <f>I6</f>
        <v>1.0355000000000001</v>
      </c>
      <c r="E91" s="869"/>
      <c r="F91" s="869"/>
      <c r="G91" s="122">
        <f>'[1]Detail 2025-26 FEFP Second'!AC3</f>
        <v>915.09</v>
      </c>
      <c r="H91" s="47" t="s">
        <v>68</v>
      </c>
      <c r="I91" s="727">
        <f>ROUND(B91*D91*G91,2)</f>
        <v>156481.32</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283.0043</v>
      </c>
      <c r="C93" s="109"/>
      <c r="D93" s="109"/>
      <c r="E93" s="939" t="s">
        <v>112</v>
      </c>
      <c r="F93" s="939"/>
      <c r="G93" s="939"/>
      <c r="H93" s="939"/>
      <c r="I93" s="939"/>
      <c r="J93" s="127">
        <f>IF(A1=75,0,I92+I91+I90)</f>
        <v>273456.42000000004</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240</v>
      </c>
      <c r="D97" s="279">
        <v>0</v>
      </c>
      <c r="E97" s="988">
        <f>(C97+D97)</f>
        <v>240</v>
      </c>
      <c r="F97" s="942"/>
      <c r="G97" s="942"/>
      <c r="H97" s="224" t="s">
        <v>117</v>
      </c>
      <c r="I97" s="130">
        <f>'0040'!I97</f>
        <v>586</v>
      </c>
      <c r="J97" s="138">
        <f>ROUND(I97*E97,2)</f>
        <v>140640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2511252.1900000004</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2396653.3400000003</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09"/>
      <c r="I114" s="710">
        <f>IF(I111=1,J111,J109)</f>
        <v>2396653.3400000003</v>
      </c>
      <c r="J114" s="711">
        <f>ROUND(IF(E28=0,0,IF(E28&gt;250,-(((250/E28)*I114)*IF(H114="H",0.02,0.05)),IF(H114="H",-0.02*I114,-0.05*I114))),2)</f>
        <v>-110538.58</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2400713.6100000003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Payments'!R87</f>
        <v>-1400338.61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1000375.0000000002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200075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9294.09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0D20-9D20-4687-8A60-D4D664693457}">
  <dimension ref="A1:Z207"/>
  <sheetViews>
    <sheetView topLeftCell="A92" workbookViewId="0">
      <selection activeCell="J83" sqref="J83"/>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445</v>
      </c>
      <c r="B2" s="102"/>
      <c r="C2" s="102"/>
      <c r="D2" s="102"/>
      <c r="E2" s="100"/>
      <c r="F2" s="100"/>
      <c r="G2" s="100"/>
      <c r="H2" s="100"/>
      <c r="I2" s="100"/>
      <c r="J2" s="100"/>
      <c r="K2" s="6"/>
      <c r="L2" s="6"/>
      <c r="M2" s="6"/>
      <c r="N2" s="6"/>
      <c r="O2" s="6"/>
      <c r="P2" s="6"/>
      <c r="Q2" s="6"/>
      <c r="R2" s="875" t="str">
        <f>Revenue_Estimate_Worksheet_for___________Charter_School</f>
        <v>Revenue Estimate Worksheet: Seagull Academy for Independent Living - 3391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Second'!$C$1:$C$65536,MATCH('3391'!$A$1,'[1]Detail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Second'!$D$1:$D$65536,MATCH('3391'!$A$1,'[1]Detail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v>
      </c>
      <c r="D15" s="415">
        <v>0</v>
      </c>
      <c r="E15" s="967">
        <f t="shared" si="0"/>
        <v>0</v>
      </c>
      <c r="F15" s="967"/>
      <c r="G15" s="968">
        <v>1</v>
      </c>
      <c r="H15" s="968"/>
      <c r="I15" s="578">
        <f t="shared" si="2"/>
        <v>0</v>
      </c>
      <c r="J15" s="579">
        <f t="shared" si="1"/>
        <v>0</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0</v>
      </c>
      <c r="D28" s="126">
        <f>SUM(D12:D27)</f>
        <v>0</v>
      </c>
      <c r="E28" s="966">
        <f>SUM(E12:E27)</f>
        <v>0</v>
      </c>
      <c r="F28" s="966"/>
      <c r="G28" s="961"/>
      <c r="H28" s="961"/>
      <c r="I28" s="23">
        <f>SUM(I12:I27)</f>
        <v>0</v>
      </c>
      <c r="J28" s="127">
        <f>SUM(J12:J27)</f>
        <v>0</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0</v>
      </c>
      <c r="H33" s="961" t="s">
        <v>45</v>
      </c>
      <c r="I33" s="961"/>
      <c r="J33" s="32">
        <f>SUM(J32,J28)</f>
        <v>0</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0</v>
      </c>
      <c r="H36" s="223" t="s">
        <v>49</v>
      </c>
      <c r="I36" s="38">
        <v>6.6699999999999995E-2</v>
      </c>
      <c r="J36" s="131">
        <f>ROUND(G36*I36,2)</f>
        <v>0</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0</v>
      </c>
      <c r="H37" s="223" t="s">
        <v>49</v>
      </c>
      <c r="I37" s="38">
        <v>5.4000000000000003E-3</v>
      </c>
      <c r="J37" s="131">
        <f>ROUND(G37*I37,2)</f>
        <v>0</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0</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0</v>
      </c>
      <c r="D44" s="415">
        <v>0</v>
      </c>
      <c r="E44" s="954">
        <f t="shared" si="7"/>
        <v>0</v>
      </c>
      <c r="F44" s="954"/>
      <c r="G44" s="47" t="s">
        <v>60</v>
      </c>
      <c r="H44" s="223">
        <v>251</v>
      </c>
      <c r="I44" s="136">
        <f>INDEX('[1]111-112-113 ADDITIONAL FUND'!G$1:G$65536,MATCH($A$1,'[1]111-112-113 ADDITIONAL FUND'!A$1:A$65536))</f>
        <v>1173</v>
      </c>
      <c r="J44" s="13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46">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0</v>
      </c>
      <c r="D50" s="585">
        <f>SUM(D41:D49)</f>
        <v>0</v>
      </c>
      <c r="E50" s="956">
        <f>SUM(E41:E49)</f>
        <v>0</v>
      </c>
      <c r="F50" s="956"/>
      <c r="G50" s="912" t="s">
        <v>63</v>
      </c>
      <c r="H50" s="912"/>
      <c r="I50" s="912"/>
      <c r="J50" s="276">
        <f>SUM(J41:J49)</f>
        <v>0</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0</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0</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E56</f>
        <v>0</v>
      </c>
      <c r="U55" s="184" t="s">
        <v>66</v>
      </c>
      <c r="V55" s="185"/>
      <c r="W55" s="186" t="s">
        <v>71</v>
      </c>
      <c r="X55" s="919">
        <f>I56</f>
        <v>221179.83999999997</v>
      </c>
      <c r="Y55" s="919"/>
    </row>
    <row r="56" spans="1:25" ht="16.5" customHeight="1" x14ac:dyDescent="0.25">
      <c r="A56" s="899" t="s">
        <v>70</v>
      </c>
      <c r="B56" s="899"/>
      <c r="C56" s="237"/>
      <c r="D56" s="237"/>
      <c r="E56" s="48">
        <f>G33</f>
        <v>0</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0</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0</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0</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0</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0</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0</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0</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0</v>
      </c>
      <c r="J68" s="138">
        <f>ROUND(G68*I68,2)</f>
        <v>0</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0</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0</v>
      </c>
      <c r="J71" s="138">
        <f>ROUND(G71*I71,2)</f>
        <v>0</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0</v>
      </c>
      <c r="J72" s="138">
        <f>ROUND(G72*I72,2)</f>
        <v>0</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0</v>
      </c>
      <c r="J85" s="138">
        <f>ROUND(G85*I85,2)</f>
        <v>0</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0</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0</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141">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0</v>
      </c>
      <c r="C91" s="245"/>
      <c r="D91" s="869">
        <f>I6</f>
        <v>1.0355000000000001</v>
      </c>
      <c r="E91" s="869"/>
      <c r="F91" s="869"/>
      <c r="G91" s="122">
        <f>'[1]Detail 2025-26 FEFP Second'!AC3</f>
        <v>915.09</v>
      </c>
      <c r="H91" s="47" t="s">
        <v>68</v>
      </c>
      <c r="I91" s="140">
        <f>ROUND(B91*D91*G91,2)</f>
        <v>0</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0</v>
      </c>
      <c r="C93" s="109"/>
      <c r="D93" s="109"/>
      <c r="E93" s="939" t="s">
        <v>112</v>
      </c>
      <c r="F93" s="939"/>
      <c r="G93" s="939"/>
      <c r="H93" s="939"/>
      <c r="I93" s="939"/>
      <c r="J93" s="127">
        <f>IF(A1=75,0,I92+I91+I90)</f>
        <v>0</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0</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0</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Payments'!R88</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AC9E-96AC-474C-9DCC-C563D3696D69}">
  <dimension ref="A1:Z207"/>
  <sheetViews>
    <sheetView topLeftCell="A100" workbookViewId="0">
      <selection activeCell="A56" sqref="A56:B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446</v>
      </c>
      <c r="B2" s="102"/>
      <c r="C2" s="102"/>
      <c r="D2" s="102"/>
      <c r="E2" s="100"/>
      <c r="F2" s="100"/>
      <c r="G2" s="100"/>
      <c r="H2" s="100"/>
      <c r="I2" s="100"/>
      <c r="J2" s="100"/>
      <c r="K2" s="6"/>
      <c r="L2" s="6"/>
      <c r="M2" s="6"/>
      <c r="N2" s="6"/>
      <c r="O2" s="6"/>
      <c r="P2" s="6"/>
      <c r="Q2" s="6"/>
      <c r="R2" s="875" t="str">
        <f>Revenue_Estimate_Worksheet_for___________Charter_School</f>
        <v>Revenue Estimate Worksheet: Montessori Academy of Early Enrichment - 3394</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Second'!$C$1:$C$65536,MATCH('3394'!$A$1,'[1]Detail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Second'!$D$1:$D$65536,MATCH('3394'!$A$1,'[1]Detail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39.619999999999997</v>
      </c>
      <c r="D12" s="411">
        <v>0</v>
      </c>
      <c r="E12" s="980">
        <f t="shared" ref="E12:E27" si="0">IF($D$28=0,C12*2,C12+D12)</f>
        <v>79.239999999999995</v>
      </c>
      <c r="F12" s="980"/>
      <c r="G12" s="981">
        <v>1.1080000000000001</v>
      </c>
      <c r="H12" s="981"/>
      <c r="I12" s="578">
        <f>ROUND(E12*G12,4)</f>
        <v>87.797899999999998</v>
      </c>
      <c r="J12" s="579">
        <f t="shared" ref="J12:J27" si="1">ROUND(ROUND(ROUND(I12*$E$6,4)*($I$6),2)*(MAX($I$7,1)),2)</f>
        <v>488448.45</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4</v>
      </c>
      <c r="D13" s="415">
        <v>0</v>
      </c>
      <c r="E13" s="967">
        <f t="shared" si="0"/>
        <v>8</v>
      </c>
      <c r="F13" s="967"/>
      <c r="G13" s="968">
        <v>1.1080000000000001</v>
      </c>
      <c r="H13" s="968"/>
      <c r="I13" s="578">
        <f t="shared" ref="I13:I27" si="2">ROUND(E13*G13,4)</f>
        <v>8.8640000000000008</v>
      </c>
      <c r="J13" s="579">
        <f t="shared" si="1"/>
        <v>49313.33</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14.78</v>
      </c>
      <c r="D14" s="415">
        <v>0</v>
      </c>
      <c r="E14" s="967">
        <f t="shared" si="0"/>
        <v>29.56</v>
      </c>
      <c r="F14" s="967"/>
      <c r="G14" s="968">
        <v>1</v>
      </c>
      <c r="H14" s="968"/>
      <c r="I14" s="578">
        <f t="shared" si="2"/>
        <v>29.56</v>
      </c>
      <c r="J14" s="579">
        <f>ROUND(ROUND(ROUND(I14*$E$6,4)*($I$6),2)*(MAX($I$7,1)),2)</f>
        <v>164451.95000000001</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4</v>
      </c>
      <c r="D15" s="415">
        <v>0</v>
      </c>
      <c r="E15" s="967">
        <f t="shared" si="0"/>
        <v>8</v>
      </c>
      <c r="F15" s="967"/>
      <c r="G15" s="968">
        <v>1</v>
      </c>
      <c r="H15" s="968"/>
      <c r="I15" s="578">
        <f t="shared" si="2"/>
        <v>8</v>
      </c>
      <c r="J15" s="579">
        <f t="shared" si="1"/>
        <v>44506.62</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26.38</v>
      </c>
      <c r="D24" s="415">
        <v>0</v>
      </c>
      <c r="E24" s="967">
        <f t="shared" si="0"/>
        <v>52.76</v>
      </c>
      <c r="F24" s="967"/>
      <c r="G24" s="968">
        <v>1.165</v>
      </c>
      <c r="H24" s="968"/>
      <c r="I24" s="578">
        <f t="shared" si="2"/>
        <v>61.465400000000002</v>
      </c>
      <c r="J24" s="579">
        <f t="shared" si="1"/>
        <v>341952.14</v>
      </c>
      <c r="M24" s="2"/>
      <c r="R24" s="860" t="s">
        <v>32</v>
      </c>
      <c r="S24" s="860"/>
      <c r="T24" s="891">
        <f t="shared" si="3"/>
        <v>0</v>
      </c>
      <c r="U24" s="891"/>
      <c r="V24" s="896">
        <v>1</v>
      </c>
      <c r="W24" s="896"/>
      <c r="X24" s="156">
        <f t="shared" si="4"/>
        <v>0</v>
      </c>
      <c r="Y24" s="266">
        <f t="shared" si="6"/>
        <v>0</v>
      </c>
    </row>
    <row r="25" spans="1:25" x14ac:dyDescent="0.25">
      <c r="A25" s="861" t="s">
        <v>33</v>
      </c>
      <c r="B25" s="861"/>
      <c r="C25" s="415">
        <v>7.72</v>
      </c>
      <c r="D25" s="415">
        <v>0</v>
      </c>
      <c r="E25" s="967">
        <f t="shared" si="0"/>
        <v>15.44</v>
      </c>
      <c r="F25" s="967"/>
      <c r="G25" s="968">
        <v>1.165</v>
      </c>
      <c r="H25" s="968"/>
      <c r="I25" s="578">
        <f t="shared" si="2"/>
        <v>17.9876</v>
      </c>
      <c r="J25" s="579">
        <f t="shared" si="1"/>
        <v>100070.91</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26">
        <f>SUM(C12:C27)</f>
        <v>96.5</v>
      </c>
      <c r="D28" s="126">
        <f>SUM(D12:D27)</f>
        <v>0</v>
      </c>
      <c r="E28" s="966">
        <f>SUM(E12:E27)</f>
        <v>193</v>
      </c>
      <c r="F28" s="966"/>
      <c r="G28" s="961"/>
      <c r="H28" s="961"/>
      <c r="I28" s="23">
        <f>SUM(I12:I27)</f>
        <v>213.67489999999998</v>
      </c>
      <c r="J28" s="127">
        <f>SUM(J12:J27)</f>
        <v>1188743.3999999999</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213.67489999999998</v>
      </c>
      <c r="H33" s="961" t="s">
        <v>45</v>
      </c>
      <c r="I33" s="961"/>
      <c r="J33" s="32">
        <f>SUM(J32,J28)</f>
        <v>1188743.3999999999</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1179988.9600000002</v>
      </c>
      <c r="H36" s="223" t="s">
        <v>49</v>
      </c>
      <c r="I36" s="38">
        <v>6.6699999999999995E-2</v>
      </c>
      <c r="J36" s="131">
        <f>ROUND(G36*I36,2)</f>
        <v>78705.259999999995</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1179988.9600000002</v>
      </c>
      <c r="H37" s="223" t="s">
        <v>49</v>
      </c>
      <c r="I37" s="38">
        <v>5.4000000000000003E-3</v>
      </c>
      <c r="J37" s="131">
        <f>ROUND(G37*I37,2)</f>
        <v>6371.94</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85077.2</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4</v>
      </c>
      <c r="D41" s="415">
        <v>0</v>
      </c>
      <c r="E41" s="954">
        <f t="shared" ref="E41:E49" si="7">IF($D$50=0,C41*2,C41+D41)</f>
        <v>8</v>
      </c>
      <c r="F41" s="954"/>
      <c r="G41" s="223" t="s">
        <v>59</v>
      </c>
      <c r="H41" s="223">
        <v>251</v>
      </c>
      <c r="I41" s="136">
        <f>INDEX('[1]111-112-113 ADDITIONAL FUND'!D$1:D$65536,MATCH($A$1,'[1]111-112-113 ADDITIONAL FUND'!A$1:A$65536))</f>
        <v>1047</v>
      </c>
      <c r="J41" s="727">
        <f t="shared" ref="J41:J49" si="8">ROUND(E41*I41,2)</f>
        <v>8376</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727">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2.5</v>
      </c>
      <c r="D44" s="415">
        <v>0</v>
      </c>
      <c r="E44" s="954">
        <f t="shared" si="7"/>
        <v>5</v>
      </c>
      <c r="F44" s="954"/>
      <c r="G44" s="47" t="s">
        <v>60</v>
      </c>
      <c r="H44" s="223">
        <v>251</v>
      </c>
      <c r="I44" s="136">
        <f>INDEX('[1]111-112-113 ADDITIONAL FUND'!G$1:G$65536,MATCH($A$1,'[1]111-112-113 ADDITIONAL FUND'!A$1:A$65536))</f>
        <v>1173</v>
      </c>
      <c r="J44" s="727">
        <f t="shared" si="8"/>
        <v>5865</v>
      </c>
      <c r="L44" s="3"/>
      <c r="M44" s="2"/>
      <c r="Q44" s="4"/>
      <c r="R44" s="903"/>
      <c r="S44" s="903"/>
      <c r="T44" s="905"/>
      <c r="U44" s="905"/>
      <c r="V44" s="182" t="s">
        <v>60</v>
      </c>
      <c r="W44" s="239">
        <v>251</v>
      </c>
      <c r="X44" s="134">
        <f t="shared" si="9"/>
        <v>1173</v>
      </c>
      <c r="Y44" s="269">
        <f t="shared" si="10"/>
        <v>0</v>
      </c>
    </row>
    <row r="45" spans="1:25" x14ac:dyDescent="0.25">
      <c r="A45" s="960"/>
      <c r="B45" s="960"/>
      <c r="C45" s="415">
        <v>1.5</v>
      </c>
      <c r="D45" s="415">
        <v>0</v>
      </c>
      <c r="E45" s="954">
        <f t="shared" si="7"/>
        <v>3</v>
      </c>
      <c r="F45" s="954"/>
      <c r="G45" s="47" t="s">
        <v>60</v>
      </c>
      <c r="H45" s="223">
        <v>252</v>
      </c>
      <c r="I45" s="136">
        <f>INDEX('[1]111-112-113 ADDITIONAL FUND'!H$1:H$65536,MATCH($A$1,'[1]111-112-113 ADDITIONAL FUND'!A$1:A$65536))</f>
        <v>3506</v>
      </c>
      <c r="J45" s="727">
        <f t="shared" si="8"/>
        <v>10518</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8</v>
      </c>
      <c r="D50" s="585">
        <f>SUM(D41:D49)</f>
        <v>0</v>
      </c>
      <c r="E50" s="956">
        <f>SUM(E41:E49)</f>
        <v>16</v>
      </c>
      <c r="F50" s="956"/>
      <c r="G50" s="912" t="s">
        <v>63</v>
      </c>
      <c r="H50" s="912"/>
      <c r="I50" s="912"/>
      <c r="J50" s="276">
        <f>SUM(J41:J49)</f>
        <v>24759</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193</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9.2900000000000003E-4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213.67489999999998</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9.6599999999999995E-4</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193</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1.0790000000000001E-3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193</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9.3000000000000005E-4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193</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1.0809999999999999E-3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9.3000000000000005E-4</v>
      </c>
      <c r="J68" s="138">
        <f>ROUND(G68*I68,2)</f>
        <v>42435.519999999997</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9.2900000000000003E-4</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1.0809999999999999E-3</v>
      </c>
      <c r="J71" s="138">
        <f>ROUND(G71*I71,2)</f>
        <v>20467.72</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1.0790000000000001E-3</v>
      </c>
      <c r="J72" s="138">
        <f>ROUND(G72*I72,2)</f>
        <v>12192.71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9.6599999999999995E-4</v>
      </c>
      <c r="J85" s="138">
        <f>ROUND(G85*I85,2)</f>
        <v>259676.52</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9.6599999999999995E-4</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9.2900000000000003E-4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158.12729999999999</v>
      </c>
      <c r="C90" s="245"/>
      <c r="D90" s="869">
        <f>I6</f>
        <v>1.0355000000000001</v>
      </c>
      <c r="E90" s="869"/>
      <c r="F90" s="869"/>
      <c r="G90" s="122">
        <f>'[1]Detail 2025-26 FEFP Second'!AB3</f>
        <v>958.42</v>
      </c>
      <c r="H90" s="47" t="s">
        <v>68</v>
      </c>
      <c r="I90" s="727">
        <f>ROUND(B90*D90*G90,2)</f>
        <v>156932.48000000001</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55.547600000000003</v>
      </c>
      <c r="C91" s="245"/>
      <c r="D91" s="869">
        <f>I6</f>
        <v>1.0355000000000001</v>
      </c>
      <c r="E91" s="869"/>
      <c r="F91" s="869"/>
      <c r="G91" s="122">
        <f>'[1]Detail 2025-26 FEFP Second'!AC3</f>
        <v>915.09</v>
      </c>
      <c r="H91" s="47" t="s">
        <v>68</v>
      </c>
      <c r="I91" s="727">
        <f>ROUND(B91*D91*G91,2)</f>
        <v>52635.56</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727">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213.67489999999998</v>
      </c>
      <c r="C93" s="109"/>
      <c r="D93" s="109"/>
      <c r="E93" s="939" t="s">
        <v>112</v>
      </c>
      <c r="F93" s="939"/>
      <c r="G93" s="939"/>
      <c r="H93" s="939"/>
      <c r="I93" s="939"/>
      <c r="J93" s="127">
        <f>IF(A1=75,0,I92+I91+I90)</f>
        <v>209568.04</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8</v>
      </c>
      <c r="D97" s="279">
        <v>0</v>
      </c>
      <c r="E97" s="988">
        <f>(C97+D97)</f>
        <v>8</v>
      </c>
      <c r="F97" s="942"/>
      <c r="G97" s="942"/>
      <c r="H97" s="224" t="s">
        <v>117</v>
      </c>
      <c r="I97" s="130">
        <f>'0040'!I97</f>
        <v>586</v>
      </c>
      <c r="J97" s="138">
        <f>ROUND(I97*E97,2)</f>
        <v>4688</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1762530.91</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1677453.71</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1677453.71</v>
      </c>
      <c r="J114" s="296">
        <f>ROUND(IF(E28=0,0,IF(E28&gt;250,-(((250/E28)*I114)*IF(H114="H",0.02,0.05)),IF(H114="H",-0.02*I114,-0.05*I114))),2)</f>
        <v>-83872.69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1678658.22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Payments'!R89</f>
        <v>-958796.77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719861.45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143972.29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45D7-63B0-406D-95BB-AFD47F5F9045}">
  <dimension ref="A1:Z207"/>
  <sheetViews>
    <sheetView topLeftCell="A100"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447</v>
      </c>
      <c r="B2" s="102"/>
      <c r="C2" s="102"/>
      <c r="D2" s="102"/>
      <c r="E2" s="100"/>
      <c r="F2" s="100"/>
      <c r="G2" s="100"/>
      <c r="H2" s="100"/>
      <c r="I2" s="100"/>
      <c r="J2" s="100"/>
      <c r="K2" s="6"/>
      <c r="L2" s="6"/>
      <c r="M2" s="6"/>
      <c r="N2" s="6"/>
      <c r="O2" s="6"/>
      <c r="P2" s="6"/>
      <c r="Q2" s="6"/>
      <c r="R2" s="875" t="str">
        <f>Revenue_Estimate_Worksheet_for___________Charter_School</f>
        <v>Revenue Estimate Worksheet: Somerset Academy JFK Charter School - 3395</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Second'!$C$1:$C$65536,MATCH('3395'!$A$1,'[1]Detail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Second'!$D$1:$D$65536,MATCH('3395'!$A$1,'[1]Detail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63.97</v>
      </c>
      <c r="D12" s="411">
        <v>0</v>
      </c>
      <c r="E12" s="980">
        <f t="shared" ref="E12:E27" si="0">IF($D$28=0,C12*2,C12+D12)</f>
        <v>127.94</v>
      </c>
      <c r="F12" s="980"/>
      <c r="G12" s="981">
        <v>1.1080000000000001</v>
      </c>
      <c r="H12" s="981"/>
      <c r="I12" s="578">
        <f>ROUND(E12*G12,4)</f>
        <v>141.75749999999999</v>
      </c>
      <c r="J12" s="579">
        <f t="shared" ref="J12:J27" si="1">ROUND(ROUND(ROUND(I12*$E$6,4)*($I$6),2)*(MAX($I$7,1)),2)</f>
        <v>788643.37</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10.5</v>
      </c>
      <c r="D13" s="415">
        <v>0</v>
      </c>
      <c r="E13" s="967">
        <f t="shared" si="0"/>
        <v>21</v>
      </c>
      <c r="F13" s="967"/>
      <c r="G13" s="968">
        <v>1.1080000000000001</v>
      </c>
      <c r="H13" s="968"/>
      <c r="I13" s="578">
        <f t="shared" ref="I13:I27" si="2">ROUND(E13*G13,4)</f>
        <v>23.268000000000001</v>
      </c>
      <c r="J13" s="579">
        <f t="shared" si="1"/>
        <v>129447.5</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114.82</v>
      </c>
      <c r="D14" s="415">
        <v>0</v>
      </c>
      <c r="E14" s="967">
        <f t="shared" si="0"/>
        <v>229.64</v>
      </c>
      <c r="F14" s="967"/>
      <c r="G14" s="968">
        <v>1</v>
      </c>
      <c r="H14" s="968"/>
      <c r="I14" s="578">
        <f t="shared" si="2"/>
        <v>229.64</v>
      </c>
      <c r="J14" s="579">
        <f>ROUND(ROUND(ROUND(I14*$E$6,4)*($I$6),2)*(MAX($I$7,1)),2)</f>
        <v>1277562.48</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17.5</v>
      </c>
      <c r="D15" s="415">
        <v>0</v>
      </c>
      <c r="E15" s="967">
        <f t="shared" si="0"/>
        <v>35</v>
      </c>
      <c r="F15" s="967"/>
      <c r="G15" s="968">
        <v>1</v>
      </c>
      <c r="H15" s="968"/>
      <c r="I15" s="578">
        <f t="shared" si="2"/>
        <v>35</v>
      </c>
      <c r="J15" s="579">
        <f t="shared" si="1"/>
        <v>194716.46</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52.53</v>
      </c>
      <c r="D24" s="415">
        <v>0</v>
      </c>
      <c r="E24" s="967">
        <f t="shared" si="0"/>
        <v>105.06</v>
      </c>
      <c r="F24" s="967"/>
      <c r="G24" s="968">
        <v>1.165</v>
      </c>
      <c r="H24" s="968"/>
      <c r="I24" s="578">
        <f t="shared" si="2"/>
        <v>122.39490000000001</v>
      </c>
      <c r="J24" s="579">
        <f t="shared" si="1"/>
        <v>680922.89</v>
      </c>
      <c r="M24" s="2"/>
      <c r="R24" s="860" t="s">
        <v>32</v>
      </c>
      <c r="S24" s="860"/>
      <c r="T24" s="891">
        <f t="shared" si="3"/>
        <v>0</v>
      </c>
      <c r="U24" s="891"/>
      <c r="V24" s="896">
        <v>1</v>
      </c>
      <c r="W24" s="896"/>
      <c r="X24" s="156">
        <f t="shared" si="4"/>
        <v>0</v>
      </c>
      <c r="Y24" s="266">
        <f t="shared" si="6"/>
        <v>0</v>
      </c>
    </row>
    <row r="25" spans="1:25" x14ac:dyDescent="0.25">
      <c r="A25" s="861" t="s">
        <v>33</v>
      </c>
      <c r="B25" s="861"/>
      <c r="C25" s="415">
        <v>11.18</v>
      </c>
      <c r="D25" s="415">
        <v>0</v>
      </c>
      <c r="E25" s="967">
        <f t="shared" si="0"/>
        <v>22.36</v>
      </c>
      <c r="F25" s="967"/>
      <c r="G25" s="968">
        <v>1.165</v>
      </c>
      <c r="H25" s="968"/>
      <c r="I25" s="578">
        <f t="shared" si="2"/>
        <v>26.049399999999999</v>
      </c>
      <c r="J25" s="579">
        <f t="shared" si="1"/>
        <v>144921.34</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270.5</v>
      </c>
      <c r="D28" s="126">
        <f>SUM(D12:D27)</f>
        <v>0</v>
      </c>
      <c r="E28" s="966">
        <f>SUM(E12:E27)</f>
        <v>541</v>
      </c>
      <c r="F28" s="966"/>
      <c r="G28" s="961"/>
      <c r="H28" s="961"/>
      <c r="I28" s="23">
        <f>SUM(I12:I27)</f>
        <v>578.10979999999995</v>
      </c>
      <c r="J28" s="127">
        <f>SUM(J12:J27)</f>
        <v>3216214.04</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578.10979999999995</v>
      </c>
      <c r="H33" s="961" t="s">
        <v>45</v>
      </c>
      <c r="I33" s="961"/>
      <c r="J33" s="32">
        <f>SUM(J32,J28)</f>
        <v>3216214.04</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3066507.69</v>
      </c>
      <c r="H36" s="223" t="s">
        <v>49</v>
      </c>
      <c r="I36" s="38">
        <v>6.6699999999999995E-2</v>
      </c>
      <c r="J36" s="131">
        <f>ROUND(G36*I36,2)</f>
        <v>204536.06</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3066507.69</v>
      </c>
      <c r="H37" s="223" t="s">
        <v>49</v>
      </c>
      <c r="I37" s="38">
        <v>5.4000000000000003E-3</v>
      </c>
      <c r="J37" s="131">
        <f>ROUND(G37*I37,2)</f>
        <v>16559.14</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221095.2</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9.5</v>
      </c>
      <c r="D41" s="415">
        <v>0</v>
      </c>
      <c r="E41" s="954">
        <f t="shared" ref="E41:E49" si="7">IF($D$50=0,C41*2,C41+D41)</f>
        <v>19</v>
      </c>
      <c r="F41" s="954"/>
      <c r="G41" s="223" t="s">
        <v>59</v>
      </c>
      <c r="H41" s="223">
        <v>251</v>
      </c>
      <c r="I41" s="136">
        <f>INDEX('[1]111-112-113 ADDITIONAL FUND'!D$1:D$65536,MATCH($A$1,'[1]111-112-113 ADDITIONAL FUND'!A$1:A$65536))</f>
        <v>1047</v>
      </c>
      <c r="J41" s="727">
        <f t="shared" ref="J41:J49" si="8">ROUND(E41*I41,2)</f>
        <v>19893</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1</v>
      </c>
      <c r="D42" s="415">
        <v>0</v>
      </c>
      <c r="E42" s="954">
        <f t="shared" si="7"/>
        <v>2</v>
      </c>
      <c r="F42" s="954"/>
      <c r="G42" s="223" t="s">
        <v>59</v>
      </c>
      <c r="H42" s="223">
        <v>252</v>
      </c>
      <c r="I42" s="136">
        <f>INDEX('[1]111-112-113 ADDITIONAL FUND'!E$1:E$65536,MATCH($A$1,'[1]111-112-113 ADDITIONAL FUND'!A$1:A$65536))</f>
        <v>3380</v>
      </c>
      <c r="J42" s="727">
        <f t="shared" si="8"/>
        <v>6760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17</v>
      </c>
      <c r="D44" s="415">
        <v>0</v>
      </c>
      <c r="E44" s="954">
        <f t="shared" si="7"/>
        <v>34</v>
      </c>
      <c r="F44" s="954"/>
      <c r="G44" s="47" t="s">
        <v>60</v>
      </c>
      <c r="H44" s="223">
        <v>251</v>
      </c>
      <c r="I44" s="136">
        <f>INDEX('[1]111-112-113 ADDITIONAL FUND'!G$1:G$65536,MATCH($A$1,'[1]111-112-113 ADDITIONAL FUND'!A$1:A$65536))</f>
        <v>1173</v>
      </c>
      <c r="J44" s="727">
        <f t="shared" si="8"/>
        <v>39882</v>
      </c>
      <c r="L44" s="3"/>
      <c r="M44" s="2"/>
      <c r="Q44" s="4"/>
      <c r="R44" s="903"/>
      <c r="S44" s="903"/>
      <c r="T44" s="905"/>
      <c r="U44" s="905"/>
      <c r="V44" s="182" t="s">
        <v>60</v>
      </c>
      <c r="W44" s="239">
        <v>251</v>
      </c>
      <c r="X44" s="134">
        <f t="shared" si="9"/>
        <v>1173</v>
      </c>
      <c r="Y44" s="269">
        <f t="shared" si="10"/>
        <v>0</v>
      </c>
    </row>
    <row r="45" spans="1:25" x14ac:dyDescent="0.25">
      <c r="A45" s="960"/>
      <c r="B45" s="960"/>
      <c r="C45" s="415">
        <v>0.5</v>
      </c>
      <c r="D45" s="415">
        <v>0</v>
      </c>
      <c r="E45" s="954">
        <f t="shared" si="7"/>
        <v>1</v>
      </c>
      <c r="F45" s="954"/>
      <c r="G45" s="47" t="s">
        <v>60</v>
      </c>
      <c r="H45" s="223">
        <v>252</v>
      </c>
      <c r="I45" s="136">
        <f>INDEX('[1]111-112-113 ADDITIONAL FUND'!H$1:H$65536,MATCH($A$1,'[1]111-112-113 ADDITIONAL FUND'!A$1:A$65536))</f>
        <v>3506</v>
      </c>
      <c r="J45" s="727">
        <f t="shared" si="8"/>
        <v>3506</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28</v>
      </c>
      <c r="D50" s="585">
        <f>SUM(D41:D49)</f>
        <v>0</v>
      </c>
      <c r="E50" s="956">
        <f>SUM(E41:E49)</f>
        <v>56</v>
      </c>
      <c r="F50" s="956"/>
      <c r="G50" s="912" t="s">
        <v>63</v>
      </c>
      <c r="H50" s="912"/>
      <c r="I50" s="912"/>
      <c r="J50" s="276">
        <f>SUM(J41:J49)</f>
        <v>70041</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541</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2.604E-3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578.10979999999995</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2.614E-3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541</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3.0230000000000001E-3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541</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2.6080000000000001E-3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541</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3.029E-3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2.6080000000000001E-3</v>
      </c>
      <c r="J68" s="138">
        <f>ROUND(G68*I68,2)</f>
        <v>119001.98</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2.604E-3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3.029E-3</v>
      </c>
      <c r="J71" s="138">
        <f>ROUND(G71*I71,2)</f>
        <v>57351.26</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3.0230000000000001E-3</v>
      </c>
      <c r="J72" s="138">
        <f>ROUND(G72*I72,2)</f>
        <v>34159.94</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2.614E-3</v>
      </c>
      <c r="J85" s="138">
        <f>ROUND(G85*I85,2)</f>
        <v>702685.75</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2.614E-3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2.604E-3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287.42039999999997</v>
      </c>
      <c r="C90" s="245"/>
      <c r="D90" s="869">
        <f>I6</f>
        <v>1.0355000000000001</v>
      </c>
      <c r="E90" s="869"/>
      <c r="F90" s="869"/>
      <c r="G90" s="122">
        <f>'[1]Detail 2025-26 FEFP Second'!AB3</f>
        <v>958.42</v>
      </c>
      <c r="H90" s="47" t="s">
        <v>68</v>
      </c>
      <c r="I90" s="727">
        <f>ROUND(B90*D90*G90,2)</f>
        <v>285248.63</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290.68939999999998</v>
      </c>
      <c r="C91" s="245"/>
      <c r="D91" s="869">
        <f>I6</f>
        <v>1.0355000000000001</v>
      </c>
      <c r="E91" s="869"/>
      <c r="F91" s="869"/>
      <c r="G91" s="122">
        <f>'[1]Detail 2025-26 FEFP Second'!AC3</f>
        <v>915.09</v>
      </c>
      <c r="H91" s="47" t="s">
        <v>68</v>
      </c>
      <c r="I91" s="727">
        <f>ROUND(B91*D91*G91,2)</f>
        <v>275450.21000000002</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727">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578.10979999999995</v>
      </c>
      <c r="C93" s="109"/>
      <c r="D93" s="109"/>
      <c r="E93" s="939" t="s">
        <v>112</v>
      </c>
      <c r="F93" s="939"/>
      <c r="G93" s="939"/>
      <c r="H93" s="939"/>
      <c r="I93" s="939"/>
      <c r="J93" s="127">
        <f>IF(A1=75,0,I92+I91+I90)</f>
        <v>560698.84000000008</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22</v>
      </c>
      <c r="D97" s="279">
        <v>0</v>
      </c>
      <c r="E97" s="988">
        <f>(C97+D97)</f>
        <v>22</v>
      </c>
      <c r="F97" s="942"/>
      <c r="G97" s="942"/>
      <c r="H97" s="224" t="s">
        <v>117</v>
      </c>
      <c r="I97" s="130">
        <f>'0040'!I97</f>
        <v>586</v>
      </c>
      <c r="J97" s="138">
        <f>ROUND(I97*E97,2)</f>
        <v>12892</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4773044.8100000005</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4551949.6100000003</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4551949.6100000003</v>
      </c>
      <c r="J114" s="296">
        <f>ROUND(IF(E28=0,0,IF(E28&gt;250,-(((250/E28)*I114)*IF(H113="H",0.02,0.05)),IF(H113="H",-0.02*I114,-0.05*I114))),2)</f>
        <v>-105174.44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4667870.37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Payments'!R90</f>
        <v>-2567854.58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2100015.79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420003.16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122423.03999999999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9E22-647E-4303-BB2B-0912D6B33EC4}">
  <dimension ref="A1:Z207"/>
  <sheetViews>
    <sheetView topLeftCell="A97"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448</v>
      </c>
      <c r="B2" s="102"/>
      <c r="C2" s="102"/>
      <c r="D2" s="102"/>
      <c r="E2" s="100"/>
      <c r="F2" s="100"/>
      <c r="G2" s="100"/>
      <c r="H2" s="100"/>
      <c r="I2" s="100"/>
      <c r="J2" s="100"/>
      <c r="K2" s="6"/>
      <c r="L2" s="6"/>
      <c r="M2" s="6"/>
      <c r="N2" s="6"/>
      <c r="O2" s="6"/>
      <c r="P2" s="6"/>
      <c r="Q2" s="6"/>
      <c r="R2" s="875" t="str">
        <f>Revenue_Estimate_Worksheet_for___________Charter_School</f>
        <v>Revenue Estimate Worksheet: G-Star School of the Arts for Motion Pictures &amp; Television - 3396</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Second'!$C$1:$C$65536,MATCH('3396'!$A$1,'[1]Detail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Second'!$D$1:$D$65536,MATCH('3396'!$A$1,'[1]Detail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105.64</v>
      </c>
      <c r="D14" s="415">
        <v>0</v>
      </c>
      <c r="E14" s="967">
        <f t="shared" si="0"/>
        <v>211.28</v>
      </c>
      <c r="F14" s="967"/>
      <c r="G14" s="968">
        <v>1</v>
      </c>
      <c r="H14" s="968"/>
      <c r="I14" s="578">
        <f t="shared" si="2"/>
        <v>211.28</v>
      </c>
      <c r="J14" s="579">
        <f>ROUND(ROUND(ROUND(I14*$E$6,4)*($I$6),2)*(MAX($I$7,1)),2)</f>
        <v>1175419.79</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11</v>
      </c>
      <c r="D15" s="415">
        <v>0</v>
      </c>
      <c r="E15" s="967">
        <f t="shared" si="0"/>
        <v>22</v>
      </c>
      <c r="F15" s="967"/>
      <c r="G15" s="968">
        <v>1</v>
      </c>
      <c r="H15" s="968"/>
      <c r="I15" s="578">
        <f t="shared" si="2"/>
        <v>22</v>
      </c>
      <c r="J15" s="579">
        <f t="shared" si="1"/>
        <v>122393.2</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169.48</v>
      </c>
      <c r="D16" s="415">
        <v>0</v>
      </c>
      <c r="E16" s="967">
        <f t="shared" si="0"/>
        <v>338.96</v>
      </c>
      <c r="F16" s="967"/>
      <c r="G16" s="968">
        <v>0.97199999999999998</v>
      </c>
      <c r="H16" s="968"/>
      <c r="I16" s="578">
        <f t="shared" si="2"/>
        <v>329.46910000000003</v>
      </c>
      <c r="J16" s="579">
        <f t="shared" si="1"/>
        <v>1832944.44</v>
      </c>
      <c r="M16" s="2"/>
      <c r="R16" s="860" t="s">
        <v>24</v>
      </c>
      <c r="S16" s="860"/>
      <c r="T16" s="891">
        <f t="shared" si="3"/>
        <v>0</v>
      </c>
      <c r="U16" s="891"/>
      <c r="V16" s="896">
        <v>1</v>
      </c>
      <c r="W16" s="896"/>
      <c r="X16" s="156">
        <f t="shared" si="4"/>
        <v>0</v>
      </c>
      <c r="Y16" s="266">
        <f t="shared" si="6"/>
        <v>0</v>
      </c>
    </row>
    <row r="17" spans="1:25" x14ac:dyDescent="0.25">
      <c r="A17" s="861" t="s">
        <v>25</v>
      </c>
      <c r="B17" s="861"/>
      <c r="C17" s="415">
        <v>35</v>
      </c>
      <c r="D17" s="415">
        <v>0</v>
      </c>
      <c r="E17" s="967">
        <f t="shared" si="0"/>
        <v>70</v>
      </c>
      <c r="F17" s="967"/>
      <c r="G17" s="968">
        <v>0.97199999999999998</v>
      </c>
      <c r="H17" s="968"/>
      <c r="I17" s="578">
        <f t="shared" si="2"/>
        <v>68.040000000000006</v>
      </c>
      <c r="J17" s="579">
        <f t="shared" si="1"/>
        <v>378528.79</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6.21</v>
      </c>
      <c r="D25" s="415">
        <v>0</v>
      </c>
      <c r="E25" s="967">
        <f t="shared" si="0"/>
        <v>12.42</v>
      </c>
      <c r="F25" s="967"/>
      <c r="G25" s="968">
        <v>1.165</v>
      </c>
      <c r="H25" s="968"/>
      <c r="I25" s="578">
        <f t="shared" si="2"/>
        <v>14.4693</v>
      </c>
      <c r="J25" s="579">
        <f t="shared" si="1"/>
        <v>80497.45</v>
      </c>
      <c r="M25" s="2"/>
      <c r="R25" s="860" t="s">
        <v>33</v>
      </c>
      <c r="S25" s="860"/>
      <c r="T25" s="891">
        <f t="shared" si="3"/>
        <v>0</v>
      </c>
      <c r="U25" s="891"/>
      <c r="V25" s="896">
        <v>1</v>
      </c>
      <c r="W25" s="896"/>
      <c r="X25" s="156">
        <f t="shared" si="4"/>
        <v>0</v>
      </c>
      <c r="Y25" s="266">
        <f t="shared" si="6"/>
        <v>0</v>
      </c>
    </row>
    <row r="26" spans="1:25" x14ac:dyDescent="0.25">
      <c r="A26" s="861" t="s">
        <v>34</v>
      </c>
      <c r="B26" s="861"/>
      <c r="C26" s="415">
        <v>9.5</v>
      </c>
      <c r="D26" s="415">
        <v>0</v>
      </c>
      <c r="E26" s="967">
        <f t="shared" si="0"/>
        <v>19</v>
      </c>
      <c r="F26" s="967"/>
      <c r="G26" s="968">
        <v>1.165</v>
      </c>
      <c r="H26" s="968"/>
      <c r="I26" s="578">
        <f t="shared" si="2"/>
        <v>22.135000000000002</v>
      </c>
      <c r="J26" s="579">
        <f t="shared" si="1"/>
        <v>123144.25</v>
      </c>
      <c r="M26" s="2"/>
      <c r="R26" s="860" t="s">
        <v>34</v>
      </c>
      <c r="S26" s="860"/>
      <c r="T26" s="891">
        <f t="shared" si="3"/>
        <v>0</v>
      </c>
      <c r="U26" s="891"/>
      <c r="V26" s="896">
        <v>1</v>
      </c>
      <c r="W26" s="896"/>
      <c r="X26" s="156">
        <f t="shared" si="4"/>
        <v>0</v>
      </c>
      <c r="Y26" s="266">
        <f t="shared" si="6"/>
        <v>0</v>
      </c>
    </row>
    <row r="27" spans="1:25" x14ac:dyDescent="0.25">
      <c r="A27" s="866" t="s">
        <v>35</v>
      </c>
      <c r="B27" s="866"/>
      <c r="C27" s="416">
        <v>21.86</v>
      </c>
      <c r="D27" s="416">
        <v>0</v>
      </c>
      <c r="E27" s="963">
        <f t="shared" si="0"/>
        <v>43.72</v>
      </c>
      <c r="F27" s="963"/>
      <c r="G27" s="964">
        <v>1.081</v>
      </c>
      <c r="H27" s="964"/>
      <c r="I27" s="22">
        <f t="shared" si="2"/>
        <v>47.261299999999999</v>
      </c>
      <c r="J27" s="127">
        <f t="shared" si="1"/>
        <v>262930.08</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358.69</v>
      </c>
      <c r="D28" s="126">
        <f>SUM(D12:D27)</f>
        <v>0</v>
      </c>
      <c r="E28" s="966">
        <f>SUM(E12:E27)</f>
        <v>717.38</v>
      </c>
      <c r="F28" s="966"/>
      <c r="G28" s="961"/>
      <c r="H28" s="961"/>
      <c r="I28" s="23">
        <f>SUM(I12:I27)</f>
        <v>714.65469999999993</v>
      </c>
      <c r="J28" s="127">
        <f>SUM(J12:J27)</f>
        <v>3975858</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714.65469999999993</v>
      </c>
      <c r="H33" s="961" t="s">
        <v>45</v>
      </c>
      <c r="I33" s="961"/>
      <c r="J33" s="32">
        <f>SUM(J32,J28)</f>
        <v>3975858</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3901661.02</v>
      </c>
      <c r="H36" s="223" t="s">
        <v>49</v>
      </c>
      <c r="I36" s="38">
        <v>6.6699999999999995E-2</v>
      </c>
      <c r="J36" s="131">
        <f>ROUND(G36*I36,2)</f>
        <v>260240.79</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3901661.02</v>
      </c>
      <c r="H37" s="223" t="s">
        <v>49</v>
      </c>
      <c r="I37" s="38">
        <v>5.4000000000000003E-3</v>
      </c>
      <c r="J37" s="131">
        <f>ROUND(G37*I37,2)</f>
        <v>21068.97</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281309.76</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727">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727">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9.5</v>
      </c>
      <c r="D44" s="415">
        <v>0</v>
      </c>
      <c r="E44" s="954">
        <f t="shared" si="7"/>
        <v>19</v>
      </c>
      <c r="F44" s="954"/>
      <c r="G44" s="47" t="s">
        <v>60</v>
      </c>
      <c r="H44" s="223">
        <v>251</v>
      </c>
      <c r="I44" s="136">
        <f>INDEX('[1]111-112-113 ADDITIONAL FUND'!G$1:G$65536,MATCH($A$1,'[1]111-112-113 ADDITIONAL FUND'!A$1:A$65536))</f>
        <v>1173</v>
      </c>
      <c r="J44" s="727">
        <f t="shared" si="8"/>
        <v>22287</v>
      </c>
      <c r="L44" s="3"/>
      <c r="M44" s="2"/>
      <c r="Q44" s="4"/>
      <c r="R44" s="903"/>
      <c r="S44" s="903"/>
      <c r="T44" s="905"/>
      <c r="U44" s="905"/>
      <c r="V44" s="182" t="s">
        <v>60</v>
      </c>
      <c r="W44" s="239">
        <v>251</v>
      </c>
      <c r="X44" s="134">
        <f t="shared" si="9"/>
        <v>1173</v>
      </c>
      <c r="Y44" s="269">
        <f t="shared" si="10"/>
        <v>0</v>
      </c>
    </row>
    <row r="45" spans="1:25" x14ac:dyDescent="0.25">
      <c r="A45" s="960"/>
      <c r="B45" s="960"/>
      <c r="C45" s="415">
        <v>1.5</v>
      </c>
      <c r="D45" s="415">
        <v>0</v>
      </c>
      <c r="E45" s="954">
        <f t="shared" si="7"/>
        <v>3</v>
      </c>
      <c r="F45" s="954"/>
      <c r="G45" s="47" t="s">
        <v>60</v>
      </c>
      <c r="H45" s="223">
        <v>252</v>
      </c>
      <c r="I45" s="136">
        <f>INDEX('[1]111-112-113 ADDITIONAL FUND'!H$1:H$65536,MATCH($A$1,'[1]111-112-113 ADDITIONAL FUND'!A$1:A$65536))</f>
        <v>3506</v>
      </c>
      <c r="J45" s="727">
        <f t="shared" si="8"/>
        <v>10518</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32.46</v>
      </c>
      <c r="D47" s="415">
        <v>0</v>
      </c>
      <c r="E47" s="954">
        <f t="shared" si="7"/>
        <v>64.92</v>
      </c>
      <c r="F47" s="954"/>
      <c r="G47" s="47" t="s">
        <v>61</v>
      </c>
      <c r="H47" s="223">
        <v>251</v>
      </c>
      <c r="I47" s="136">
        <f>INDEX('[1]111-112-113 ADDITIONAL FUND'!J$1:J$65536,MATCH($A$1,'[1]111-112-113 ADDITIONAL FUND'!A$1:A$65536))</f>
        <v>835</v>
      </c>
      <c r="J47" s="727">
        <f t="shared" si="8"/>
        <v>54208.2</v>
      </c>
      <c r="M47" s="2"/>
      <c r="R47" s="903"/>
      <c r="S47" s="903"/>
      <c r="T47" s="905"/>
      <c r="U47" s="905"/>
      <c r="V47" s="182" t="s">
        <v>61</v>
      </c>
      <c r="W47" s="239">
        <v>251</v>
      </c>
      <c r="X47" s="134">
        <f t="shared" si="9"/>
        <v>835</v>
      </c>
      <c r="Y47" s="269">
        <f t="shared" si="10"/>
        <v>0</v>
      </c>
    </row>
    <row r="48" spans="1:25" ht="15.75" customHeight="1" x14ac:dyDescent="0.25">
      <c r="A48" s="960"/>
      <c r="B48" s="960"/>
      <c r="C48" s="415">
        <v>2.54</v>
      </c>
      <c r="D48" s="415">
        <v>0</v>
      </c>
      <c r="E48" s="954">
        <f t="shared" si="7"/>
        <v>5.08</v>
      </c>
      <c r="F48" s="954"/>
      <c r="G48" s="47" t="s">
        <v>61</v>
      </c>
      <c r="H48" s="223">
        <v>252</v>
      </c>
      <c r="I48" s="136">
        <f>INDEX('[1]111-112-113 ADDITIONAL FUND'!K$1:K$65536,MATCH($A$1,'[1]111-112-113 ADDITIONAL FUND'!A$1:A$65536))</f>
        <v>3168</v>
      </c>
      <c r="J48" s="727">
        <f t="shared" si="8"/>
        <v>16093.44</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46</v>
      </c>
      <c r="D50" s="585">
        <f>SUM(D41:D49)</f>
        <v>0</v>
      </c>
      <c r="E50" s="956">
        <f>SUM(E41:E49)</f>
        <v>92</v>
      </c>
      <c r="F50" s="956"/>
      <c r="G50" s="912" t="s">
        <v>63</v>
      </c>
      <c r="H50" s="912"/>
      <c r="I50" s="912"/>
      <c r="J50" s="276">
        <f>SUM(J41:J49)</f>
        <v>103106.64</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717.38</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3.4529999999999999E-3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714.65469999999993</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3.2309999999999999E-3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717.38</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4.0090000000000004E-3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717.38</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3.4580000000000001E-3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717.38</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4.0159999999999996E-3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3.4580000000000001E-3</v>
      </c>
      <c r="J68" s="138">
        <f>ROUND(G68*I68,2)</f>
        <v>157787.13</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3.4529999999999999E-3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4.0159999999999996E-3</v>
      </c>
      <c r="J71" s="138">
        <f>ROUND(G71*I71,2)</f>
        <v>76039.179999999993</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4.0090000000000004E-3</v>
      </c>
      <c r="J72" s="138">
        <f>ROUND(G72*I72,2)</f>
        <v>45301.75</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v>24.88</v>
      </c>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v>36.020000000000003</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8.9</v>
      </c>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v>0.5</v>
      </c>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70.300000000000011</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8" t="s">
        <v>101</v>
      </c>
      <c r="B84" s="868"/>
      <c r="C84" s="868"/>
      <c r="D84" s="230"/>
      <c r="G84" s="277">
        <f>'0040'!G84</f>
        <v>58502790</v>
      </c>
      <c r="H84" s="223" t="s">
        <v>81</v>
      </c>
      <c r="I84" s="41">
        <f>IFERROR(ROUND(J81/J82,6),0)</f>
        <v>5.4479999999999997E-3</v>
      </c>
      <c r="J84" s="728">
        <f>ROUND(G84*I84,2)</f>
        <v>318723.20000000001</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3.2309999999999999E-3</v>
      </c>
      <c r="J85" s="138">
        <f>ROUND(G85*I85,2)</f>
        <v>868545.39</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3.2309999999999999E-3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3.4529999999999999E-3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727">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247.74930000000001</v>
      </c>
      <c r="C91" s="245"/>
      <c r="D91" s="869">
        <f>I6</f>
        <v>1.0355000000000001</v>
      </c>
      <c r="E91" s="869"/>
      <c r="F91" s="869"/>
      <c r="G91" s="122">
        <f>'[1]Detail 2025-26 FEFP Second'!AC3</f>
        <v>915.09</v>
      </c>
      <c r="H91" s="47" t="s">
        <v>68</v>
      </c>
      <c r="I91" s="727">
        <f>ROUND(B91*D91*G91,2)</f>
        <v>234761.22</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466.90540000000004</v>
      </c>
      <c r="C92" s="109"/>
      <c r="D92" s="869">
        <f>I6</f>
        <v>1.0355000000000001</v>
      </c>
      <c r="E92" s="869"/>
      <c r="F92" s="869"/>
      <c r="G92" s="122">
        <f>'[1]Detail 2025-26 FEFP Second'!AD3</f>
        <v>917.3</v>
      </c>
      <c r="H92" s="47" t="s">
        <v>68</v>
      </c>
      <c r="I92" s="727">
        <f>ROUND(B92*D92*G92,2)</f>
        <v>443496.7</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714.65470000000005</v>
      </c>
      <c r="C93" s="109"/>
      <c r="D93" s="109"/>
      <c r="E93" s="939" t="s">
        <v>112</v>
      </c>
      <c r="F93" s="939"/>
      <c r="G93" s="939"/>
      <c r="H93" s="939"/>
      <c r="I93" s="939"/>
      <c r="J93" s="127">
        <f>IF(A1=75,0,I92+I91+I90)</f>
        <v>678257.92</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273</v>
      </c>
      <c r="D97" s="279">
        <v>0</v>
      </c>
      <c r="E97" s="988">
        <f>(C97+D97)</f>
        <v>273</v>
      </c>
      <c r="F97" s="942"/>
      <c r="G97" s="942"/>
      <c r="H97" s="224" t="s">
        <v>117</v>
      </c>
      <c r="I97" s="130">
        <f>'0040'!I97</f>
        <v>586</v>
      </c>
      <c r="J97" s="138">
        <f>ROUND(I97*E97,2)</f>
        <v>159978</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6383597.21</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6102287.4500000002</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729" t="s">
        <v>181</v>
      </c>
      <c r="B114" s="712"/>
      <c r="C114" s="712"/>
      <c r="D114" s="712"/>
      <c r="E114" s="712"/>
      <c r="F114" s="712"/>
      <c r="G114" s="712"/>
      <c r="H114" s="709" t="s">
        <v>432</v>
      </c>
      <c r="I114" s="710">
        <f>IF(I111=1,J111,J109)</f>
        <v>6102287.4500000002</v>
      </c>
      <c r="J114" s="711">
        <f>ROUND(IF(E28=0,0,IF(E28&gt;250,-(((250/E28)*I114)*IF(H114="H",0.02,0.05)),IF(H114="H",-0.02*I114,-0.05*I114))),2)</f>
        <v>-42531.76</v>
      </c>
      <c r="M114" s="2"/>
      <c r="N114" s="3"/>
      <c r="R114" s="2"/>
      <c r="T114" s="4"/>
      <c r="W114" s="2"/>
      <c r="X114" s="5"/>
    </row>
    <row r="115" spans="1:26" s="285" customFormat="1" ht="16.5" customHeight="1" x14ac:dyDescent="0.25">
      <c r="A115" s="712"/>
      <c r="B115" s="712"/>
      <c r="C115" s="712"/>
      <c r="D115" s="712"/>
      <c r="E115" s="712"/>
      <c r="F115" s="712"/>
      <c r="G115" s="712"/>
      <c r="H115" s="712"/>
      <c r="I115" s="713"/>
      <c r="J115" s="714"/>
      <c r="K115" s="289"/>
      <c r="N115" s="290"/>
      <c r="S115" s="291"/>
      <c r="T115" s="291"/>
      <c r="U115" s="291"/>
      <c r="V115" s="291"/>
      <c r="W115" s="291"/>
      <c r="X115" s="291"/>
      <c r="Y115" s="291"/>
      <c r="Z115" s="291"/>
    </row>
    <row r="116" spans="1:26" s="285" customFormat="1" ht="16.5" customHeight="1" x14ac:dyDescent="0.25">
      <c r="A116" s="730" t="s">
        <v>182</v>
      </c>
      <c r="B116" s="715"/>
      <c r="C116" s="715"/>
      <c r="D116" s="715"/>
      <c r="E116" s="715"/>
      <c r="F116" s="715"/>
      <c r="G116" s="715"/>
      <c r="H116" s="715"/>
      <c r="I116" s="716"/>
      <c r="J116" s="717">
        <f>J107+J114</f>
        <v>6341065.4500000002</v>
      </c>
      <c r="K116" s="289"/>
      <c r="N116" s="290"/>
      <c r="S116" s="291"/>
      <c r="T116" s="291"/>
      <c r="U116" s="291"/>
      <c r="V116" s="291"/>
      <c r="W116" s="291"/>
      <c r="X116" s="291"/>
      <c r="Y116" s="291"/>
      <c r="Z116" s="291"/>
    </row>
    <row r="117" spans="1:26" s="285" customFormat="1" ht="16.5" customHeight="1" x14ac:dyDescent="0.25">
      <c r="A117" s="712"/>
      <c r="B117" s="712"/>
      <c r="C117" s="712"/>
      <c r="D117" s="712"/>
      <c r="E117" s="712"/>
      <c r="F117" s="712"/>
      <c r="G117" s="712"/>
      <c r="H117" s="712"/>
      <c r="I117" s="713"/>
      <c r="J117" s="714"/>
      <c r="K117" s="289"/>
      <c r="N117" s="290"/>
      <c r="S117" s="291"/>
      <c r="T117" s="291"/>
      <c r="U117" s="291"/>
      <c r="V117" s="291"/>
      <c r="W117" s="291"/>
      <c r="X117" s="291"/>
      <c r="Y117" s="291"/>
      <c r="Z117" s="291"/>
    </row>
    <row r="118" spans="1:26" s="285" customFormat="1" ht="16.5" customHeight="1" x14ac:dyDescent="0.25">
      <c r="A118" s="729" t="s">
        <v>183</v>
      </c>
      <c r="B118" s="712"/>
      <c r="C118" s="731"/>
      <c r="D118" s="712"/>
      <c r="E118" s="729"/>
      <c r="F118" s="729"/>
      <c r="G118" s="712"/>
      <c r="H118" s="712"/>
      <c r="I118" s="713"/>
      <c r="J118" s="718">
        <f>-'Cumulative Payments'!R91</f>
        <v>-3602765.63</v>
      </c>
      <c r="K118" s="289"/>
      <c r="N118" s="290"/>
      <c r="S118" s="291"/>
      <c r="T118" s="291"/>
      <c r="U118" s="291"/>
      <c r="V118" s="291"/>
      <c r="W118" s="291"/>
      <c r="X118" s="291"/>
      <c r="Y118" s="291"/>
      <c r="Z118" s="291"/>
    </row>
    <row r="119" spans="1:26" s="285" customFormat="1" ht="16.5" customHeight="1" x14ac:dyDescent="0.25">
      <c r="A119" s="712"/>
      <c r="B119" s="712"/>
      <c r="C119" s="712"/>
      <c r="D119" s="712"/>
      <c r="E119" s="712"/>
      <c r="F119" s="712"/>
      <c r="G119" s="712"/>
      <c r="H119" s="712"/>
      <c r="I119" s="713"/>
      <c r="J119" s="714"/>
      <c r="K119" s="289"/>
      <c r="N119" s="290"/>
      <c r="S119" s="291"/>
      <c r="T119" s="291"/>
      <c r="U119" s="291"/>
      <c r="V119" s="291"/>
      <c r="W119" s="291"/>
      <c r="X119" s="291"/>
      <c r="Y119" s="291"/>
      <c r="Z119" s="291"/>
    </row>
    <row r="120" spans="1:26" s="285" customFormat="1" ht="16.5" customHeight="1" x14ac:dyDescent="0.25">
      <c r="A120" s="729" t="s">
        <v>184</v>
      </c>
      <c r="B120" s="712"/>
      <c r="C120" s="712"/>
      <c r="D120" s="712"/>
      <c r="E120" s="712"/>
      <c r="F120" s="712"/>
      <c r="G120" s="712"/>
      <c r="H120" s="712"/>
      <c r="I120" s="713"/>
      <c r="J120" s="714">
        <f>J116+J118</f>
        <v>2738299.8200000003</v>
      </c>
      <c r="K120" s="289"/>
      <c r="N120" s="290"/>
      <c r="S120" s="291"/>
      <c r="T120" s="291"/>
      <c r="U120" s="291"/>
      <c r="V120" s="291"/>
      <c r="W120" s="291"/>
      <c r="X120" s="291"/>
      <c r="Y120" s="291"/>
      <c r="Z120" s="291"/>
    </row>
    <row r="121" spans="1:26" s="285" customFormat="1" ht="16.5" customHeight="1" x14ac:dyDescent="0.25">
      <c r="A121" s="729"/>
      <c r="B121" s="712"/>
      <c r="C121" s="712"/>
      <c r="D121" s="712"/>
      <c r="E121" s="712"/>
      <c r="F121" s="712"/>
      <c r="G121" s="712"/>
      <c r="H121" s="712"/>
      <c r="I121" s="713"/>
      <c r="J121" s="714"/>
      <c r="K121" s="289"/>
      <c r="N121" s="290"/>
      <c r="S121" s="291"/>
      <c r="T121" s="291"/>
      <c r="U121" s="291"/>
      <c r="V121" s="291"/>
      <c r="W121" s="291"/>
      <c r="X121" s="291"/>
      <c r="Y121" s="291"/>
      <c r="Z121" s="291"/>
    </row>
    <row r="122" spans="1:26" s="285" customFormat="1" ht="16.5" customHeight="1" x14ac:dyDescent="0.25">
      <c r="A122" s="729" t="s">
        <v>185</v>
      </c>
      <c r="B122" s="712"/>
      <c r="C122" s="712"/>
      <c r="D122" s="712"/>
      <c r="E122" s="712"/>
      <c r="F122" s="712"/>
      <c r="G122" s="712"/>
      <c r="H122" s="712"/>
      <c r="I122" s="713"/>
      <c r="J122" s="719">
        <f>'0040'!J122</f>
        <v>5</v>
      </c>
      <c r="K122" s="289"/>
      <c r="N122" s="290"/>
      <c r="S122" s="291"/>
      <c r="T122" s="291"/>
      <c r="U122" s="291"/>
      <c r="V122" s="291"/>
      <c r="W122" s="291"/>
      <c r="X122" s="291"/>
      <c r="Y122" s="291"/>
      <c r="Z122" s="291"/>
    </row>
    <row r="123" spans="1:26" s="285" customFormat="1" ht="16.5" customHeight="1" x14ac:dyDescent="0.25">
      <c r="A123" s="712"/>
      <c r="B123" s="712"/>
      <c r="C123" s="712"/>
      <c r="D123" s="712"/>
      <c r="E123" s="712"/>
      <c r="F123" s="712"/>
      <c r="G123" s="712"/>
      <c r="H123" s="712"/>
      <c r="I123" s="713"/>
      <c r="J123" s="714"/>
      <c r="K123" s="289"/>
      <c r="N123" s="290"/>
      <c r="S123" s="291"/>
      <c r="T123" s="291"/>
      <c r="U123" s="291"/>
      <c r="V123" s="291"/>
      <c r="W123" s="291"/>
      <c r="X123" s="291"/>
      <c r="Y123" s="291"/>
      <c r="Z123" s="291"/>
    </row>
    <row r="124" spans="1:26" s="285" customFormat="1" ht="16.5" customHeight="1" thickBot="1" x14ac:dyDescent="0.3">
      <c r="A124" s="729" t="s">
        <v>186</v>
      </c>
      <c r="B124" s="712"/>
      <c r="C124" s="712"/>
      <c r="D124" s="712"/>
      <c r="E124" s="712"/>
      <c r="F124" s="712"/>
      <c r="G124" s="712"/>
      <c r="H124" s="712"/>
      <c r="I124" s="713"/>
      <c r="J124" s="720">
        <f>ROUND(J120/J122,2)</f>
        <v>547659.96</v>
      </c>
      <c r="K124" s="289"/>
      <c r="N124" s="290"/>
      <c r="S124" s="291"/>
      <c r="T124" s="291"/>
      <c r="U124" s="291"/>
      <c r="V124" s="291"/>
      <c r="W124" s="291"/>
      <c r="X124" s="291"/>
      <c r="Y124" s="291"/>
      <c r="Z124" s="291"/>
    </row>
    <row r="125" spans="1:26" s="285" customFormat="1" ht="16.5" customHeight="1" thickTop="1" x14ac:dyDescent="0.25">
      <c r="A125" s="712"/>
      <c r="B125" s="712"/>
      <c r="C125" s="712"/>
      <c r="D125" s="712"/>
      <c r="E125" s="712"/>
      <c r="F125" s="712"/>
      <c r="G125" s="712"/>
      <c r="H125" s="712"/>
      <c r="I125" s="713"/>
      <c r="J125" s="714"/>
      <c r="K125" s="289"/>
      <c r="N125" s="290"/>
      <c r="S125" s="291"/>
      <c r="T125" s="291"/>
      <c r="U125" s="291"/>
      <c r="V125" s="291"/>
      <c r="W125" s="291"/>
      <c r="X125" s="291"/>
      <c r="Y125" s="291"/>
      <c r="Z125" s="291"/>
    </row>
    <row r="126" spans="1:26" s="285" customFormat="1" ht="16.5" customHeight="1" thickBot="1" x14ac:dyDescent="0.3">
      <c r="A126" s="729" t="s">
        <v>187</v>
      </c>
      <c r="B126" s="712"/>
      <c r="C126" s="712"/>
      <c r="D126" s="712"/>
      <c r="E126" s="712"/>
      <c r="F126" s="712"/>
      <c r="G126" s="712"/>
      <c r="H126" s="712"/>
      <c r="I126" s="713"/>
      <c r="J126" s="721">
        <f>ROUND(IF(H114="H",(I114*0.02)+J114,(I114*0.05)+J114),2)</f>
        <v>79513.990000000005</v>
      </c>
      <c r="K126" s="289"/>
      <c r="N126" s="290"/>
      <c r="S126" s="291"/>
      <c r="T126" s="291"/>
      <c r="U126" s="291"/>
      <c r="V126" s="291"/>
      <c r="W126" s="291"/>
      <c r="X126" s="291"/>
      <c r="Y126" s="291"/>
      <c r="Z126" s="291"/>
    </row>
    <row r="127" spans="1:26" s="285" customFormat="1" ht="15.75" customHeight="1" thickTop="1" x14ac:dyDescent="0.25">
      <c r="A127" s="712"/>
      <c r="B127" s="712"/>
      <c r="C127" s="712"/>
      <c r="D127" s="712"/>
      <c r="E127" s="712"/>
      <c r="F127" s="712"/>
      <c r="G127" s="712"/>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9480-D1A2-43E0-A4B6-7F1373A18D9B}">
  <dimension ref="A1:Z207"/>
  <sheetViews>
    <sheetView topLeftCell="A105"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449</v>
      </c>
      <c r="B2" s="102"/>
      <c r="C2" s="102"/>
      <c r="D2" s="102"/>
      <c r="E2" s="100"/>
      <c r="F2" s="100"/>
      <c r="G2" s="100"/>
      <c r="H2" s="100"/>
      <c r="I2" s="100"/>
      <c r="J2" s="100"/>
      <c r="K2" s="6"/>
      <c r="L2" s="6"/>
      <c r="M2" s="6"/>
      <c r="N2" s="6"/>
      <c r="O2" s="6"/>
      <c r="P2" s="6"/>
      <c r="Q2" s="6"/>
      <c r="R2" s="875" t="str">
        <f>Revenue_Estimate_Worksheet_for___________Charter_School</f>
        <v>Revenue Estimate Worksheet: Everglades Preparatory Academy - 3398</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Second'!$C$1:$C$65536,MATCH('3398'!$A$1,'[1]Detail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Second'!$D$1:$D$65536,MATCH('3398'!$A$1,'[1]Detail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3</v>
      </c>
      <c r="D14" s="415">
        <v>0</v>
      </c>
      <c r="E14" s="967">
        <f t="shared" si="0"/>
        <v>6</v>
      </c>
      <c r="F14" s="967"/>
      <c r="G14" s="968">
        <v>1</v>
      </c>
      <c r="H14" s="968"/>
      <c r="I14" s="578">
        <f t="shared" si="2"/>
        <v>6</v>
      </c>
      <c r="J14" s="579">
        <f>ROUND(ROUND(ROUND(I14*$E$6,4)*($I$6),2)*(MAX($I$7,1)),2)</f>
        <v>33379.96</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3</v>
      </c>
      <c r="D15" s="415">
        <v>0</v>
      </c>
      <c r="E15" s="967">
        <f t="shared" si="0"/>
        <v>6</v>
      </c>
      <c r="F15" s="967"/>
      <c r="G15" s="968">
        <v>1</v>
      </c>
      <c r="H15" s="968"/>
      <c r="I15" s="578">
        <f t="shared" si="2"/>
        <v>6</v>
      </c>
      <c r="J15" s="579">
        <f t="shared" si="1"/>
        <v>33379.96</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32.299999999999997</v>
      </c>
      <c r="D16" s="415">
        <v>0</v>
      </c>
      <c r="E16" s="967">
        <f t="shared" si="0"/>
        <v>64.599999999999994</v>
      </c>
      <c r="F16" s="967"/>
      <c r="G16" s="968">
        <v>0.97199999999999998</v>
      </c>
      <c r="H16" s="968"/>
      <c r="I16" s="578">
        <f t="shared" si="2"/>
        <v>62.791200000000003</v>
      </c>
      <c r="J16" s="579">
        <f t="shared" si="1"/>
        <v>349328</v>
      </c>
      <c r="M16" s="2"/>
      <c r="R16" s="860" t="s">
        <v>24</v>
      </c>
      <c r="S16" s="860"/>
      <c r="T16" s="891">
        <f t="shared" si="3"/>
        <v>0</v>
      </c>
      <c r="U16" s="891"/>
      <c r="V16" s="896">
        <v>1</v>
      </c>
      <c r="W16" s="896"/>
      <c r="X16" s="156">
        <f t="shared" si="4"/>
        <v>0</v>
      </c>
      <c r="Y16" s="266">
        <f t="shared" si="6"/>
        <v>0</v>
      </c>
    </row>
    <row r="17" spans="1:25" x14ac:dyDescent="0.25">
      <c r="A17" s="861" t="s">
        <v>25</v>
      </c>
      <c r="B17" s="861"/>
      <c r="C17" s="415">
        <v>9.5</v>
      </c>
      <c r="D17" s="415">
        <v>0</v>
      </c>
      <c r="E17" s="967">
        <f t="shared" si="0"/>
        <v>19</v>
      </c>
      <c r="F17" s="967"/>
      <c r="G17" s="968">
        <v>0.97199999999999998</v>
      </c>
      <c r="H17" s="968"/>
      <c r="I17" s="578">
        <f t="shared" si="2"/>
        <v>18.468</v>
      </c>
      <c r="J17" s="579">
        <f t="shared" si="1"/>
        <v>102743.53</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0.4</v>
      </c>
      <c r="D26" s="415">
        <v>0</v>
      </c>
      <c r="E26" s="967">
        <f t="shared" si="0"/>
        <v>0.8</v>
      </c>
      <c r="F26" s="967"/>
      <c r="G26" s="968">
        <v>1.165</v>
      </c>
      <c r="H26" s="968"/>
      <c r="I26" s="578">
        <f t="shared" si="2"/>
        <v>0.93200000000000005</v>
      </c>
      <c r="J26" s="579">
        <f t="shared" si="1"/>
        <v>5185.0200000000004</v>
      </c>
      <c r="M26" s="2"/>
      <c r="R26" s="860" t="s">
        <v>34</v>
      </c>
      <c r="S26" s="860"/>
      <c r="T26" s="891">
        <f t="shared" si="3"/>
        <v>0</v>
      </c>
      <c r="U26" s="891"/>
      <c r="V26" s="896">
        <v>1</v>
      </c>
      <c r="W26" s="896"/>
      <c r="X26" s="156">
        <f t="shared" si="4"/>
        <v>0</v>
      </c>
      <c r="Y26" s="266">
        <f t="shared" si="6"/>
        <v>0</v>
      </c>
    </row>
    <row r="27" spans="1:25" x14ac:dyDescent="0.25">
      <c r="A27" s="866" t="s">
        <v>35</v>
      </c>
      <c r="B27" s="866"/>
      <c r="C27" s="416">
        <v>1.6900000000000002</v>
      </c>
      <c r="D27" s="416">
        <v>0</v>
      </c>
      <c r="E27" s="963">
        <f t="shared" si="0"/>
        <v>3.3800000000000003</v>
      </c>
      <c r="F27" s="963"/>
      <c r="G27" s="964">
        <v>1.081</v>
      </c>
      <c r="H27" s="964"/>
      <c r="I27" s="22">
        <f t="shared" si="2"/>
        <v>3.6537999999999999</v>
      </c>
      <c r="J27" s="127">
        <f t="shared" si="1"/>
        <v>20327.29</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49.889999999999993</v>
      </c>
      <c r="D28" s="126">
        <f>SUM(D12:D27)</f>
        <v>0</v>
      </c>
      <c r="E28" s="966">
        <f>SUM(E12:E27)</f>
        <v>99.779999999999987</v>
      </c>
      <c r="F28" s="966"/>
      <c r="G28" s="961"/>
      <c r="H28" s="961"/>
      <c r="I28" s="23">
        <f>SUM(I12:I27)</f>
        <v>97.845000000000013</v>
      </c>
      <c r="J28" s="127">
        <f>SUM(J12:J27)</f>
        <v>544343.76</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97.845000000000013</v>
      </c>
      <c r="H33" s="961" t="s">
        <v>45</v>
      </c>
      <c r="I33" s="961"/>
      <c r="J33" s="32">
        <f>SUM(J32,J28)</f>
        <v>544343.76</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617789.14</v>
      </c>
      <c r="H36" s="223" t="s">
        <v>49</v>
      </c>
      <c r="I36" s="38">
        <v>6.6699999999999995E-2</v>
      </c>
      <c r="J36" s="131">
        <f>ROUND(G36*I36,2)</f>
        <v>41206.54</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617789.14</v>
      </c>
      <c r="H37" s="223" t="s">
        <v>49</v>
      </c>
      <c r="I37" s="38">
        <v>5.4000000000000003E-3</v>
      </c>
      <c r="J37" s="131">
        <f>ROUND(G37*I37,2)</f>
        <v>3336.06</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44542.6</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727">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727">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3</v>
      </c>
      <c r="D44" s="415">
        <v>0</v>
      </c>
      <c r="E44" s="954">
        <f t="shared" si="7"/>
        <v>6</v>
      </c>
      <c r="F44" s="954"/>
      <c r="G44" s="47" t="s">
        <v>60</v>
      </c>
      <c r="H44" s="223">
        <v>251</v>
      </c>
      <c r="I44" s="136">
        <f>INDEX('[1]111-112-113 ADDITIONAL FUND'!G$1:G$65536,MATCH($A$1,'[1]111-112-113 ADDITIONAL FUND'!A$1:A$65536))</f>
        <v>1173</v>
      </c>
      <c r="J44" s="727">
        <f t="shared" si="8"/>
        <v>7038</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727">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9</v>
      </c>
      <c r="D47" s="415">
        <v>0</v>
      </c>
      <c r="E47" s="954">
        <f t="shared" si="7"/>
        <v>18</v>
      </c>
      <c r="F47" s="954"/>
      <c r="G47" s="47" t="s">
        <v>61</v>
      </c>
      <c r="H47" s="223">
        <v>251</v>
      </c>
      <c r="I47" s="136">
        <f>INDEX('[1]111-112-113 ADDITIONAL FUND'!J$1:J$65536,MATCH($A$1,'[1]111-112-113 ADDITIONAL FUND'!A$1:A$65536))</f>
        <v>835</v>
      </c>
      <c r="J47" s="727">
        <f t="shared" si="8"/>
        <v>15030</v>
      </c>
      <c r="M47" s="2"/>
      <c r="R47" s="903"/>
      <c r="S47" s="903"/>
      <c r="T47" s="905"/>
      <c r="U47" s="905"/>
      <c r="V47" s="182" t="s">
        <v>61</v>
      </c>
      <c r="W47" s="239">
        <v>251</v>
      </c>
      <c r="X47" s="134">
        <f t="shared" si="9"/>
        <v>835</v>
      </c>
      <c r="Y47" s="269">
        <f t="shared" si="10"/>
        <v>0</v>
      </c>
    </row>
    <row r="48" spans="1:25" ht="15.75" customHeight="1" x14ac:dyDescent="0.25">
      <c r="A48" s="960"/>
      <c r="B48" s="960"/>
      <c r="C48" s="415">
        <v>0.5</v>
      </c>
      <c r="D48" s="415">
        <v>0</v>
      </c>
      <c r="E48" s="954">
        <f t="shared" si="7"/>
        <v>1</v>
      </c>
      <c r="F48" s="954"/>
      <c r="G48" s="47" t="s">
        <v>61</v>
      </c>
      <c r="H48" s="223">
        <v>252</v>
      </c>
      <c r="I48" s="136">
        <f>INDEX('[1]111-112-113 ADDITIONAL FUND'!K$1:K$65536,MATCH($A$1,'[1]111-112-113 ADDITIONAL FUND'!A$1:A$65536))</f>
        <v>3168</v>
      </c>
      <c r="J48" s="727">
        <f t="shared" si="8"/>
        <v>3168</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12.5</v>
      </c>
      <c r="D50" s="585">
        <f>SUM(D41:D49)</f>
        <v>0</v>
      </c>
      <c r="E50" s="956">
        <f>SUM(E41:E49)</f>
        <v>25</v>
      </c>
      <c r="F50" s="956"/>
      <c r="G50" s="912" t="s">
        <v>63</v>
      </c>
      <c r="H50" s="912"/>
      <c r="I50" s="912"/>
      <c r="J50" s="276">
        <f>SUM(J41:J49)</f>
        <v>25236</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99.779999999999987</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4.8000000000000001E-4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97.845000000000013</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4.4200000000000001E-4</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99.779999999999987</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5.5800000000000001E-4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99.779999999999987</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4.8099999999999998E-4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99.779999999999987</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5.5900000000000004E-4</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4.8099999999999998E-4</v>
      </c>
      <c r="J68" s="138">
        <f>ROUND(G68*I68,2)</f>
        <v>21947.83</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4.8000000000000001E-4</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5.5900000000000004E-4</v>
      </c>
      <c r="J71" s="138">
        <f>ROUND(G71*I71,2)</f>
        <v>10584.14</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5.5800000000000001E-4</v>
      </c>
      <c r="J72" s="138">
        <f>ROUND(G72*I72,2)</f>
        <v>6305.41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v>6.25</v>
      </c>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6.25</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4.84E-4</v>
      </c>
      <c r="J84" s="62">
        <f>ROUND(G84*I84,2)</f>
        <v>28315.35</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4.4200000000000001E-4</v>
      </c>
      <c r="J85" s="138">
        <f>ROUND(G85*I85,2)</f>
        <v>118816.79</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4.4200000000000001E-4</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4.8000000000000001E-4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727">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12</v>
      </c>
      <c r="C91" s="245"/>
      <c r="D91" s="869">
        <f>I6</f>
        <v>1.0355000000000001</v>
      </c>
      <c r="E91" s="869"/>
      <c r="F91" s="869"/>
      <c r="G91" s="122">
        <f>'[1]Detail 2025-26 FEFP Second'!AC3</f>
        <v>915.09</v>
      </c>
      <c r="H91" s="47" t="s">
        <v>68</v>
      </c>
      <c r="I91" s="727">
        <f>ROUND(B91*D91*G91,2)</f>
        <v>11370.91</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85.845000000000013</v>
      </c>
      <c r="C92" s="109"/>
      <c r="D92" s="869">
        <f>I6</f>
        <v>1.0355000000000001</v>
      </c>
      <c r="E92" s="869"/>
      <c r="F92" s="869"/>
      <c r="G92" s="122">
        <f>'[1]Detail 2025-26 FEFP Second'!AD3</f>
        <v>917.3</v>
      </c>
      <c r="H92" s="47" t="s">
        <v>68</v>
      </c>
      <c r="I92" s="727">
        <f>ROUND(B92*D92*G92,2)</f>
        <v>81541.09</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97.845000000000013</v>
      </c>
      <c r="C93" s="109"/>
      <c r="D93" s="109"/>
      <c r="E93" s="939" t="s">
        <v>112</v>
      </c>
      <c r="F93" s="939"/>
      <c r="G93" s="939"/>
      <c r="H93" s="939"/>
      <c r="I93" s="939"/>
      <c r="J93" s="127">
        <f>IF(A1=75,0,I92+I91+I90)</f>
        <v>92912</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73</v>
      </c>
      <c r="D97" s="279">
        <v>0</v>
      </c>
      <c r="E97" s="988">
        <f>(C97+D97)</f>
        <v>73</v>
      </c>
      <c r="F97" s="942"/>
      <c r="G97" s="942"/>
      <c r="H97" s="224" t="s">
        <v>117</v>
      </c>
      <c r="I97" s="130">
        <f>'0040'!I97</f>
        <v>586</v>
      </c>
      <c r="J97" s="138">
        <f>ROUND(I97*E97,2)</f>
        <v>42778</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891239.28</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846696.68</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09"/>
      <c r="I114" s="710">
        <f>IF(I111=1,J111,J109)</f>
        <v>846696.68</v>
      </c>
      <c r="J114" s="711">
        <f>ROUND(IF(E28=0,0,IF(E28&gt;250,-(((250/E28)*I114)*IF(H114="H",0.02,0.05)),IF(H114="H",-0.02*I114,-0.05*I114))),2)</f>
        <v>-42334.83</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848904.45000000007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Payments'!R92</f>
        <v>-541593.35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307311.10000000009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61462.22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6969-2ACC-4EE7-BBC9-F5BA0A5BF404}">
  <dimension ref="A1:Z207"/>
  <sheetViews>
    <sheetView topLeftCell="A104"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450</v>
      </c>
      <c r="B2" s="102"/>
      <c r="C2" s="102"/>
      <c r="D2" s="102"/>
      <c r="E2" s="100"/>
      <c r="F2" s="100"/>
      <c r="G2" s="100"/>
      <c r="H2" s="100"/>
      <c r="I2" s="100"/>
      <c r="J2" s="100"/>
      <c r="K2" s="6"/>
      <c r="L2" s="6"/>
      <c r="M2" s="6"/>
      <c r="N2" s="6"/>
      <c r="O2" s="6"/>
      <c r="P2" s="6"/>
      <c r="Q2" s="6"/>
      <c r="R2" s="875" t="str">
        <f>Revenue_Estimate_Worksheet_for___________Charter_School</f>
        <v>Revenue Estimate Worksheet: Believers Academy - 3400</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Second'!$C$1:$C$65536,MATCH('3400'!$A$1,'[1]Detail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Second'!$D$1:$D$65536,MATCH('3400'!$A$1,'[1]Detail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1.5</v>
      </c>
      <c r="D15" s="415">
        <v>0</v>
      </c>
      <c r="E15" s="967">
        <f t="shared" si="0"/>
        <v>3</v>
      </c>
      <c r="F15" s="967"/>
      <c r="G15" s="968">
        <v>1</v>
      </c>
      <c r="H15" s="968"/>
      <c r="I15" s="578">
        <f t="shared" si="2"/>
        <v>3</v>
      </c>
      <c r="J15" s="579">
        <f t="shared" si="1"/>
        <v>16689.98</v>
      </c>
      <c r="M15" s="2"/>
      <c r="R15" s="860" t="s">
        <v>23</v>
      </c>
      <c r="S15" s="860"/>
      <c r="T15" s="891">
        <f t="shared" si="3"/>
        <v>3</v>
      </c>
      <c r="U15" s="891"/>
      <c r="V15" s="896">
        <v>1</v>
      </c>
      <c r="W15" s="896"/>
      <c r="X15" s="156">
        <f t="shared" si="4"/>
        <v>3</v>
      </c>
      <c r="Y15" s="266">
        <f t="shared" ref="Y15:Y27" si="6">ROUND(ROUND(ROUND(X15*$E$6,4)*($I$6),2)*(MAX($I$7,1)),2)</f>
        <v>16689.98</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44.44</v>
      </c>
      <c r="D17" s="415">
        <v>0</v>
      </c>
      <c r="E17" s="967">
        <f t="shared" si="0"/>
        <v>88.88</v>
      </c>
      <c r="F17" s="967"/>
      <c r="G17" s="968">
        <v>0.97199999999999998</v>
      </c>
      <c r="H17" s="968"/>
      <c r="I17" s="578">
        <f t="shared" si="2"/>
        <v>86.391400000000004</v>
      </c>
      <c r="J17" s="579">
        <f t="shared" si="1"/>
        <v>480623.63</v>
      </c>
      <c r="M17" s="2"/>
      <c r="R17" s="860" t="s">
        <v>25</v>
      </c>
      <c r="S17" s="860"/>
      <c r="T17" s="891">
        <f t="shared" si="3"/>
        <v>88.88</v>
      </c>
      <c r="U17" s="891"/>
      <c r="V17" s="896">
        <v>1</v>
      </c>
      <c r="W17" s="896"/>
      <c r="X17" s="156">
        <f t="shared" si="4"/>
        <v>88.88</v>
      </c>
      <c r="Y17" s="266">
        <f t="shared" si="6"/>
        <v>494468.53</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45.94</v>
      </c>
      <c r="D28" s="126">
        <f>SUM(D12:D27)</f>
        <v>0</v>
      </c>
      <c r="E28" s="966">
        <f>SUM(E12:E27)</f>
        <v>91.88</v>
      </c>
      <c r="F28" s="966"/>
      <c r="G28" s="961"/>
      <c r="H28" s="961"/>
      <c r="I28" s="23">
        <f>SUM(I12:I27)</f>
        <v>89.391400000000004</v>
      </c>
      <c r="J28" s="127">
        <f>SUM(J12:J27)</f>
        <v>497313.61</v>
      </c>
      <c r="M28" s="2"/>
      <c r="R28" s="907" t="s">
        <v>36</v>
      </c>
      <c r="S28" s="907"/>
      <c r="T28" s="908">
        <f>SUM(T12:T27)</f>
        <v>91.88</v>
      </c>
      <c r="U28" s="908"/>
      <c r="V28" s="909"/>
      <c r="W28" s="909"/>
      <c r="X28" s="158">
        <f>SUM(X12:X27)</f>
        <v>91.88</v>
      </c>
      <c r="Y28" s="266">
        <f>SUM(Y12:Y27)</f>
        <v>511158.51</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89.391400000000004</v>
      </c>
      <c r="H33" s="961" t="s">
        <v>45</v>
      </c>
      <c r="I33" s="961"/>
      <c r="J33" s="32">
        <f>SUM(J32,J28)</f>
        <v>497313.61</v>
      </c>
      <c r="M33" s="2"/>
      <c r="R33" s="911" t="s">
        <v>44</v>
      </c>
      <c r="S33" s="911"/>
      <c r="T33" s="911"/>
      <c r="U33" s="911"/>
      <c r="V33" s="164" t="e">
        <f>V32+X28</f>
        <v>#REF!</v>
      </c>
      <c r="W33" s="909" t="s">
        <v>45</v>
      </c>
      <c r="X33" s="909"/>
      <c r="Y33" s="165">
        <f>SUM(Y32,Y28)</f>
        <v>511158.51</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519146.9</v>
      </c>
      <c r="H36" s="223" t="s">
        <v>49</v>
      </c>
      <c r="I36" s="38">
        <v>6.6699999999999995E-2</v>
      </c>
      <c r="J36" s="131">
        <f>ROUND(G36*I36,2)</f>
        <v>34627.1</v>
      </c>
      <c r="K36" s="39"/>
      <c r="L36" s="233"/>
      <c r="M36" s="233"/>
      <c r="N36" s="233"/>
      <c r="O36" s="31"/>
      <c r="P36" s="232"/>
      <c r="Q36" s="232"/>
      <c r="R36" s="860" t="s">
        <v>47</v>
      </c>
      <c r="S36" s="860"/>
      <c r="T36" s="860"/>
      <c r="U36" s="253"/>
      <c r="V36" s="172">
        <v>533300.56000000006</v>
      </c>
      <c r="W36" s="239" t="s">
        <v>49</v>
      </c>
      <c r="X36" s="174">
        <v>6.6699999999999995E-2</v>
      </c>
      <c r="Y36" s="266">
        <f>J36</f>
        <v>34627.1</v>
      </c>
    </row>
    <row r="37" spans="1:25" ht="20.25" customHeight="1" x14ac:dyDescent="0.25">
      <c r="A37" s="861" t="s">
        <v>50</v>
      </c>
      <c r="B37" s="861"/>
      <c r="C37" s="861"/>
      <c r="D37" s="861"/>
      <c r="E37" s="861"/>
      <c r="F37" s="248" t="s">
        <v>48</v>
      </c>
      <c r="G37" s="132">
        <v>519146.9</v>
      </c>
      <c r="H37" s="223" t="s">
        <v>49</v>
      </c>
      <c r="I37" s="38">
        <v>5.4000000000000003E-3</v>
      </c>
      <c r="J37" s="131">
        <f>ROUND(G37*I37,2)</f>
        <v>2803.39</v>
      </c>
      <c r="K37" s="39"/>
      <c r="L37" s="233"/>
      <c r="M37" s="233"/>
      <c r="N37" s="233"/>
      <c r="O37" s="31"/>
      <c r="P37" s="232"/>
      <c r="Q37" s="232"/>
      <c r="R37" s="860" t="s">
        <v>50</v>
      </c>
      <c r="S37" s="860"/>
      <c r="T37" s="860"/>
      <c r="U37" s="253"/>
      <c r="V37" s="172">
        <v>533300.56000000006</v>
      </c>
      <c r="W37" s="239" t="s">
        <v>49</v>
      </c>
      <c r="X37" s="174">
        <v>5.4000000000000003E-3</v>
      </c>
      <c r="Y37" s="266">
        <f>J37</f>
        <v>2803.39</v>
      </c>
    </row>
    <row r="38" spans="1:25" ht="20.25" customHeight="1" x14ac:dyDescent="0.25">
      <c r="A38" s="898" t="s">
        <v>51</v>
      </c>
      <c r="B38" s="898"/>
      <c r="C38" s="898"/>
      <c r="D38" s="898"/>
      <c r="E38" s="898"/>
      <c r="F38" s="248" t="s">
        <v>52</v>
      </c>
      <c r="G38" s="40"/>
      <c r="H38" s="223"/>
      <c r="I38" s="41"/>
      <c r="J38" s="131">
        <f>SUM(J36:J37)</f>
        <v>37430.49</v>
      </c>
      <c r="K38" s="39"/>
      <c r="L38" s="233"/>
      <c r="M38" s="233"/>
      <c r="N38" s="233"/>
      <c r="O38" s="31"/>
      <c r="P38" s="232"/>
      <c r="Q38" s="232"/>
      <c r="R38" s="862" t="s">
        <v>51</v>
      </c>
      <c r="S38" s="862"/>
      <c r="T38" s="862"/>
      <c r="U38" s="253" t="s">
        <v>52</v>
      </c>
      <c r="V38" s="175"/>
      <c r="W38" s="239"/>
      <c r="X38" s="176"/>
      <c r="Y38" s="195">
        <f>Y36+Y37</f>
        <v>37430.49</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727">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727">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0</v>
      </c>
      <c r="D44" s="415">
        <v>0</v>
      </c>
      <c r="E44" s="954">
        <f t="shared" si="7"/>
        <v>0</v>
      </c>
      <c r="F44" s="954"/>
      <c r="G44" s="47" t="s">
        <v>60</v>
      </c>
      <c r="H44" s="223">
        <v>251</v>
      </c>
      <c r="I44" s="136">
        <f>INDEX('[1]111-112-113 ADDITIONAL FUND'!G$1:G$65536,MATCH($A$1,'[1]111-112-113 ADDITIONAL FUND'!A$1:A$65536))</f>
        <v>1173</v>
      </c>
      <c r="J44" s="72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1</v>
      </c>
      <c r="D45" s="415">
        <v>0</v>
      </c>
      <c r="E45" s="954">
        <f t="shared" si="7"/>
        <v>2</v>
      </c>
      <c r="F45" s="954"/>
      <c r="G45" s="47" t="s">
        <v>60</v>
      </c>
      <c r="H45" s="223">
        <v>252</v>
      </c>
      <c r="I45" s="136">
        <f>INDEX('[1]111-112-113 ADDITIONAL FUND'!H$1:H$65536,MATCH($A$1,'[1]111-112-113 ADDITIONAL FUND'!A$1:A$65536))</f>
        <v>3506</v>
      </c>
      <c r="J45" s="727">
        <f t="shared" si="8"/>
        <v>7012</v>
      </c>
      <c r="M45" s="2"/>
      <c r="R45" s="903"/>
      <c r="S45" s="903"/>
      <c r="T45" s="905"/>
      <c r="U45" s="905"/>
      <c r="V45" s="182" t="s">
        <v>60</v>
      </c>
      <c r="W45" s="239">
        <v>252</v>
      </c>
      <c r="X45" s="134">
        <f t="shared" si="9"/>
        <v>3506</v>
      </c>
      <c r="Y45" s="269">
        <f t="shared" si="10"/>
        <v>0</v>
      </c>
    </row>
    <row r="46" spans="1:25" x14ac:dyDescent="0.25">
      <c r="A46" s="960"/>
      <c r="B46" s="960"/>
      <c r="C46" s="415">
        <v>0.5</v>
      </c>
      <c r="D46" s="415">
        <v>0</v>
      </c>
      <c r="E46" s="954">
        <f t="shared" si="7"/>
        <v>1</v>
      </c>
      <c r="F46" s="954"/>
      <c r="G46" s="47" t="s">
        <v>60</v>
      </c>
      <c r="H46" s="223">
        <v>253</v>
      </c>
      <c r="I46" s="136">
        <f>INDEX('[1]111-112-113 ADDITIONAL FUND'!I$1:I$65536,MATCH($A$1,'[1]111-112-113 ADDITIONAL FUND'!A$1:A$65536))</f>
        <v>7023</v>
      </c>
      <c r="J46" s="727">
        <f t="shared" si="8"/>
        <v>7023</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27.93</v>
      </c>
      <c r="D48" s="415">
        <v>0</v>
      </c>
      <c r="E48" s="954">
        <f t="shared" si="7"/>
        <v>55.86</v>
      </c>
      <c r="F48" s="954"/>
      <c r="G48" s="47" t="s">
        <v>61</v>
      </c>
      <c r="H48" s="223">
        <v>252</v>
      </c>
      <c r="I48" s="136">
        <f>INDEX('[1]111-112-113 ADDITIONAL FUND'!K$1:K$65536,MATCH($A$1,'[1]111-112-113 ADDITIONAL FUND'!A$1:A$65536))</f>
        <v>3168</v>
      </c>
      <c r="J48" s="727">
        <f t="shared" si="8"/>
        <v>176964.48000000001</v>
      </c>
      <c r="M48" s="2"/>
      <c r="R48" s="903"/>
      <c r="S48" s="903"/>
      <c r="T48" s="905"/>
      <c r="U48" s="905"/>
      <c r="V48" s="182" t="s">
        <v>61</v>
      </c>
      <c r="W48" s="239">
        <v>252</v>
      </c>
      <c r="X48" s="134">
        <f t="shared" si="9"/>
        <v>3168</v>
      </c>
      <c r="Y48" s="269">
        <f t="shared" si="10"/>
        <v>0</v>
      </c>
    </row>
    <row r="49" spans="1:25" ht="15.75" customHeight="1" thickBot="1" x14ac:dyDescent="0.3">
      <c r="A49" s="960"/>
      <c r="B49" s="960"/>
      <c r="C49" s="415">
        <v>16.510000000000002</v>
      </c>
      <c r="D49" s="415">
        <v>0</v>
      </c>
      <c r="E49" s="955">
        <f t="shared" si="7"/>
        <v>33.020000000000003</v>
      </c>
      <c r="F49" s="955"/>
      <c r="G49" s="47" t="s">
        <v>61</v>
      </c>
      <c r="H49" s="223">
        <v>253</v>
      </c>
      <c r="I49" s="136">
        <f>INDEX('[1]111-112-113 ADDITIONAL FUND'!L$1:L$65536,MATCH($A$1,'[1]111-112-113 ADDITIONAL FUND'!A$1:A$65536))</f>
        <v>6685</v>
      </c>
      <c r="J49" s="727">
        <f t="shared" si="8"/>
        <v>220738.7</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45.94</v>
      </c>
      <c r="D50" s="585">
        <f>SUM(D41:D49)</f>
        <v>0</v>
      </c>
      <c r="E50" s="956">
        <f>SUM(E41:E49)</f>
        <v>91.88</v>
      </c>
      <c r="F50" s="956"/>
      <c r="G50" s="912" t="s">
        <v>63</v>
      </c>
      <c r="H50" s="912"/>
      <c r="I50" s="912"/>
      <c r="J50" s="276">
        <f>SUM(J41:J49)</f>
        <v>411738.18000000005</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91.88</v>
      </c>
      <c r="U52" s="184" t="s">
        <v>66</v>
      </c>
      <c r="V52" s="185"/>
      <c r="W52" s="186" t="s">
        <v>67</v>
      </c>
      <c r="X52" s="919">
        <f>I53</f>
        <v>207782.75</v>
      </c>
      <c r="Y52" s="919"/>
    </row>
    <row r="53" spans="1:25" ht="16.5" customHeight="1" x14ac:dyDescent="0.25">
      <c r="A53" s="899" t="s">
        <v>65</v>
      </c>
      <c r="B53" s="899"/>
      <c r="C53" s="237"/>
      <c r="D53" s="237"/>
      <c r="E53" s="48">
        <f>E28</f>
        <v>91.88</v>
      </c>
      <c r="F53" s="49" t="s">
        <v>66</v>
      </c>
      <c r="G53" s="3"/>
      <c r="H53" s="50" t="s">
        <v>67</v>
      </c>
      <c r="I53" s="994">
        <f>'0040'!I53</f>
        <v>207782.75</v>
      </c>
      <c r="J53" s="994"/>
      <c r="M53" s="2"/>
      <c r="R53" s="255"/>
      <c r="S53" s="243"/>
      <c r="T53" s="170"/>
      <c r="U53" s="170"/>
      <c r="V53" s="170"/>
      <c r="W53" s="189" t="s">
        <v>68</v>
      </c>
      <c r="X53" s="920">
        <f>ROUND(T52/X52,6)</f>
        <v>4.4200000000000001E-4</v>
      </c>
      <c r="Y53" s="920"/>
    </row>
    <row r="54" spans="1:25" ht="22.5" customHeight="1" x14ac:dyDescent="0.25">
      <c r="A54" s="237"/>
      <c r="B54" s="230"/>
      <c r="C54" s="230"/>
      <c r="D54" s="230"/>
      <c r="H54" s="53" t="s">
        <v>68</v>
      </c>
      <c r="I54" s="945">
        <f>IFERROR(ROUND(E53/I53,6),0)</f>
        <v>4.4200000000000001E-4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91.88</v>
      </c>
      <c r="U55" s="184" t="s">
        <v>66</v>
      </c>
      <c r="V55" s="185"/>
      <c r="W55" s="186" t="s">
        <v>71</v>
      </c>
      <c r="X55" s="919">
        <f>I56</f>
        <v>221179.83999999997</v>
      </c>
      <c r="Y55" s="919"/>
    </row>
    <row r="56" spans="1:25" ht="16.5" customHeight="1" x14ac:dyDescent="0.25">
      <c r="A56" s="899" t="s">
        <v>70</v>
      </c>
      <c r="B56" s="899"/>
      <c r="C56" s="237"/>
      <c r="D56" s="237"/>
      <c r="E56" s="48">
        <f>G33</f>
        <v>89.391400000000004</v>
      </c>
      <c r="F56" s="49" t="s">
        <v>66</v>
      </c>
      <c r="G56" s="3"/>
      <c r="H56" s="50" t="s">
        <v>71</v>
      </c>
      <c r="I56" s="994">
        <f>'0040'!I56</f>
        <v>221179.83999999997</v>
      </c>
      <c r="J56" s="994"/>
      <c r="M56" s="2"/>
      <c r="R56" s="255"/>
      <c r="S56" s="170"/>
      <c r="T56" s="170"/>
      <c r="U56" s="170"/>
      <c r="V56" s="170"/>
      <c r="W56" s="189" t="s">
        <v>68</v>
      </c>
      <c r="X56" s="920">
        <f>ROUND(T55/X55,6)</f>
        <v>4.15E-4</v>
      </c>
      <c r="Y56" s="920"/>
    </row>
    <row r="57" spans="1:25" ht="18.75" customHeight="1" x14ac:dyDescent="0.25">
      <c r="A57" s="237"/>
      <c r="H57" s="53" t="s">
        <v>68</v>
      </c>
      <c r="I57" s="945">
        <f>IFERROR(ROUND(E56/I56,6),0)</f>
        <v>4.0400000000000001E-4</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91.88</v>
      </c>
      <c r="U58" s="184" t="s">
        <v>66</v>
      </c>
      <c r="V58" s="918" t="s">
        <v>74</v>
      </c>
      <c r="W58" s="918"/>
      <c r="X58" s="919">
        <f>I59</f>
        <v>178931.75</v>
      </c>
      <c r="Y58" s="919"/>
    </row>
    <row r="59" spans="1:25" ht="18.75" customHeight="1" x14ac:dyDescent="0.25">
      <c r="A59" s="899" t="s">
        <v>73</v>
      </c>
      <c r="B59" s="899"/>
      <c r="C59" s="237"/>
      <c r="D59" s="237"/>
      <c r="E59" s="48">
        <f>E28</f>
        <v>91.88</v>
      </c>
      <c r="F59" s="49" t="s">
        <v>66</v>
      </c>
      <c r="G59" s="990" t="s">
        <v>74</v>
      </c>
      <c r="H59" s="990"/>
      <c r="I59" s="994">
        <f>'0040'!I59</f>
        <v>178931.75</v>
      </c>
      <c r="J59" s="994"/>
      <c r="M59" s="2"/>
      <c r="R59" s="255"/>
      <c r="S59" s="170"/>
      <c r="T59" s="170"/>
      <c r="U59" s="170"/>
      <c r="V59" s="170"/>
      <c r="W59" s="189" t="s">
        <v>68</v>
      </c>
      <c r="X59" s="920">
        <f>ROUND(T58/X58,6)</f>
        <v>5.13E-4</v>
      </c>
      <c r="Y59" s="920"/>
    </row>
    <row r="60" spans="1:25" ht="18" customHeight="1" x14ac:dyDescent="0.25">
      <c r="A60" s="237"/>
      <c r="H60" s="53" t="s">
        <v>68</v>
      </c>
      <c r="I60" s="945">
        <f>IFERROR(ROUND(E59/I59,6),0)</f>
        <v>5.13E-4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91.88</v>
      </c>
      <c r="U61" s="184" t="s">
        <v>66</v>
      </c>
      <c r="V61" s="918" t="s">
        <v>76</v>
      </c>
      <c r="W61" s="918"/>
      <c r="X61" s="919">
        <f>I62</f>
        <v>207463.82</v>
      </c>
      <c r="Y61" s="919"/>
    </row>
    <row r="62" spans="1:25" ht="30.75" customHeight="1" x14ac:dyDescent="0.25">
      <c r="A62" s="899" t="s">
        <v>73</v>
      </c>
      <c r="B62" s="899"/>
      <c r="C62" s="237"/>
      <c r="D62" s="237"/>
      <c r="E62" s="48">
        <f>E28</f>
        <v>91.88</v>
      </c>
      <c r="F62" s="49" t="s">
        <v>66</v>
      </c>
      <c r="G62" s="990" t="s">
        <v>76</v>
      </c>
      <c r="H62" s="990"/>
      <c r="I62" s="994">
        <f>'0040'!I62</f>
        <v>207463.82</v>
      </c>
      <c r="J62" s="994"/>
      <c r="M62" s="2"/>
      <c r="R62" s="255"/>
      <c r="S62" s="170"/>
      <c r="T62" s="170"/>
      <c r="U62" s="170"/>
      <c r="V62" s="170"/>
      <c r="W62" s="189" t="s">
        <v>68</v>
      </c>
      <c r="X62" s="920">
        <f>ROUND(T61/X61,6)</f>
        <v>4.4299999999999998E-4</v>
      </c>
      <c r="Y62" s="920"/>
    </row>
    <row r="63" spans="1:25" ht="19.5" customHeight="1" x14ac:dyDescent="0.25">
      <c r="A63" s="237"/>
      <c r="H63" s="53" t="s">
        <v>68</v>
      </c>
      <c r="I63" s="945">
        <f>IFERROR(ROUND(E62/I62,6),0)</f>
        <v>4.4299999999999998E-4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91.88</v>
      </c>
      <c r="U64" s="184" t="s">
        <v>66</v>
      </c>
      <c r="V64" s="918" t="s">
        <v>161</v>
      </c>
      <c r="W64" s="918"/>
      <c r="X64" s="919">
        <f>I65</f>
        <v>178612.82</v>
      </c>
      <c r="Y64" s="919"/>
    </row>
    <row r="65" spans="1:26" ht="49.5" customHeight="1" x14ac:dyDescent="0.25">
      <c r="A65" s="899" t="s">
        <v>73</v>
      </c>
      <c r="B65" s="899"/>
      <c r="C65" s="237"/>
      <c r="D65" s="237"/>
      <c r="E65" s="48">
        <f>E28</f>
        <v>91.88</v>
      </c>
      <c r="F65" s="49" t="s">
        <v>66</v>
      </c>
      <c r="G65" s="990" t="s">
        <v>78</v>
      </c>
      <c r="H65" s="990"/>
      <c r="I65" s="994">
        <f>'0040'!I65</f>
        <v>178612.82</v>
      </c>
      <c r="J65" s="994"/>
      <c r="M65" s="2"/>
      <c r="R65" s="190"/>
      <c r="S65" s="170"/>
      <c r="T65" s="170"/>
      <c r="U65" s="170"/>
      <c r="V65" s="170"/>
      <c r="W65" s="189" t="s">
        <v>68</v>
      </c>
      <c r="X65" s="920">
        <f>ROUND(T64/X64,6)</f>
        <v>5.1400000000000003E-4</v>
      </c>
      <c r="Y65" s="920"/>
    </row>
    <row r="66" spans="1:26" ht="19.5" customHeight="1" x14ac:dyDescent="0.25">
      <c r="A66" s="237"/>
      <c r="H66" s="53" t="s">
        <v>68</v>
      </c>
      <c r="I66" s="945">
        <f>IFERROR(ROUND(E65/I65,6),0)</f>
        <v>5.1400000000000003E-4</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4.4299999999999998E-4</v>
      </c>
      <c r="Y67" s="271">
        <f>ROUND(V67*X67,2)</f>
        <v>20213.91</v>
      </c>
    </row>
    <row r="68" spans="1:26" ht="30.75" customHeight="1" x14ac:dyDescent="0.25">
      <c r="A68" s="946" t="s">
        <v>79</v>
      </c>
      <c r="B68" s="946"/>
      <c r="C68" s="946"/>
      <c r="D68" s="946"/>
      <c r="E68" s="946"/>
      <c r="F68" s="248" t="s">
        <v>80</v>
      </c>
      <c r="G68" s="277">
        <f>'0040'!G68</f>
        <v>45629593</v>
      </c>
      <c r="H68" s="223" t="s">
        <v>81</v>
      </c>
      <c r="I68" s="41">
        <f>I63</f>
        <v>4.4299999999999998E-4</v>
      </c>
      <c r="J68" s="138">
        <f>ROUND(G68*I68,2)</f>
        <v>20213.91</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4.4200000000000001E-4</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4.4200000000000001E-4</v>
      </c>
      <c r="J70" s="138">
        <f>ROUND(G70*I70,2)</f>
        <v>0</v>
      </c>
      <c r="M70" s="2"/>
      <c r="R70" s="862" t="s">
        <v>163</v>
      </c>
      <c r="S70" s="862"/>
      <c r="T70" s="862"/>
      <c r="U70" s="253"/>
      <c r="V70" s="193">
        <f>G71</f>
        <v>18934058</v>
      </c>
      <c r="W70" s="239" t="s">
        <v>81</v>
      </c>
      <c r="X70" s="176">
        <f>X65</f>
        <v>5.1400000000000003E-4</v>
      </c>
      <c r="Y70" s="266">
        <f t="shared" si="11"/>
        <v>9732.11</v>
      </c>
    </row>
    <row r="71" spans="1:26" ht="19.5" customHeight="1" x14ac:dyDescent="0.25">
      <c r="A71" s="898" t="s">
        <v>85</v>
      </c>
      <c r="B71" s="898"/>
      <c r="C71" s="898"/>
      <c r="D71" s="898"/>
      <c r="E71" s="898"/>
      <c r="F71" s="248" t="s">
        <v>86</v>
      </c>
      <c r="G71" s="277">
        <f>'0040'!G71</f>
        <v>18934058</v>
      </c>
      <c r="H71" s="223" t="s">
        <v>81</v>
      </c>
      <c r="I71" s="41">
        <f>I66</f>
        <v>5.1400000000000003E-4</v>
      </c>
      <c r="J71" s="138">
        <f>ROUND(G71*I71,2)</f>
        <v>9732.11</v>
      </c>
      <c r="M71" s="2"/>
      <c r="R71" s="240" t="s">
        <v>164</v>
      </c>
      <c r="S71" s="240"/>
      <c r="T71" s="240"/>
      <c r="U71" s="253"/>
      <c r="V71" s="171">
        <f>G72</f>
        <v>11300012</v>
      </c>
      <c r="W71" s="239" t="s">
        <v>81</v>
      </c>
      <c r="X71" s="176">
        <f>X59</f>
        <v>5.13E-4</v>
      </c>
      <c r="Y71" s="266">
        <f t="shared" si="11"/>
        <v>5796.91</v>
      </c>
    </row>
    <row r="72" spans="1:26" ht="19.5" customHeight="1" x14ac:dyDescent="0.25">
      <c r="A72" s="235" t="s">
        <v>87</v>
      </c>
      <c r="B72" s="235"/>
      <c r="C72" s="235"/>
      <c r="D72" s="235"/>
      <c r="E72" s="235"/>
      <c r="F72" s="248" t="s">
        <v>88</v>
      </c>
      <c r="G72" s="277">
        <f>'0040'!G72</f>
        <v>11300012</v>
      </c>
      <c r="H72" s="223" t="s">
        <v>81</v>
      </c>
      <c r="I72" s="41">
        <f>I60</f>
        <v>5.13E-4</v>
      </c>
      <c r="J72" s="138">
        <f>ROUND(G72*I72,2)</f>
        <v>5796.91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4.0400000000000001E-4</v>
      </c>
      <c r="J85" s="138">
        <f>ROUND(G85*I85,2)</f>
        <v>108601.78</v>
      </c>
      <c r="K85" s="70"/>
      <c r="L85" s="70"/>
      <c r="M85" s="71"/>
      <c r="N85" s="70"/>
      <c r="O85" s="70"/>
      <c r="P85" s="70"/>
      <c r="Q85" s="70"/>
      <c r="R85" s="862" t="s">
        <v>168</v>
      </c>
      <c r="S85" s="862"/>
      <c r="T85" s="862"/>
      <c r="U85" s="253"/>
      <c r="V85" s="171">
        <f>G85</f>
        <v>268816278</v>
      </c>
      <c r="W85" s="239" t="s">
        <v>81</v>
      </c>
      <c r="X85" s="176">
        <f>X56</f>
        <v>4.15E-4</v>
      </c>
      <c r="Y85" s="266">
        <f t="shared" ref="Y85:Y87" si="12">ROUND(V85*X85,2)</f>
        <v>111558.76</v>
      </c>
    </row>
    <row r="86" spans="1:26" ht="14.25" customHeight="1" x14ac:dyDescent="0.25">
      <c r="A86" s="898" t="s">
        <v>104</v>
      </c>
      <c r="B86" s="898"/>
      <c r="C86" s="898"/>
      <c r="D86" s="898"/>
      <c r="E86" s="898"/>
      <c r="F86" s="248" t="s">
        <v>103</v>
      </c>
      <c r="G86" s="139">
        <v>0</v>
      </c>
      <c r="H86" s="223" t="s">
        <v>81</v>
      </c>
      <c r="I86" s="41">
        <f>I57</f>
        <v>4.0400000000000001E-4</v>
      </c>
      <c r="J86" s="138">
        <f>ROUND(G86*I86,2)</f>
        <v>0</v>
      </c>
      <c r="K86" s="70"/>
      <c r="L86" s="71"/>
      <c r="M86" s="76"/>
      <c r="N86" s="76"/>
      <c r="O86" s="76"/>
      <c r="P86" s="76"/>
      <c r="Q86" s="70"/>
      <c r="R86" s="862" t="s">
        <v>169</v>
      </c>
      <c r="S86" s="862"/>
      <c r="T86" s="862"/>
      <c r="U86" s="253"/>
      <c r="V86" s="203">
        <f>G86</f>
        <v>0</v>
      </c>
      <c r="W86" s="239" t="s">
        <v>81</v>
      </c>
      <c r="X86" s="176">
        <f>X56</f>
        <v>4.15E-4</v>
      </c>
      <c r="Y86" s="266">
        <f t="shared" si="12"/>
        <v>0</v>
      </c>
    </row>
    <row r="87" spans="1:26" ht="18" customHeight="1" x14ac:dyDescent="0.25">
      <c r="A87" s="898" t="s">
        <v>105</v>
      </c>
      <c r="B87" s="898"/>
      <c r="C87" s="898"/>
      <c r="D87" s="898"/>
      <c r="E87" s="898"/>
      <c r="F87" s="248" t="s">
        <v>84</v>
      </c>
      <c r="G87" s="139">
        <v>0</v>
      </c>
      <c r="H87" s="223" t="s">
        <v>81</v>
      </c>
      <c r="I87" s="41">
        <f>I54</f>
        <v>4.4200000000000001E-4</v>
      </c>
      <c r="J87" s="62">
        <f>ROUND(G87*I87,2)</f>
        <v>0</v>
      </c>
      <c r="K87" s="77"/>
      <c r="L87" s="70"/>
      <c r="M87" s="71"/>
      <c r="N87" s="70"/>
      <c r="O87" s="70"/>
      <c r="P87" s="70"/>
      <c r="Q87" s="70"/>
      <c r="R87" s="240" t="s">
        <v>170</v>
      </c>
      <c r="S87" s="240"/>
      <c r="T87" s="240"/>
      <c r="U87" s="253"/>
      <c r="V87" s="203">
        <f>G87</f>
        <v>0</v>
      </c>
      <c r="W87" s="239" t="s">
        <v>81</v>
      </c>
      <c r="X87" s="176">
        <f>X53</f>
        <v>4.4200000000000001E-4</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141">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3</v>
      </c>
      <c r="C91" s="245"/>
      <c r="D91" s="869">
        <f>I6</f>
        <v>1.0355000000000001</v>
      </c>
      <c r="E91" s="869"/>
      <c r="F91" s="869"/>
      <c r="G91" s="122">
        <f>'[1]Detail 2025-26 FEFP Second'!AC3</f>
        <v>915.09</v>
      </c>
      <c r="H91" s="47" t="s">
        <v>68</v>
      </c>
      <c r="I91" s="140">
        <f>ROUND(B91*D91*G91,2)</f>
        <v>2842.73</v>
      </c>
      <c r="K91" s="70"/>
      <c r="L91" s="70"/>
      <c r="M91" s="71"/>
      <c r="N91" s="70"/>
      <c r="O91" s="70"/>
      <c r="P91" s="70"/>
      <c r="Q91" s="70"/>
      <c r="R91" s="206" t="s">
        <v>60</v>
      </c>
      <c r="S91" s="251">
        <f>X14+X15+X19+X22+X25</f>
        <v>3</v>
      </c>
      <c r="T91" s="924">
        <f>X6</f>
        <v>1.0355000000000001</v>
      </c>
      <c r="U91" s="924"/>
      <c r="V91" s="122">
        <f>G91</f>
        <v>915.09</v>
      </c>
      <c r="W91" s="182" t="s">
        <v>68</v>
      </c>
      <c r="X91" s="272">
        <f>ROUND(S91*T91*V91,2)</f>
        <v>2842.73</v>
      </c>
      <c r="Y91" s="170"/>
    </row>
    <row r="92" spans="1:26" ht="19.5" customHeight="1" thickBot="1" x14ac:dyDescent="0.3">
      <c r="A92" s="83" t="s">
        <v>61</v>
      </c>
      <c r="B92" s="109">
        <f>I16+I17+I20+I23+I26+I27</f>
        <v>86.391400000000004</v>
      </c>
      <c r="C92" s="109"/>
      <c r="D92" s="869">
        <f>I6</f>
        <v>1.0355000000000001</v>
      </c>
      <c r="E92" s="869"/>
      <c r="F92" s="869"/>
      <c r="G92" s="122">
        <f>'[1]Detail 2025-26 FEFP Second'!AD3</f>
        <v>917.3</v>
      </c>
      <c r="H92" s="47" t="s">
        <v>68</v>
      </c>
      <c r="I92" s="575">
        <f>ROUND(B92*D92*G92,2)</f>
        <v>82060.09</v>
      </c>
      <c r="K92" s="70"/>
      <c r="L92" s="70"/>
      <c r="M92" s="71"/>
      <c r="N92" s="70"/>
      <c r="O92" s="70"/>
      <c r="P92" s="70"/>
      <c r="Q92" s="70"/>
      <c r="R92" s="207" t="s">
        <v>61</v>
      </c>
      <c r="S92" s="208">
        <f>X16+X17+X20+X23+X26+X27</f>
        <v>88.88</v>
      </c>
      <c r="T92" s="924">
        <f>X6</f>
        <v>1.0355000000000001</v>
      </c>
      <c r="U92" s="924"/>
      <c r="V92" s="122">
        <f>G92</f>
        <v>917.3</v>
      </c>
      <c r="W92" s="182" t="s">
        <v>68</v>
      </c>
      <c r="X92" s="272">
        <f>ROUND(S92*T92*V92,2)</f>
        <v>84423.93</v>
      </c>
      <c r="Y92" s="170"/>
    </row>
    <row r="93" spans="1:26" ht="18.75" customHeight="1" thickBot="1" x14ac:dyDescent="0.3">
      <c r="A93" s="247" t="s">
        <v>111</v>
      </c>
      <c r="B93" s="109">
        <f>SUM(B90:B92)</f>
        <v>89.391400000000004</v>
      </c>
      <c r="C93" s="109"/>
      <c r="D93" s="109"/>
      <c r="E93" s="939" t="s">
        <v>112</v>
      </c>
      <c r="F93" s="939"/>
      <c r="G93" s="939"/>
      <c r="H93" s="939"/>
      <c r="I93" s="939"/>
      <c r="J93" s="127">
        <f>IF(A1=75,0,I92+I91+I90)</f>
        <v>84902.819999999992</v>
      </c>
      <c r="K93" s="70"/>
      <c r="L93" s="70"/>
      <c r="M93" s="71"/>
      <c r="N93" s="70"/>
      <c r="O93" s="70"/>
      <c r="P93" s="70"/>
      <c r="Q93" s="70"/>
      <c r="R93" s="252" t="s">
        <v>111</v>
      </c>
      <c r="S93" s="210">
        <f>SUM(S90:S92)</f>
        <v>91.88</v>
      </c>
      <c r="T93" s="925" t="s">
        <v>112</v>
      </c>
      <c r="U93" s="926"/>
      <c r="V93" s="926"/>
      <c r="W93" s="926"/>
      <c r="X93" s="926"/>
      <c r="Y93" s="266">
        <f>IF(R1=75,0,X92+X91+X90)</f>
        <v>87266.659999999989</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46</v>
      </c>
      <c r="U96" s="930"/>
      <c r="V96" s="930"/>
      <c r="W96" s="261" t="s">
        <v>117</v>
      </c>
      <c r="X96" s="212">
        <f>I97</f>
        <v>586</v>
      </c>
      <c r="Y96" s="266">
        <f>ROUND(X96*T96,2)</f>
        <v>26956</v>
      </c>
    </row>
    <row r="97" spans="1:25" ht="17.25" customHeight="1" x14ac:dyDescent="0.25">
      <c r="A97" s="912" t="s">
        <v>116</v>
      </c>
      <c r="B97" s="912"/>
      <c r="C97" s="279">
        <v>46</v>
      </c>
      <c r="D97" s="279">
        <v>0</v>
      </c>
      <c r="E97" s="988">
        <f>(C97+D97)</f>
        <v>46</v>
      </c>
      <c r="F97" s="942"/>
      <c r="G97" s="942"/>
      <c r="H97" s="224" t="s">
        <v>117</v>
      </c>
      <c r="I97" s="130">
        <f>'0040'!I97</f>
        <v>586</v>
      </c>
      <c r="J97" s="138">
        <f>ROUND(I97*E97,2)</f>
        <v>26956</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1165255.32</v>
      </c>
      <c r="L107" s="576"/>
      <c r="R107" s="862" t="s">
        <v>125</v>
      </c>
      <c r="S107" s="862"/>
      <c r="T107" s="862"/>
      <c r="U107" s="862"/>
      <c r="V107" s="862"/>
      <c r="W107" s="862"/>
      <c r="X107" s="862"/>
      <c r="Y107" s="219">
        <f>SUM(Y106,Y105,Y97,Y96,Y93,Y86,Y85,Y84,Y70,Y69,Y67,Y33,Y71,Y50,Y87,Y83)</f>
        <v>772682.86</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1127824.83</v>
      </c>
      <c r="R109" s="170" t="s">
        <v>176</v>
      </c>
      <c r="S109" s="170"/>
      <c r="T109" s="170"/>
      <c r="U109" s="170"/>
      <c r="V109" s="170"/>
      <c r="W109" s="170"/>
      <c r="X109" s="170"/>
      <c r="Y109" s="220">
        <f>Y107-Y38</f>
        <v>735252.37</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v>1</v>
      </c>
      <c r="J111" s="137">
        <f>Y109</f>
        <v>735252.37</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735252.37</v>
      </c>
      <c r="J114" s="296">
        <f>ROUND(IF(E28=0,0,IF(E28&gt;250,-(((250/E28)*I114)*IF(H114="H",0.02,0.05)),IF(H114="H",-0.02*I114,-0.05*I114))),2)</f>
        <v>-36762.620000000003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1128492.7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Payments'!R93</f>
        <v>-682663.18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445829.5199999999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89165.9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47C1-D3C6-4039-AF75-2A49B7B2C1FB}">
  <dimension ref="A1:Z207"/>
  <sheetViews>
    <sheetView topLeftCell="A114"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451</v>
      </c>
      <c r="B2" s="102"/>
      <c r="C2" s="102"/>
      <c r="D2" s="102"/>
      <c r="E2" s="100"/>
      <c r="F2" s="100"/>
      <c r="G2" s="100"/>
      <c r="H2" s="100"/>
      <c r="I2" s="100"/>
      <c r="J2" s="100"/>
      <c r="K2" s="6"/>
      <c r="L2" s="6"/>
      <c r="M2" s="6"/>
      <c r="N2" s="6"/>
      <c r="O2" s="6"/>
      <c r="P2" s="6"/>
      <c r="Q2" s="6"/>
      <c r="R2" s="875" t="str">
        <f>Revenue_Estimate_Worksheet_for___________Charter_School</f>
        <v>Revenue Estimate Worksheet: Quantum High School - 3401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Second'!$C$1:$C$65536,MATCH('3401'!$A$1,'[1]Detail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Second'!$D$1:$D$65536,MATCH('3401'!$A$1,'[1]Detail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3.1</v>
      </c>
      <c r="D14" s="415">
        <v>0</v>
      </c>
      <c r="E14" s="967">
        <f t="shared" si="0"/>
        <v>6.2</v>
      </c>
      <c r="F14" s="967"/>
      <c r="G14" s="968">
        <v>1</v>
      </c>
      <c r="H14" s="968"/>
      <c r="I14" s="578">
        <f t="shared" si="2"/>
        <v>6.2</v>
      </c>
      <c r="J14" s="579">
        <f>ROUND(ROUND(ROUND(I14*$E$6,4)*($I$6),2)*(MAX($I$7,1)),2)</f>
        <v>34492.629999999997</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4</v>
      </c>
      <c r="D15" s="415">
        <v>0</v>
      </c>
      <c r="E15" s="967">
        <f t="shared" si="0"/>
        <v>8</v>
      </c>
      <c r="F15" s="967"/>
      <c r="G15" s="968">
        <v>1</v>
      </c>
      <c r="H15" s="968"/>
      <c r="I15" s="578">
        <f t="shared" si="2"/>
        <v>8</v>
      </c>
      <c r="J15" s="579">
        <f t="shared" si="1"/>
        <v>44506.62</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135.99</v>
      </c>
      <c r="D16" s="415">
        <v>0</v>
      </c>
      <c r="E16" s="967">
        <f t="shared" si="0"/>
        <v>271.98</v>
      </c>
      <c r="F16" s="967"/>
      <c r="G16" s="968">
        <v>0.97199999999999998</v>
      </c>
      <c r="H16" s="968"/>
      <c r="I16" s="578">
        <f t="shared" si="2"/>
        <v>264.3646</v>
      </c>
      <c r="J16" s="579">
        <f t="shared" si="1"/>
        <v>1470746.8</v>
      </c>
      <c r="M16" s="2"/>
      <c r="R16" s="860" t="s">
        <v>24</v>
      </c>
      <c r="S16" s="860"/>
      <c r="T16" s="891">
        <f t="shared" si="3"/>
        <v>0</v>
      </c>
      <c r="U16" s="891"/>
      <c r="V16" s="896">
        <v>1</v>
      </c>
      <c r="W16" s="896"/>
      <c r="X16" s="156">
        <f t="shared" si="4"/>
        <v>0</v>
      </c>
      <c r="Y16" s="266">
        <f t="shared" si="6"/>
        <v>0</v>
      </c>
    </row>
    <row r="17" spans="1:25" x14ac:dyDescent="0.25">
      <c r="A17" s="861" t="s">
        <v>25</v>
      </c>
      <c r="B17" s="861"/>
      <c r="C17" s="415">
        <v>36.130000000000003</v>
      </c>
      <c r="D17" s="415">
        <v>0</v>
      </c>
      <c r="E17" s="967">
        <f t="shared" si="0"/>
        <v>72.260000000000005</v>
      </c>
      <c r="F17" s="967"/>
      <c r="G17" s="968">
        <v>0.97199999999999998</v>
      </c>
      <c r="H17" s="968"/>
      <c r="I17" s="578">
        <f t="shared" si="2"/>
        <v>70.236699999999999</v>
      </c>
      <c r="J17" s="579">
        <f t="shared" si="1"/>
        <v>390749.75</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0.4</v>
      </c>
      <c r="D25" s="415">
        <v>0</v>
      </c>
      <c r="E25" s="967">
        <f t="shared" si="0"/>
        <v>0.8</v>
      </c>
      <c r="F25" s="967"/>
      <c r="G25" s="968">
        <v>1.165</v>
      </c>
      <c r="H25" s="968"/>
      <c r="I25" s="578">
        <f t="shared" si="2"/>
        <v>0.93200000000000005</v>
      </c>
      <c r="J25" s="579">
        <f t="shared" si="1"/>
        <v>5185.0200000000004</v>
      </c>
      <c r="M25" s="2"/>
      <c r="R25" s="860" t="s">
        <v>33</v>
      </c>
      <c r="S25" s="860"/>
      <c r="T25" s="891">
        <f t="shared" si="3"/>
        <v>0</v>
      </c>
      <c r="U25" s="891"/>
      <c r="V25" s="896">
        <v>1</v>
      </c>
      <c r="W25" s="896"/>
      <c r="X25" s="156">
        <f t="shared" si="4"/>
        <v>0</v>
      </c>
      <c r="Y25" s="266">
        <f t="shared" si="6"/>
        <v>0</v>
      </c>
    </row>
    <row r="26" spans="1:25" x14ac:dyDescent="0.25">
      <c r="A26" s="861" t="s">
        <v>34</v>
      </c>
      <c r="B26" s="861"/>
      <c r="C26" s="415">
        <v>11.799999999999999</v>
      </c>
      <c r="D26" s="415">
        <v>0</v>
      </c>
      <c r="E26" s="967">
        <f t="shared" ref="E26" si="7">IF($D$28=0,C26*2,C26+D26)</f>
        <v>23.599999999999998</v>
      </c>
      <c r="F26" s="967"/>
      <c r="G26" s="968">
        <v>1.165</v>
      </c>
      <c r="H26" s="968"/>
      <c r="I26" s="578">
        <f t="shared" si="2"/>
        <v>27.494</v>
      </c>
      <c r="J26" s="579">
        <f t="shared" si="1"/>
        <v>152958.12</v>
      </c>
      <c r="M26" s="2"/>
      <c r="R26" s="860" t="s">
        <v>34</v>
      </c>
      <c r="S26" s="860"/>
      <c r="T26" s="891">
        <f t="shared" si="3"/>
        <v>0</v>
      </c>
      <c r="U26" s="891"/>
      <c r="V26" s="896">
        <v>1</v>
      </c>
      <c r="W26" s="896"/>
      <c r="X26" s="156">
        <f t="shared" si="4"/>
        <v>0</v>
      </c>
      <c r="Y26" s="266">
        <f t="shared" si="6"/>
        <v>0</v>
      </c>
    </row>
    <row r="27" spans="1:25" x14ac:dyDescent="0.25">
      <c r="A27" s="866" t="s">
        <v>35</v>
      </c>
      <c r="B27" s="866"/>
      <c r="C27" s="416">
        <v>2</v>
      </c>
      <c r="D27" s="416">
        <v>0</v>
      </c>
      <c r="E27" s="963">
        <f t="shared" si="0"/>
        <v>4</v>
      </c>
      <c r="F27" s="963"/>
      <c r="G27" s="964">
        <v>1.081</v>
      </c>
      <c r="H27" s="964"/>
      <c r="I27" s="22">
        <f t="shared" si="2"/>
        <v>4.3239999999999998</v>
      </c>
      <c r="J27" s="127">
        <f t="shared" si="1"/>
        <v>24055.83</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193.42000000000002</v>
      </c>
      <c r="D28" s="126">
        <f>SUM(D12:D27)</f>
        <v>0</v>
      </c>
      <c r="E28" s="966">
        <f>SUM(E12:E27)</f>
        <v>386.84000000000003</v>
      </c>
      <c r="F28" s="966"/>
      <c r="G28" s="961"/>
      <c r="H28" s="961"/>
      <c r="I28" s="23">
        <f>SUM(I12:I27)</f>
        <v>381.55130000000003</v>
      </c>
      <c r="J28" s="127">
        <f>SUM(J12:J27)</f>
        <v>2122694.77</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381.55130000000003</v>
      </c>
      <c r="H33" s="961" t="s">
        <v>45</v>
      </c>
      <c r="I33" s="961"/>
      <c r="J33" s="32">
        <f>SUM(J32,J28)</f>
        <v>2122694.77</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2328441.0699999998</v>
      </c>
      <c r="H36" s="223" t="s">
        <v>49</v>
      </c>
      <c r="I36" s="38">
        <v>6.6699999999999995E-2</v>
      </c>
      <c r="J36" s="131">
        <f>ROUND(G36*I36,2)</f>
        <v>155307.01999999999</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2328441.0699999998</v>
      </c>
      <c r="H37" s="223" t="s">
        <v>49</v>
      </c>
      <c r="I37" s="38">
        <v>5.4000000000000003E-3</v>
      </c>
      <c r="J37" s="131">
        <f>ROUND(G37*I37,2)</f>
        <v>12573.58</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167880.59999999998</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8">IF($D$50=0,C41*2,C41+D41)</f>
        <v>0</v>
      </c>
      <c r="F41" s="954"/>
      <c r="G41" s="223" t="s">
        <v>59</v>
      </c>
      <c r="H41" s="223">
        <v>251</v>
      </c>
      <c r="I41" s="136">
        <f>INDEX('[1]111-112-113 ADDITIONAL FUND'!D$1:D$65536,MATCH($A$1,'[1]111-112-113 ADDITIONAL FUND'!A$1:A$65536))</f>
        <v>1047</v>
      </c>
      <c r="J41" s="727">
        <f t="shared" ref="J41:J49" si="9">ROUND(E41*I41,2)</f>
        <v>0</v>
      </c>
      <c r="L41" s="3"/>
      <c r="M41" s="2"/>
      <c r="Q41" s="4"/>
      <c r="R41" s="903" t="s">
        <v>159</v>
      </c>
      <c r="S41" s="903"/>
      <c r="T41" s="867"/>
      <c r="U41" s="867"/>
      <c r="V41" s="239" t="s">
        <v>59</v>
      </c>
      <c r="W41" s="239">
        <v>251</v>
      </c>
      <c r="X41" s="134">
        <f t="shared" ref="X41:X49" si="10">I41</f>
        <v>1047</v>
      </c>
      <c r="Y41" s="269">
        <f>ROUND(T41*X41,2)</f>
        <v>0</v>
      </c>
    </row>
    <row r="42" spans="1:25" x14ac:dyDescent="0.25">
      <c r="A42" s="960"/>
      <c r="B42" s="960"/>
      <c r="C42" s="415">
        <v>0</v>
      </c>
      <c r="D42" s="415">
        <v>0</v>
      </c>
      <c r="E42" s="954">
        <f t="shared" si="8"/>
        <v>0</v>
      </c>
      <c r="F42" s="954"/>
      <c r="G42" s="223" t="s">
        <v>59</v>
      </c>
      <c r="H42" s="223">
        <v>252</v>
      </c>
      <c r="I42" s="136">
        <f>INDEX('[1]111-112-113 ADDITIONAL FUND'!E$1:E$65536,MATCH($A$1,'[1]111-112-113 ADDITIONAL FUND'!A$1:A$65536))</f>
        <v>3380</v>
      </c>
      <c r="J42" s="727">
        <f t="shared" si="9"/>
        <v>0</v>
      </c>
      <c r="M42" s="2"/>
      <c r="R42" s="903"/>
      <c r="S42" s="903"/>
      <c r="T42" s="904"/>
      <c r="U42" s="904"/>
      <c r="V42" s="239" t="s">
        <v>59</v>
      </c>
      <c r="W42" s="239">
        <v>252</v>
      </c>
      <c r="X42" s="134">
        <f t="shared" si="10"/>
        <v>3380</v>
      </c>
      <c r="Y42" s="269">
        <f t="shared" ref="Y42:Y49" si="11">ROUND(T42*X42,2)</f>
        <v>0</v>
      </c>
    </row>
    <row r="43" spans="1:25" x14ac:dyDescent="0.25">
      <c r="A43" s="960"/>
      <c r="B43" s="960"/>
      <c r="C43" s="415">
        <v>0</v>
      </c>
      <c r="D43" s="415">
        <v>0</v>
      </c>
      <c r="E43" s="954">
        <f t="shared" si="8"/>
        <v>0</v>
      </c>
      <c r="F43" s="954"/>
      <c r="G43" s="223" t="s">
        <v>59</v>
      </c>
      <c r="H43" s="223">
        <v>253</v>
      </c>
      <c r="I43" s="136">
        <f>INDEX('[1]111-112-113 ADDITIONAL FUND'!F$1:F$65536,MATCH($A$1,'[1]111-112-113 ADDITIONAL FUND'!A$1:A$65536))</f>
        <v>6896</v>
      </c>
      <c r="J43" s="727">
        <f t="shared" si="9"/>
        <v>0</v>
      </c>
      <c r="M43" s="2"/>
      <c r="R43" s="903"/>
      <c r="S43" s="903"/>
      <c r="T43" s="905"/>
      <c r="U43" s="905"/>
      <c r="V43" s="239" t="s">
        <v>59</v>
      </c>
      <c r="W43" s="239">
        <v>253</v>
      </c>
      <c r="X43" s="134">
        <f t="shared" si="10"/>
        <v>6896</v>
      </c>
      <c r="Y43" s="269">
        <f t="shared" si="11"/>
        <v>0</v>
      </c>
    </row>
    <row r="44" spans="1:25" x14ac:dyDescent="0.25">
      <c r="A44" s="960"/>
      <c r="B44" s="960"/>
      <c r="C44" s="415">
        <v>3.5</v>
      </c>
      <c r="D44" s="415">
        <v>0</v>
      </c>
      <c r="E44" s="954">
        <f t="shared" si="8"/>
        <v>7</v>
      </c>
      <c r="F44" s="954"/>
      <c r="G44" s="47" t="s">
        <v>60</v>
      </c>
      <c r="H44" s="223">
        <v>251</v>
      </c>
      <c r="I44" s="136">
        <f>INDEX('[1]111-112-113 ADDITIONAL FUND'!G$1:G$65536,MATCH($A$1,'[1]111-112-113 ADDITIONAL FUND'!A$1:A$65536))</f>
        <v>1173</v>
      </c>
      <c r="J44" s="727">
        <f t="shared" si="9"/>
        <v>8211</v>
      </c>
      <c r="L44" s="3"/>
      <c r="M44" s="2"/>
      <c r="Q44" s="4"/>
      <c r="R44" s="903"/>
      <c r="S44" s="903"/>
      <c r="T44" s="905"/>
      <c r="U44" s="905"/>
      <c r="V44" s="182" t="s">
        <v>60</v>
      </c>
      <c r="W44" s="239">
        <v>251</v>
      </c>
      <c r="X44" s="134">
        <f t="shared" si="10"/>
        <v>1173</v>
      </c>
      <c r="Y44" s="269">
        <f t="shared" si="11"/>
        <v>0</v>
      </c>
    </row>
    <row r="45" spans="1:25" x14ac:dyDescent="0.25">
      <c r="A45" s="960"/>
      <c r="B45" s="960"/>
      <c r="C45" s="415">
        <v>0.5</v>
      </c>
      <c r="D45" s="415">
        <v>0</v>
      </c>
      <c r="E45" s="954">
        <f t="shared" si="8"/>
        <v>1</v>
      </c>
      <c r="F45" s="954"/>
      <c r="G45" s="47" t="s">
        <v>60</v>
      </c>
      <c r="H45" s="223">
        <v>252</v>
      </c>
      <c r="I45" s="136">
        <f>INDEX('[1]111-112-113 ADDITIONAL FUND'!H$1:H$65536,MATCH($A$1,'[1]111-112-113 ADDITIONAL FUND'!A$1:A$65536))</f>
        <v>3506</v>
      </c>
      <c r="J45" s="727">
        <f t="shared" si="9"/>
        <v>3506</v>
      </c>
      <c r="M45" s="2"/>
      <c r="R45" s="903"/>
      <c r="S45" s="903"/>
      <c r="T45" s="905"/>
      <c r="U45" s="905"/>
      <c r="V45" s="182" t="s">
        <v>60</v>
      </c>
      <c r="W45" s="239">
        <v>252</v>
      </c>
      <c r="X45" s="134">
        <f t="shared" si="10"/>
        <v>3506</v>
      </c>
      <c r="Y45" s="269">
        <f t="shared" si="11"/>
        <v>0</v>
      </c>
    </row>
    <row r="46" spans="1:25" x14ac:dyDescent="0.25">
      <c r="A46" s="960"/>
      <c r="B46" s="960"/>
      <c r="C46" s="415">
        <v>0</v>
      </c>
      <c r="D46" s="415">
        <v>0</v>
      </c>
      <c r="E46" s="954">
        <f t="shared" si="8"/>
        <v>0</v>
      </c>
      <c r="F46" s="954"/>
      <c r="G46" s="47" t="s">
        <v>60</v>
      </c>
      <c r="H46" s="223">
        <v>253</v>
      </c>
      <c r="I46" s="136">
        <f>INDEX('[1]111-112-113 ADDITIONAL FUND'!I$1:I$65536,MATCH($A$1,'[1]111-112-113 ADDITIONAL FUND'!A$1:A$65536))</f>
        <v>7023</v>
      </c>
      <c r="J46" s="727">
        <f t="shared" si="9"/>
        <v>0</v>
      </c>
      <c r="M46" s="2"/>
      <c r="R46" s="903"/>
      <c r="S46" s="903"/>
      <c r="T46" s="905"/>
      <c r="U46" s="905"/>
      <c r="V46" s="182" t="s">
        <v>60</v>
      </c>
      <c r="W46" s="239">
        <v>253</v>
      </c>
      <c r="X46" s="134">
        <f t="shared" si="10"/>
        <v>7023</v>
      </c>
      <c r="Y46" s="269">
        <f t="shared" si="11"/>
        <v>0</v>
      </c>
    </row>
    <row r="47" spans="1:25" ht="16.5" customHeight="1" x14ac:dyDescent="0.25">
      <c r="A47" s="960"/>
      <c r="B47" s="960"/>
      <c r="C47" s="415">
        <v>33.130000000000003</v>
      </c>
      <c r="D47" s="415">
        <v>0</v>
      </c>
      <c r="E47" s="954">
        <f t="shared" si="8"/>
        <v>66.260000000000005</v>
      </c>
      <c r="F47" s="954"/>
      <c r="G47" s="47" t="s">
        <v>61</v>
      </c>
      <c r="H47" s="223">
        <v>251</v>
      </c>
      <c r="I47" s="136">
        <f>INDEX('[1]111-112-113 ADDITIONAL FUND'!J$1:J$65536,MATCH($A$1,'[1]111-112-113 ADDITIONAL FUND'!A$1:A$65536))</f>
        <v>835</v>
      </c>
      <c r="J47" s="727">
        <f t="shared" si="9"/>
        <v>55327.1</v>
      </c>
      <c r="M47" s="2"/>
      <c r="R47" s="903"/>
      <c r="S47" s="903"/>
      <c r="T47" s="905"/>
      <c r="U47" s="905"/>
      <c r="V47" s="182" t="s">
        <v>61</v>
      </c>
      <c r="W47" s="239">
        <v>251</v>
      </c>
      <c r="X47" s="134">
        <f t="shared" si="10"/>
        <v>835</v>
      </c>
      <c r="Y47" s="269">
        <f t="shared" si="11"/>
        <v>0</v>
      </c>
    </row>
    <row r="48" spans="1:25" ht="15.75" customHeight="1" x14ac:dyDescent="0.25">
      <c r="A48" s="960"/>
      <c r="B48" s="960"/>
      <c r="C48" s="415">
        <v>3</v>
      </c>
      <c r="D48" s="415">
        <v>0</v>
      </c>
      <c r="E48" s="954">
        <f t="shared" si="8"/>
        <v>6</v>
      </c>
      <c r="F48" s="954"/>
      <c r="G48" s="47" t="s">
        <v>61</v>
      </c>
      <c r="H48" s="223">
        <v>252</v>
      </c>
      <c r="I48" s="136">
        <f>INDEX('[1]111-112-113 ADDITIONAL FUND'!K$1:K$65536,MATCH($A$1,'[1]111-112-113 ADDITIONAL FUND'!A$1:A$65536))</f>
        <v>3168</v>
      </c>
      <c r="J48" s="727">
        <f t="shared" si="9"/>
        <v>19008</v>
      </c>
      <c r="M48" s="2"/>
      <c r="R48" s="903"/>
      <c r="S48" s="903"/>
      <c r="T48" s="905"/>
      <c r="U48" s="905"/>
      <c r="V48" s="182" t="s">
        <v>61</v>
      </c>
      <c r="W48" s="239">
        <v>252</v>
      </c>
      <c r="X48" s="134">
        <f t="shared" si="10"/>
        <v>3168</v>
      </c>
      <c r="Y48" s="269">
        <f t="shared" si="11"/>
        <v>0</v>
      </c>
    </row>
    <row r="49" spans="1:25" ht="15.75" customHeight="1" thickBot="1" x14ac:dyDescent="0.3">
      <c r="A49" s="960"/>
      <c r="B49" s="960"/>
      <c r="C49" s="415">
        <v>0</v>
      </c>
      <c r="D49" s="415">
        <v>0</v>
      </c>
      <c r="E49" s="955">
        <f t="shared" si="8"/>
        <v>0</v>
      </c>
      <c r="F49" s="955"/>
      <c r="G49" s="47" t="s">
        <v>61</v>
      </c>
      <c r="H49" s="223">
        <v>253</v>
      </c>
      <c r="I49" s="136">
        <f>INDEX('[1]111-112-113 ADDITIONAL FUND'!L$1:L$65536,MATCH($A$1,'[1]111-112-113 ADDITIONAL FUND'!A$1:A$65536))</f>
        <v>6685</v>
      </c>
      <c r="J49" s="727">
        <f t="shared" si="9"/>
        <v>0</v>
      </c>
      <c r="M49" s="2"/>
      <c r="R49" s="903"/>
      <c r="S49" s="903"/>
      <c r="T49" s="913"/>
      <c r="U49" s="913"/>
      <c r="V49" s="182" t="s">
        <v>61</v>
      </c>
      <c r="W49" s="239">
        <v>253</v>
      </c>
      <c r="X49" s="134">
        <f t="shared" si="10"/>
        <v>6685</v>
      </c>
      <c r="Y49" s="269">
        <f t="shared" si="11"/>
        <v>0</v>
      </c>
    </row>
    <row r="50" spans="1:25" ht="15.75" customHeight="1" thickBot="1" x14ac:dyDescent="0.3">
      <c r="A50" s="912" t="s">
        <v>62</v>
      </c>
      <c r="B50" s="912"/>
      <c r="C50" s="585">
        <f>SUM(C41:C49)</f>
        <v>40.130000000000003</v>
      </c>
      <c r="D50" s="585">
        <f>SUM(D41:D49)</f>
        <v>0</v>
      </c>
      <c r="E50" s="956">
        <f>SUM(E41:E49)</f>
        <v>80.260000000000005</v>
      </c>
      <c r="F50" s="956"/>
      <c r="G50" s="912" t="s">
        <v>63</v>
      </c>
      <c r="H50" s="912"/>
      <c r="I50" s="912"/>
      <c r="J50" s="276">
        <f>SUM(J41:J49)</f>
        <v>86052.1</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386.84000000000003</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1.8619999999999999E-3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381.55130000000003</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1.725E-3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386.84000000000003</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2.1619999999999999E-3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386.84000000000003</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1.8649999999999999E-3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386.84000000000003</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2.166E-3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1.8649999999999999E-3</v>
      </c>
      <c r="J68" s="138">
        <f>ROUND(G68*I68,2)</f>
        <v>85099.19</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2">ROUND(V69*X69,2)</f>
        <v>0</v>
      </c>
    </row>
    <row r="70" spans="1:26" ht="17.25" customHeight="1" x14ac:dyDescent="0.25">
      <c r="A70" s="948" t="s">
        <v>83</v>
      </c>
      <c r="B70" s="948"/>
      <c r="C70" s="948"/>
      <c r="D70" s="948"/>
      <c r="E70" s="948"/>
      <c r="F70" s="248" t="s">
        <v>84</v>
      </c>
      <c r="G70" s="277">
        <f>'0040'!G70</f>
        <v>0</v>
      </c>
      <c r="H70" s="223" t="s">
        <v>81</v>
      </c>
      <c r="I70" s="41">
        <f>I54</f>
        <v>1.8619999999999999E-3</v>
      </c>
      <c r="J70" s="138">
        <f>ROUND(G70*I70,2)</f>
        <v>0</v>
      </c>
      <c r="M70" s="2"/>
      <c r="R70" s="862" t="s">
        <v>163</v>
      </c>
      <c r="S70" s="862"/>
      <c r="T70" s="862"/>
      <c r="U70" s="253"/>
      <c r="V70" s="193">
        <f>G71</f>
        <v>18934058</v>
      </c>
      <c r="W70" s="239" t="s">
        <v>81</v>
      </c>
      <c r="X70" s="176">
        <f>X65</f>
        <v>0</v>
      </c>
      <c r="Y70" s="266">
        <f t="shared" si="12"/>
        <v>0</v>
      </c>
    </row>
    <row r="71" spans="1:26" ht="19.5" customHeight="1" x14ac:dyDescent="0.25">
      <c r="A71" s="898" t="s">
        <v>85</v>
      </c>
      <c r="B71" s="898"/>
      <c r="C71" s="898"/>
      <c r="D71" s="898"/>
      <c r="E71" s="898"/>
      <c r="F71" s="248" t="s">
        <v>86</v>
      </c>
      <c r="G71" s="277">
        <f>'0040'!G71</f>
        <v>18934058</v>
      </c>
      <c r="H71" s="223" t="s">
        <v>81</v>
      </c>
      <c r="I71" s="41">
        <f>I66</f>
        <v>2.166E-3</v>
      </c>
      <c r="J71" s="138">
        <f>ROUND(G71*I71,2)</f>
        <v>41011.17</v>
      </c>
      <c r="M71" s="2"/>
      <c r="R71" s="240" t="s">
        <v>164</v>
      </c>
      <c r="S71" s="240"/>
      <c r="T71" s="240"/>
      <c r="U71" s="253"/>
      <c r="V71" s="171">
        <f>G72</f>
        <v>11300012</v>
      </c>
      <c r="W71" s="239" t="s">
        <v>81</v>
      </c>
      <c r="X71" s="176">
        <f>X59</f>
        <v>0</v>
      </c>
      <c r="Y71" s="266">
        <f t="shared" si="12"/>
        <v>0</v>
      </c>
    </row>
    <row r="72" spans="1:26" ht="19.5" customHeight="1" x14ac:dyDescent="0.25">
      <c r="A72" s="235" t="s">
        <v>87</v>
      </c>
      <c r="B72" s="235"/>
      <c r="C72" s="235"/>
      <c r="D72" s="235"/>
      <c r="E72" s="235"/>
      <c r="F72" s="248" t="s">
        <v>88</v>
      </c>
      <c r="G72" s="277">
        <f>'0040'!G72</f>
        <v>11300012</v>
      </c>
      <c r="H72" s="223" t="s">
        <v>81</v>
      </c>
      <c r="I72" s="41">
        <f>I60</f>
        <v>2.1619999999999999E-3</v>
      </c>
      <c r="J72" s="138">
        <f>ROUND(G72*I72,2)</f>
        <v>24430.63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v>4.25</v>
      </c>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4.25</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8" t="s">
        <v>101</v>
      </c>
      <c r="B84" s="868"/>
      <c r="C84" s="868"/>
      <c r="D84" s="230"/>
      <c r="G84" s="277">
        <f>'0040'!G84</f>
        <v>58502790</v>
      </c>
      <c r="H84" s="223" t="s">
        <v>81</v>
      </c>
      <c r="I84" s="41">
        <f>IFERROR(ROUND(J81/J82,6),0)</f>
        <v>3.2899999999999997E-4</v>
      </c>
      <c r="J84" s="728">
        <f>ROUND(G84*I84,2)</f>
        <v>19247.419999999998</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1.725E-3</v>
      </c>
      <c r="J85" s="728">
        <f>ROUND(G85*I85,2)</f>
        <v>463708.08</v>
      </c>
      <c r="K85" s="70"/>
      <c r="L85" s="70"/>
      <c r="M85" s="71"/>
      <c r="N85" s="70"/>
      <c r="O85" s="70"/>
      <c r="P85" s="70"/>
      <c r="Q85" s="70"/>
      <c r="R85" s="862" t="s">
        <v>168</v>
      </c>
      <c r="S85" s="862"/>
      <c r="T85" s="862"/>
      <c r="U85" s="253"/>
      <c r="V85" s="171">
        <f>G85</f>
        <v>268816278</v>
      </c>
      <c r="W85" s="239" t="s">
        <v>81</v>
      </c>
      <c r="X85" s="176">
        <f>X56</f>
        <v>0</v>
      </c>
      <c r="Y85" s="266">
        <f t="shared" ref="Y85:Y87" si="13">ROUND(V85*X85,2)</f>
        <v>0</v>
      </c>
    </row>
    <row r="86" spans="1:26" ht="14.25" customHeight="1" x14ac:dyDescent="0.25">
      <c r="A86" s="898" t="s">
        <v>104</v>
      </c>
      <c r="B86" s="898"/>
      <c r="C86" s="898"/>
      <c r="D86" s="898"/>
      <c r="E86" s="898"/>
      <c r="F86" s="248" t="s">
        <v>103</v>
      </c>
      <c r="G86" s="139">
        <v>0</v>
      </c>
      <c r="H86" s="223" t="s">
        <v>81</v>
      </c>
      <c r="I86" s="41">
        <f>I57</f>
        <v>1.725E-3</v>
      </c>
      <c r="J86" s="728">
        <f>ROUND(G86*I86,2)</f>
        <v>0</v>
      </c>
      <c r="K86" s="70"/>
      <c r="L86" s="71"/>
      <c r="M86" s="76"/>
      <c r="N86" s="76"/>
      <c r="O86" s="76"/>
      <c r="P86" s="76"/>
      <c r="Q86" s="70"/>
      <c r="R86" s="862" t="s">
        <v>169</v>
      </c>
      <c r="S86" s="862"/>
      <c r="T86" s="862"/>
      <c r="U86" s="253"/>
      <c r="V86" s="203">
        <f>G86</f>
        <v>0</v>
      </c>
      <c r="W86" s="239" t="s">
        <v>81</v>
      </c>
      <c r="X86" s="176">
        <f>X56</f>
        <v>0</v>
      </c>
      <c r="Y86" s="266">
        <f t="shared" si="13"/>
        <v>0</v>
      </c>
    </row>
    <row r="87" spans="1:26" ht="18" customHeight="1" x14ac:dyDescent="0.25">
      <c r="A87" s="898" t="s">
        <v>105</v>
      </c>
      <c r="B87" s="898"/>
      <c r="C87" s="898"/>
      <c r="D87" s="898"/>
      <c r="E87" s="898"/>
      <c r="F87" s="248" t="s">
        <v>84</v>
      </c>
      <c r="G87" s="139">
        <v>0</v>
      </c>
      <c r="H87" s="223" t="s">
        <v>81</v>
      </c>
      <c r="I87" s="41">
        <f>I54</f>
        <v>1.8619999999999999E-3</v>
      </c>
      <c r="J87" s="728">
        <f>ROUND(G87*I87,2)</f>
        <v>0</v>
      </c>
      <c r="K87" s="77"/>
      <c r="L87" s="70"/>
      <c r="M87" s="71"/>
      <c r="N87" s="70"/>
      <c r="O87" s="70"/>
      <c r="P87" s="70"/>
      <c r="Q87" s="70"/>
      <c r="R87" s="240" t="s">
        <v>170</v>
      </c>
      <c r="S87" s="240"/>
      <c r="T87" s="240"/>
      <c r="U87" s="253"/>
      <c r="V87" s="203">
        <f>G87</f>
        <v>0</v>
      </c>
      <c r="W87" s="239" t="s">
        <v>81</v>
      </c>
      <c r="X87" s="176">
        <f>X53</f>
        <v>0</v>
      </c>
      <c r="Y87" s="266">
        <f t="shared" si="13"/>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727">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15.132</v>
      </c>
      <c r="C91" s="245"/>
      <c r="D91" s="869">
        <f>I6</f>
        <v>1.0355000000000001</v>
      </c>
      <c r="E91" s="869"/>
      <c r="F91" s="869"/>
      <c r="G91" s="122">
        <f>'[1]Detail 2025-26 FEFP Second'!AC3</f>
        <v>915.09</v>
      </c>
      <c r="H91" s="47" t="s">
        <v>68</v>
      </c>
      <c r="I91" s="727">
        <f>ROUND(B91*D91*G91,2)</f>
        <v>14338.72</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366.41929999999996</v>
      </c>
      <c r="C92" s="109"/>
      <c r="D92" s="869">
        <f>I6</f>
        <v>1.0355000000000001</v>
      </c>
      <c r="E92" s="869"/>
      <c r="F92" s="869"/>
      <c r="G92" s="122">
        <f>'[1]Detail 2025-26 FEFP Second'!AD3</f>
        <v>917.3</v>
      </c>
      <c r="H92" s="47" t="s">
        <v>68</v>
      </c>
      <c r="I92" s="727">
        <f>ROUND(B92*D92*G92,2)</f>
        <v>348048.56</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381.55129999999997</v>
      </c>
      <c r="C93" s="109"/>
      <c r="D93" s="109"/>
      <c r="E93" s="939" t="s">
        <v>112</v>
      </c>
      <c r="F93" s="939"/>
      <c r="G93" s="939"/>
      <c r="H93" s="939"/>
      <c r="I93" s="939"/>
      <c r="J93" s="127">
        <f>IF(A1=75,0,I92+I91+I90)</f>
        <v>362387.27999999997</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240</v>
      </c>
      <c r="D97" s="279">
        <v>0</v>
      </c>
      <c r="E97" s="988">
        <f>(C97+D97)</f>
        <v>240</v>
      </c>
      <c r="F97" s="942"/>
      <c r="G97" s="942"/>
      <c r="H97" s="224" t="s">
        <v>117</v>
      </c>
      <c r="I97" s="130">
        <f>'0040'!I97</f>
        <v>586</v>
      </c>
      <c r="J97" s="138">
        <f>ROUND(I97*E97,2)</f>
        <v>140640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3345270.64</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3177390.04</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3177390.04</v>
      </c>
      <c r="J114" s="296">
        <f>ROUND(IF(E28=0,0,IF(E28&gt;250,-(((250/E28)*I114)*IF(H114="H",0.02,0.05)),IF(H114="H",-0.02*I114,-0.05*I114))),2)</f>
        <v>-102671.33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3242599.31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Payments'!R94</f>
        <v>-2116499.5599999996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1126099.7500000005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225219.95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56198.17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8BF-EA8A-4C5D-89D0-AC1F2BF608C9}">
  <dimension ref="A1:Z207"/>
  <sheetViews>
    <sheetView topLeftCell="A100" workbookViewId="0">
      <selection activeCell="C46" sqref="C4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452</v>
      </c>
      <c r="B2" s="102"/>
      <c r="C2" s="102"/>
      <c r="D2" s="102"/>
      <c r="E2" s="100"/>
      <c r="F2" s="100"/>
      <c r="G2" s="100"/>
      <c r="H2" s="100"/>
      <c r="I2" s="100"/>
      <c r="J2" s="100"/>
      <c r="K2" s="6"/>
      <c r="L2" s="6"/>
      <c r="M2" s="6"/>
      <c r="N2" s="6"/>
      <c r="O2" s="6"/>
      <c r="P2" s="6"/>
      <c r="Q2" s="6"/>
      <c r="R2" s="875" t="str">
        <f>Revenue_Estimate_Worksheet_for___________Charter_School</f>
        <v>Revenue Estimate Worksheet: Somerset Academy Boca East - 3413</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Second'!$C$1:$C$65536,MATCH('3413'!$A$1,'[1]Detail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Second'!$D$1:$D$65536,MATCH('3413'!$A$1,'[1]Detail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96.41</v>
      </c>
      <c r="D12" s="411">
        <v>0</v>
      </c>
      <c r="E12" s="980">
        <f t="shared" ref="E12:E27" si="0">IF($D$28=0,C12*2,C12+D12)</f>
        <v>192.82</v>
      </c>
      <c r="F12" s="980"/>
      <c r="G12" s="981">
        <v>1.1080000000000001</v>
      </c>
      <c r="H12" s="981"/>
      <c r="I12" s="578">
        <f>ROUND(E12*G12,4)</f>
        <v>213.6446</v>
      </c>
      <c r="J12" s="579">
        <f t="shared" ref="J12:J27" si="1">ROUND(ROUND(ROUND(I12*$E$6,4)*($I$6),2)*(MAX($I$7,1)),2)</f>
        <v>1188574.8400000001</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22.5</v>
      </c>
      <c r="D13" s="415">
        <v>0</v>
      </c>
      <c r="E13" s="967">
        <f t="shared" si="0"/>
        <v>45</v>
      </c>
      <c r="F13" s="967"/>
      <c r="G13" s="968">
        <v>1.1080000000000001</v>
      </c>
      <c r="H13" s="968"/>
      <c r="I13" s="578">
        <f t="shared" ref="I13:I27" si="2">ROUND(E13*G13,4)</f>
        <v>49.86</v>
      </c>
      <c r="J13" s="579">
        <f t="shared" si="1"/>
        <v>277387.5</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44.74</v>
      </c>
      <c r="D14" s="415">
        <v>0</v>
      </c>
      <c r="E14" s="967">
        <f t="shared" si="0"/>
        <v>89.48</v>
      </c>
      <c r="F14" s="967"/>
      <c r="G14" s="968">
        <v>1</v>
      </c>
      <c r="H14" s="968"/>
      <c r="I14" s="578">
        <f t="shared" si="2"/>
        <v>89.48</v>
      </c>
      <c r="J14" s="579">
        <f>ROUND(ROUND(ROUND(I14*$E$6,4)*($I$6),2)*(MAX($I$7,1)),2)</f>
        <v>497806.53</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18</v>
      </c>
      <c r="D15" s="415">
        <v>0</v>
      </c>
      <c r="E15" s="967">
        <f t="shared" si="0"/>
        <v>36</v>
      </c>
      <c r="F15" s="967"/>
      <c r="G15" s="968">
        <v>1</v>
      </c>
      <c r="H15" s="968"/>
      <c r="I15" s="578">
        <f t="shared" si="2"/>
        <v>36</v>
      </c>
      <c r="J15" s="579">
        <f t="shared" si="1"/>
        <v>200279.78</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12.090000000000002</v>
      </c>
      <c r="D24" s="415">
        <v>0</v>
      </c>
      <c r="E24" s="967">
        <f t="shared" si="0"/>
        <v>24.180000000000003</v>
      </c>
      <c r="F24" s="967"/>
      <c r="G24" s="968">
        <v>1.165</v>
      </c>
      <c r="H24" s="968"/>
      <c r="I24" s="578">
        <f t="shared" si="2"/>
        <v>28.169699999999999</v>
      </c>
      <c r="J24" s="579">
        <f t="shared" si="1"/>
        <v>156717.26</v>
      </c>
      <c r="M24" s="2"/>
      <c r="R24" s="860" t="s">
        <v>32</v>
      </c>
      <c r="S24" s="860"/>
      <c r="T24" s="891">
        <f t="shared" si="3"/>
        <v>0</v>
      </c>
      <c r="U24" s="891"/>
      <c r="V24" s="896">
        <v>1</v>
      </c>
      <c r="W24" s="896"/>
      <c r="X24" s="156">
        <f t="shared" si="4"/>
        <v>0</v>
      </c>
      <c r="Y24" s="266">
        <f t="shared" si="6"/>
        <v>0</v>
      </c>
    </row>
    <row r="25" spans="1:25" x14ac:dyDescent="0.25">
      <c r="A25" s="861" t="s">
        <v>33</v>
      </c>
      <c r="B25" s="861"/>
      <c r="C25" s="415">
        <v>2.02</v>
      </c>
      <c r="D25" s="415">
        <v>0</v>
      </c>
      <c r="E25" s="967">
        <f t="shared" si="0"/>
        <v>4.04</v>
      </c>
      <c r="F25" s="967"/>
      <c r="G25" s="968">
        <v>1.165</v>
      </c>
      <c r="H25" s="968"/>
      <c r="I25" s="578">
        <f t="shared" si="2"/>
        <v>4.7065999999999999</v>
      </c>
      <c r="J25" s="579">
        <f t="shared" si="1"/>
        <v>26184.36</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195.76000000000002</v>
      </c>
      <c r="D28" s="126">
        <f>SUM(D12:D27)</f>
        <v>0</v>
      </c>
      <c r="E28" s="966">
        <f>SUM(E12:E27)</f>
        <v>391.52000000000004</v>
      </c>
      <c r="F28" s="966"/>
      <c r="G28" s="961"/>
      <c r="H28" s="961"/>
      <c r="I28" s="23">
        <f>SUM(I12:I27)</f>
        <v>421.86089999999996</v>
      </c>
      <c r="J28" s="127">
        <f>SUM(J12:J27)</f>
        <v>2346950.27</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421.86089999999996</v>
      </c>
      <c r="H33" s="961" t="s">
        <v>45</v>
      </c>
      <c r="I33" s="961"/>
      <c r="J33" s="32">
        <f>SUM(J32,J28)</f>
        <v>2346950.27</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2338036.14</v>
      </c>
      <c r="H36" s="223" t="s">
        <v>49</v>
      </c>
      <c r="I36" s="38">
        <v>6.6699999999999995E-2</v>
      </c>
      <c r="J36" s="131">
        <f>ROUND(G36*I36,2)</f>
        <v>155947.01</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2338036.14</v>
      </c>
      <c r="H37" s="223" t="s">
        <v>49</v>
      </c>
      <c r="I37" s="38">
        <v>5.4000000000000003E-3</v>
      </c>
      <c r="J37" s="131">
        <f>ROUND(G37*I37,2)</f>
        <v>12625.4</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168572.41</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21.5</v>
      </c>
      <c r="D41" s="415">
        <v>0</v>
      </c>
      <c r="E41" s="954">
        <f t="shared" ref="E41:E49" si="7">IF($D$50=0,C41*2,C41+D41)</f>
        <v>43</v>
      </c>
      <c r="F41" s="954"/>
      <c r="G41" s="223" t="s">
        <v>59</v>
      </c>
      <c r="H41" s="223">
        <v>251</v>
      </c>
      <c r="I41" s="136">
        <f>INDEX('[1]111-112-113 ADDITIONAL FUND'!D$1:D$65536,MATCH($A$1,'[1]111-112-113 ADDITIONAL FUND'!A$1:A$65536))</f>
        <v>1047</v>
      </c>
      <c r="J41" s="727">
        <f t="shared" ref="J41:J49" si="8">ROUND(E41*I41,2)</f>
        <v>45021</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1</v>
      </c>
      <c r="D42" s="415">
        <v>0</v>
      </c>
      <c r="E42" s="954">
        <f t="shared" si="7"/>
        <v>2</v>
      </c>
      <c r="F42" s="954"/>
      <c r="G42" s="223" t="s">
        <v>59</v>
      </c>
      <c r="H42" s="223">
        <v>252</v>
      </c>
      <c r="I42" s="136">
        <f>INDEX('[1]111-112-113 ADDITIONAL FUND'!E$1:E$65536,MATCH($A$1,'[1]111-112-113 ADDITIONAL FUND'!A$1:A$65536))</f>
        <v>3380</v>
      </c>
      <c r="J42" s="727">
        <f t="shared" si="8"/>
        <v>6760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16.46</v>
      </c>
      <c r="D44" s="415">
        <v>0</v>
      </c>
      <c r="E44" s="954">
        <f t="shared" si="7"/>
        <v>32.92</v>
      </c>
      <c r="F44" s="954"/>
      <c r="G44" s="47" t="s">
        <v>60</v>
      </c>
      <c r="H44" s="223">
        <v>251</v>
      </c>
      <c r="I44" s="136">
        <f>INDEX('[1]111-112-113 ADDITIONAL FUND'!G$1:G$65536,MATCH($A$1,'[1]111-112-113 ADDITIONAL FUND'!A$1:A$65536))</f>
        <v>1173</v>
      </c>
      <c r="J44" s="727">
        <f t="shared" si="8"/>
        <v>38615.160000000003</v>
      </c>
      <c r="L44" s="3"/>
      <c r="M44" s="2"/>
      <c r="Q44" s="4"/>
      <c r="R44" s="903"/>
      <c r="S44" s="903"/>
      <c r="T44" s="905"/>
      <c r="U44" s="905"/>
      <c r="V44" s="182" t="s">
        <v>60</v>
      </c>
      <c r="W44" s="239">
        <v>251</v>
      </c>
      <c r="X44" s="134">
        <f t="shared" si="9"/>
        <v>1173</v>
      </c>
      <c r="Y44" s="269">
        <f t="shared" si="10"/>
        <v>0</v>
      </c>
    </row>
    <row r="45" spans="1:25" x14ac:dyDescent="0.25">
      <c r="A45" s="960"/>
      <c r="B45" s="960"/>
      <c r="C45" s="415">
        <v>1.54</v>
      </c>
      <c r="D45" s="415">
        <v>0</v>
      </c>
      <c r="E45" s="954">
        <f t="shared" si="7"/>
        <v>3.08</v>
      </c>
      <c r="F45" s="954"/>
      <c r="G45" s="47" t="s">
        <v>60</v>
      </c>
      <c r="H45" s="223">
        <v>252</v>
      </c>
      <c r="I45" s="136">
        <f>INDEX('[1]111-112-113 ADDITIONAL FUND'!H$1:H$65536,MATCH($A$1,'[1]111-112-113 ADDITIONAL FUND'!A$1:A$65536))</f>
        <v>3506</v>
      </c>
      <c r="J45" s="727">
        <f t="shared" si="8"/>
        <v>10798.48</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40.5</v>
      </c>
      <c r="D50" s="585">
        <f>SUM(D41:D49)</f>
        <v>0</v>
      </c>
      <c r="E50" s="956">
        <f>SUM(E41:E49)</f>
        <v>81</v>
      </c>
      <c r="F50" s="956"/>
      <c r="G50" s="912" t="s">
        <v>63</v>
      </c>
      <c r="H50" s="912"/>
      <c r="I50" s="912"/>
      <c r="J50" s="276">
        <f>SUM(J41:J49)</f>
        <v>101194.64</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391.52000000000004</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1.884E-3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421.86089999999996</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1.9070000000000001E-3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391.52000000000004</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2.1879999999999998E-3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391.52000000000004</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1.887E-3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391.52000000000004</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2.1919999999999999E-3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1.887E-3</v>
      </c>
      <c r="J68" s="138">
        <f>ROUND(G68*I68,2)</f>
        <v>86103.039999999994</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1.884E-3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2.1919999999999999E-3</v>
      </c>
      <c r="J71" s="138">
        <f>ROUND(G71*I71,2)</f>
        <v>41503.46</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2.1879999999999998E-3</v>
      </c>
      <c r="J72" s="138">
        <f>ROUND(G72*I72,2)</f>
        <v>24724.43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1.9070000000000001E-3</v>
      </c>
      <c r="J85" s="138">
        <f>ROUND(G85*I85,2)</f>
        <v>512632.64</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1.9070000000000001E-3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1.884E-3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291.67429999999996</v>
      </c>
      <c r="C90" s="245"/>
      <c r="D90" s="869">
        <f>I6</f>
        <v>1.0355000000000001</v>
      </c>
      <c r="E90" s="869"/>
      <c r="F90" s="869"/>
      <c r="G90" s="122">
        <f>'[1]Detail 2025-26 FEFP Second'!AB3</f>
        <v>958.42</v>
      </c>
      <c r="H90" s="47" t="s">
        <v>68</v>
      </c>
      <c r="I90" s="141">
        <f>ROUND(B90*D90*G90,2)</f>
        <v>289470.38</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130.1866</v>
      </c>
      <c r="C91" s="245"/>
      <c r="D91" s="869">
        <f>I6</f>
        <v>1.0355000000000001</v>
      </c>
      <c r="E91" s="869"/>
      <c r="F91" s="869"/>
      <c r="G91" s="122">
        <f>'[1]Detail 2025-26 FEFP Second'!AC3</f>
        <v>915.09</v>
      </c>
      <c r="H91" s="47" t="s">
        <v>68</v>
      </c>
      <c r="I91" s="140">
        <f>ROUND(B91*D91*G91,2)</f>
        <v>123361.66</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421.86089999999996</v>
      </c>
      <c r="C93" s="109"/>
      <c r="D93" s="109"/>
      <c r="E93" s="939" t="s">
        <v>112</v>
      </c>
      <c r="F93" s="939"/>
      <c r="G93" s="939"/>
      <c r="H93" s="939"/>
      <c r="I93" s="939"/>
      <c r="J93" s="127">
        <f>IF(A1=75,0,I92+I91+I90)</f>
        <v>412832.04000000004</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3525940.5200000005</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3357368.1100000003</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t="s">
        <v>432</v>
      </c>
      <c r="I114" s="295">
        <f>IF(I111=1,J111,J109)</f>
        <v>3357368.1100000003</v>
      </c>
      <c r="J114" s="296">
        <f>ROUND(IF(E28=0,0,IF(E28&gt;250,-(((250/E28)*I114)*IF(H114="H",0.02,0.05)),IF(H114="H",-0.02*I114,-0.05*I114))),2)</f>
        <v>-42876.07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3483064.4500000007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Payments'!R95</f>
        <v>-2004586.2800000003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1478478.1700000004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295695.63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24271.29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0756-2051-49F0-B360-298BAF76413B}">
  <dimension ref="A1:Z207"/>
  <sheetViews>
    <sheetView topLeftCell="A109"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453</v>
      </c>
      <c r="B2" s="102"/>
      <c r="C2" s="102"/>
      <c r="D2" s="102"/>
      <c r="E2" s="100"/>
      <c r="F2" s="100"/>
      <c r="G2" s="100"/>
      <c r="H2" s="100"/>
      <c r="I2" s="100"/>
      <c r="J2" s="100"/>
      <c r="K2" s="6"/>
      <c r="L2" s="6"/>
      <c r="M2" s="6"/>
      <c r="N2" s="6"/>
      <c r="O2" s="6"/>
      <c r="P2" s="6"/>
      <c r="Q2" s="6"/>
      <c r="R2" s="875" t="str">
        <f>Revenue_Estimate_Worksheet_for___________Charter_School</f>
        <v>Revenue Estimate Worksheet: Worthington High School - 3421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Second'!$C$1:$C$65536,MATCH('3421'!$A$1,'[1]Detail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Second'!$D$1:$D$65536,MATCH('3421'!$A$1,'[1]Detail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2.5</v>
      </c>
      <c r="D14" s="415">
        <v>0</v>
      </c>
      <c r="E14" s="967">
        <f t="shared" si="0"/>
        <v>5</v>
      </c>
      <c r="F14" s="967"/>
      <c r="G14" s="968">
        <v>1</v>
      </c>
      <c r="H14" s="968"/>
      <c r="I14" s="578">
        <f t="shared" si="2"/>
        <v>5</v>
      </c>
      <c r="J14" s="579">
        <f>ROUND(ROUND(ROUND(I14*$E$6,4)*($I$6),2)*(MAX($I$7,1)),2)</f>
        <v>27816.639999999999</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1</v>
      </c>
      <c r="D15" s="415">
        <v>0</v>
      </c>
      <c r="E15" s="967">
        <f t="shared" si="0"/>
        <v>2</v>
      </c>
      <c r="F15" s="967"/>
      <c r="G15" s="968">
        <v>1</v>
      </c>
      <c r="H15" s="968"/>
      <c r="I15" s="578">
        <f t="shared" si="2"/>
        <v>2</v>
      </c>
      <c r="J15" s="579">
        <f t="shared" si="1"/>
        <v>11126.65</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220.27</v>
      </c>
      <c r="D16" s="415">
        <v>0</v>
      </c>
      <c r="E16" s="967">
        <f t="shared" si="0"/>
        <v>440.54</v>
      </c>
      <c r="F16" s="967"/>
      <c r="G16" s="968">
        <v>0.97199999999999998</v>
      </c>
      <c r="H16" s="968"/>
      <c r="I16" s="578">
        <f t="shared" si="2"/>
        <v>428.20490000000001</v>
      </c>
      <c r="J16" s="579">
        <f t="shared" si="1"/>
        <v>2382244.0099999998</v>
      </c>
      <c r="M16" s="2"/>
      <c r="R16" s="860" t="s">
        <v>24</v>
      </c>
      <c r="S16" s="860"/>
      <c r="T16" s="891">
        <f t="shared" si="3"/>
        <v>0</v>
      </c>
      <c r="U16" s="891"/>
      <c r="V16" s="896">
        <v>1</v>
      </c>
      <c r="W16" s="896"/>
      <c r="X16" s="156">
        <f t="shared" si="4"/>
        <v>0</v>
      </c>
      <c r="Y16" s="266">
        <f t="shared" si="6"/>
        <v>0</v>
      </c>
    </row>
    <row r="17" spans="1:25" x14ac:dyDescent="0.25">
      <c r="A17" s="861" t="s">
        <v>25</v>
      </c>
      <c r="B17" s="861"/>
      <c r="C17" s="415">
        <v>48.76</v>
      </c>
      <c r="D17" s="415">
        <v>0</v>
      </c>
      <c r="E17" s="967">
        <f t="shared" si="0"/>
        <v>97.52</v>
      </c>
      <c r="F17" s="967"/>
      <c r="G17" s="968">
        <v>0.97199999999999998</v>
      </c>
      <c r="H17" s="968"/>
      <c r="I17" s="578">
        <f t="shared" si="2"/>
        <v>94.789400000000001</v>
      </c>
      <c r="J17" s="579">
        <f t="shared" si="1"/>
        <v>527344.46</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5.0999999999999996</v>
      </c>
      <c r="D26" s="415">
        <v>0</v>
      </c>
      <c r="E26" s="967">
        <f t="shared" si="0"/>
        <v>10.199999999999999</v>
      </c>
      <c r="F26" s="967"/>
      <c r="G26" s="968">
        <v>1.165</v>
      </c>
      <c r="H26" s="968"/>
      <c r="I26" s="578">
        <f t="shared" si="2"/>
        <v>11.882999999999999</v>
      </c>
      <c r="J26" s="579">
        <f t="shared" si="1"/>
        <v>66109.02</v>
      </c>
      <c r="M26" s="2"/>
      <c r="R26" s="860" t="s">
        <v>34</v>
      </c>
      <c r="S26" s="860"/>
      <c r="T26" s="891">
        <f t="shared" si="3"/>
        <v>0</v>
      </c>
      <c r="U26" s="891"/>
      <c r="V26" s="896">
        <v>1</v>
      </c>
      <c r="W26" s="896"/>
      <c r="X26" s="156">
        <f t="shared" si="4"/>
        <v>0</v>
      </c>
      <c r="Y26" s="266">
        <f t="shared" si="6"/>
        <v>0</v>
      </c>
    </row>
    <row r="27" spans="1:25" x14ac:dyDescent="0.25">
      <c r="A27" s="866" t="s">
        <v>35</v>
      </c>
      <c r="B27" s="866"/>
      <c r="C27" s="416">
        <v>4.57</v>
      </c>
      <c r="D27" s="416">
        <v>0</v>
      </c>
      <c r="E27" s="963">
        <f t="shared" si="0"/>
        <v>9.14</v>
      </c>
      <c r="F27" s="963"/>
      <c r="G27" s="964">
        <v>1.081</v>
      </c>
      <c r="H27" s="964"/>
      <c r="I27" s="22">
        <f t="shared" si="2"/>
        <v>9.8803000000000001</v>
      </c>
      <c r="J27" s="127">
        <f t="shared" si="1"/>
        <v>54967.34</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282.20000000000005</v>
      </c>
      <c r="D28" s="126">
        <f>SUM(D12:D27)</f>
        <v>0</v>
      </c>
      <c r="E28" s="966">
        <f>SUM(E12:E27)</f>
        <v>564.40000000000009</v>
      </c>
      <c r="F28" s="966"/>
      <c r="G28" s="961"/>
      <c r="H28" s="961"/>
      <c r="I28" s="23">
        <f>SUM(I12:I27)</f>
        <v>551.75760000000014</v>
      </c>
      <c r="J28" s="127">
        <f>SUM(J12:J27)</f>
        <v>3069608.1199999996</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551.75760000000014</v>
      </c>
      <c r="H33" s="961" t="s">
        <v>45</v>
      </c>
      <c r="I33" s="961"/>
      <c r="J33" s="32">
        <f>SUM(J32,J28)</f>
        <v>3069608.1199999996</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2604265.27</v>
      </c>
      <c r="H36" s="223" t="s">
        <v>49</v>
      </c>
      <c r="I36" s="38">
        <v>6.6699999999999995E-2</v>
      </c>
      <c r="J36" s="131">
        <f>ROUND(G36*I36,2)</f>
        <v>173704.49</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2604265.27</v>
      </c>
      <c r="H37" s="223" t="s">
        <v>49</v>
      </c>
      <c r="I37" s="38">
        <v>5.4000000000000003E-3</v>
      </c>
      <c r="J37" s="131">
        <f>ROUND(G37*I37,2)</f>
        <v>14063.03</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187767.52</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727">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727">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1</v>
      </c>
      <c r="D44" s="415">
        <v>0</v>
      </c>
      <c r="E44" s="954">
        <f t="shared" si="7"/>
        <v>2</v>
      </c>
      <c r="F44" s="954"/>
      <c r="G44" s="47" t="s">
        <v>60</v>
      </c>
      <c r="H44" s="223">
        <v>251</v>
      </c>
      <c r="I44" s="136">
        <f>INDEX('[1]111-112-113 ADDITIONAL FUND'!G$1:G$65536,MATCH($A$1,'[1]111-112-113 ADDITIONAL FUND'!A$1:A$65536))</f>
        <v>1173</v>
      </c>
      <c r="J44" s="727">
        <f t="shared" si="8"/>
        <v>2346</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727">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44.96</v>
      </c>
      <c r="D47" s="415">
        <v>0</v>
      </c>
      <c r="E47" s="954">
        <f t="shared" si="7"/>
        <v>89.92</v>
      </c>
      <c r="F47" s="954"/>
      <c r="G47" s="47" t="s">
        <v>61</v>
      </c>
      <c r="H47" s="223">
        <v>251</v>
      </c>
      <c r="I47" s="136">
        <f>INDEX('[1]111-112-113 ADDITIONAL FUND'!J$1:J$65536,MATCH($A$1,'[1]111-112-113 ADDITIONAL FUND'!A$1:A$65536))</f>
        <v>835</v>
      </c>
      <c r="J47" s="727">
        <f t="shared" si="8"/>
        <v>75083.199999999997</v>
      </c>
      <c r="M47" s="2"/>
      <c r="R47" s="903"/>
      <c r="S47" s="903"/>
      <c r="T47" s="905"/>
      <c r="U47" s="905"/>
      <c r="V47" s="182" t="s">
        <v>61</v>
      </c>
      <c r="W47" s="239">
        <v>251</v>
      </c>
      <c r="X47" s="134">
        <f t="shared" si="9"/>
        <v>835</v>
      </c>
      <c r="Y47" s="269">
        <f t="shared" si="10"/>
        <v>0</v>
      </c>
    </row>
    <row r="48" spans="1:25" ht="15.75" customHeight="1" x14ac:dyDescent="0.25">
      <c r="A48" s="960"/>
      <c r="B48" s="960"/>
      <c r="C48" s="415">
        <v>3.8</v>
      </c>
      <c r="D48" s="415">
        <v>0</v>
      </c>
      <c r="E48" s="954">
        <f t="shared" si="7"/>
        <v>7.6</v>
      </c>
      <c r="F48" s="954"/>
      <c r="G48" s="47" t="s">
        <v>61</v>
      </c>
      <c r="H48" s="223">
        <v>252</v>
      </c>
      <c r="I48" s="136">
        <f>INDEX('[1]111-112-113 ADDITIONAL FUND'!K$1:K$65536,MATCH($A$1,'[1]111-112-113 ADDITIONAL FUND'!A$1:A$65536))</f>
        <v>3168</v>
      </c>
      <c r="J48" s="727">
        <f t="shared" si="8"/>
        <v>24076.799999999999</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49.76</v>
      </c>
      <c r="D50" s="585">
        <f>SUM(D41:D49)</f>
        <v>0</v>
      </c>
      <c r="E50" s="956">
        <f>SUM(E41:E49)</f>
        <v>99.52</v>
      </c>
      <c r="F50" s="956"/>
      <c r="G50" s="912" t="s">
        <v>63</v>
      </c>
      <c r="H50" s="912"/>
      <c r="I50" s="912"/>
      <c r="J50" s="276">
        <f>SUM(J41:J49)</f>
        <v>101506</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564.40000000000009</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2.7160000000000001E-3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551.75760000000014</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2.4949999999999998E-3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564.40000000000009</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3.1540000000000001E-3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564.40000000000009</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2.7200000000000002E-3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564.40000000000009</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3.16E-3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2.7200000000000002E-3</v>
      </c>
      <c r="J68" s="138">
        <f>ROUND(G68*I68,2)</f>
        <v>124112.49</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2.7160000000000001E-3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3.16E-3</v>
      </c>
      <c r="J71" s="138">
        <f>ROUND(G71*I71,2)</f>
        <v>59831.62</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3.1540000000000001E-3</v>
      </c>
      <c r="J72" s="138">
        <f>ROUND(G72*I72,2)</f>
        <v>35640.239999999998</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v>7.5</v>
      </c>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7.5</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5.8100000000000003E-4</v>
      </c>
      <c r="J84" s="728">
        <f>ROUND(G84*I84,2)</f>
        <v>33990.120000000003</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2.4949999999999998E-3</v>
      </c>
      <c r="J85" s="728">
        <f>ROUND(G85*I85,2)</f>
        <v>670696.61</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2.4949999999999998E-3</v>
      </c>
      <c r="J86" s="72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2.7160000000000001E-3</v>
      </c>
      <c r="J87" s="728">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727">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7</v>
      </c>
      <c r="C91" s="245"/>
      <c r="D91" s="869">
        <f>I6</f>
        <v>1.0355000000000001</v>
      </c>
      <c r="E91" s="869"/>
      <c r="F91" s="869"/>
      <c r="G91" s="122">
        <f>'[1]Detail 2025-26 FEFP Second'!AC3</f>
        <v>915.09</v>
      </c>
      <c r="H91" s="47" t="s">
        <v>68</v>
      </c>
      <c r="I91" s="727">
        <f>ROUND(B91*D91*G91,2)</f>
        <v>6633.03</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544.75760000000014</v>
      </c>
      <c r="C92" s="109"/>
      <c r="D92" s="869">
        <f>I6</f>
        <v>1.0355000000000001</v>
      </c>
      <c r="E92" s="869"/>
      <c r="F92" s="869"/>
      <c r="G92" s="122">
        <f>'[1]Detail 2025-26 FEFP Second'!AD3</f>
        <v>917.3</v>
      </c>
      <c r="H92" s="47" t="s">
        <v>68</v>
      </c>
      <c r="I92" s="727">
        <f>ROUND(B92*D92*G92,2)</f>
        <v>517445.71</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551.75760000000014</v>
      </c>
      <c r="C93" s="109"/>
      <c r="D93" s="109"/>
      <c r="E93" s="939" t="s">
        <v>112</v>
      </c>
      <c r="F93" s="939"/>
      <c r="G93" s="939"/>
      <c r="H93" s="939"/>
      <c r="I93" s="939"/>
      <c r="J93" s="127">
        <f>IF(A1=75,0,I92+I91+I90)</f>
        <v>524078.74000000005</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134</v>
      </c>
      <c r="D97" s="279">
        <v>0</v>
      </c>
      <c r="E97" s="988">
        <f>(C97+D97)</f>
        <v>134</v>
      </c>
      <c r="F97" s="942"/>
      <c r="G97" s="942"/>
      <c r="H97" s="224" t="s">
        <v>117</v>
      </c>
      <c r="I97" s="130">
        <f>'0040'!I97</f>
        <v>586</v>
      </c>
      <c r="J97" s="138">
        <f>ROUND(I97*E97,2)</f>
        <v>78524</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4697987.9400000004</v>
      </c>
      <c r="L107" s="576"/>
      <c r="R107" s="862" t="s">
        <v>125</v>
      </c>
      <c r="S107" s="862"/>
      <c r="T107" s="862"/>
      <c r="U107" s="862"/>
      <c r="V107" s="862"/>
      <c r="W107" s="862"/>
      <c r="X107" s="862"/>
      <c r="Y107" s="219">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4510220.4200000009</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4510220.4200000009</v>
      </c>
      <c r="J114" s="296">
        <f>ROUND(IF(E28=0,0,IF(E28&gt;250,-(((250/E28)*I114)*IF(H114="H",0.02,0.05)),IF(H114="H",-0.02*I114,-0.05*I114))),2)</f>
        <v>-99889.72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4598098.2200000007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Payments'!R96</f>
        <v>-2423458.16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2174640.0600000005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434928.01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125621.3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E536-2A1F-443E-BF1B-F59F5A21973D}">
  <dimension ref="A1:Z207"/>
  <sheetViews>
    <sheetView topLeftCell="A102" workbookViewId="0">
      <selection activeCell="C26" sqref="C2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454</v>
      </c>
      <c r="B2" s="102"/>
      <c r="C2" s="102"/>
      <c r="D2" s="102"/>
      <c r="E2" s="100"/>
      <c r="F2" s="100"/>
      <c r="G2" s="100"/>
      <c r="H2" s="100"/>
      <c r="I2" s="100"/>
      <c r="J2" s="100"/>
      <c r="K2" s="6"/>
      <c r="L2" s="6"/>
      <c r="M2" s="6"/>
      <c r="N2" s="6"/>
      <c r="O2" s="6"/>
      <c r="P2" s="6"/>
      <c r="Q2" s="6"/>
      <c r="R2" s="875" t="str">
        <f>Revenue_Estimate_Worksheet_for___________Charter_School</f>
        <v>Revenue Estimate Worksheet: Renaissance Charter School at West Palm Beach - 3431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Second'!$C$1:$C$65536,MATCH('3431'!$A$1,'[1]Detail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Second'!$D$1:$D$65536,MATCH('3431'!$A$1,'[1]Detail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185.53</v>
      </c>
      <c r="D12" s="411">
        <v>0</v>
      </c>
      <c r="E12" s="980">
        <f t="shared" ref="E12:E27" si="0">IF($D$28=0,C12*2,C12+D12)</f>
        <v>371.06</v>
      </c>
      <c r="F12" s="980"/>
      <c r="G12" s="981">
        <v>1.1080000000000001</v>
      </c>
      <c r="H12" s="981"/>
      <c r="I12" s="578">
        <f>ROUND(E12*G12,4)</f>
        <v>411.1345</v>
      </c>
      <c r="J12" s="579">
        <f t="shared" ref="J12:J27" si="1">ROUND(ROUND(ROUND(I12*$E$6,4)*($I$6),2)*(MAX($I$7,1)),2)</f>
        <v>2287275.79</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26.5</v>
      </c>
      <c r="D13" s="415">
        <v>0</v>
      </c>
      <c r="E13" s="967">
        <f t="shared" si="0"/>
        <v>53</v>
      </c>
      <c r="F13" s="967"/>
      <c r="G13" s="968">
        <v>1.1080000000000001</v>
      </c>
      <c r="H13" s="968"/>
      <c r="I13" s="578">
        <f t="shared" ref="I13:I27" si="2">ROUND(E13*G13,4)</f>
        <v>58.723999999999997</v>
      </c>
      <c r="J13" s="579">
        <f t="shared" si="1"/>
        <v>326700.83</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208.16</v>
      </c>
      <c r="D14" s="415">
        <v>0</v>
      </c>
      <c r="E14" s="967">
        <f t="shared" si="0"/>
        <v>416.32</v>
      </c>
      <c r="F14" s="967"/>
      <c r="G14" s="968">
        <v>1</v>
      </c>
      <c r="H14" s="968"/>
      <c r="I14" s="578">
        <f t="shared" si="2"/>
        <v>416.32</v>
      </c>
      <c r="J14" s="579">
        <f>ROUND(ROUND(ROUND(I14*$E$6,4)*($I$6),2)*(MAX($I$7,1)),2)</f>
        <v>2316124.42</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42.5</v>
      </c>
      <c r="D15" s="415">
        <v>0</v>
      </c>
      <c r="E15" s="967">
        <f t="shared" si="0"/>
        <v>85</v>
      </c>
      <c r="F15" s="967"/>
      <c r="G15" s="968">
        <v>1</v>
      </c>
      <c r="H15" s="968"/>
      <c r="I15" s="578">
        <f t="shared" si="2"/>
        <v>85</v>
      </c>
      <c r="J15" s="579">
        <f t="shared" si="1"/>
        <v>472882.82</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f>9.23+12.58+7.97+4.19</f>
        <v>33.97</v>
      </c>
      <c r="D24" s="415">
        <v>0</v>
      </c>
      <c r="E24" s="967">
        <f t="shared" si="0"/>
        <v>67.94</v>
      </c>
      <c r="F24" s="967"/>
      <c r="G24" s="968">
        <v>1.165</v>
      </c>
      <c r="H24" s="968"/>
      <c r="I24" s="578">
        <f t="shared" si="2"/>
        <v>79.150099999999995</v>
      </c>
      <c r="J24" s="579">
        <f t="shared" si="1"/>
        <v>440337.91</v>
      </c>
      <c r="M24" s="2"/>
      <c r="R24" s="860" t="s">
        <v>32</v>
      </c>
      <c r="S24" s="860"/>
      <c r="T24" s="891">
        <f t="shared" si="3"/>
        <v>0</v>
      </c>
      <c r="U24" s="891"/>
      <c r="V24" s="896">
        <v>1</v>
      </c>
      <c r="W24" s="896"/>
      <c r="X24" s="156">
        <f t="shared" si="4"/>
        <v>0</v>
      </c>
      <c r="Y24" s="266">
        <f t="shared" si="6"/>
        <v>0</v>
      </c>
    </row>
    <row r="25" spans="1:25" x14ac:dyDescent="0.25">
      <c r="A25" s="861" t="s">
        <v>33</v>
      </c>
      <c r="B25" s="861"/>
      <c r="C25" s="415">
        <f>1.29+1.71+1.11+0.8+0.43</f>
        <v>5.34</v>
      </c>
      <c r="D25" s="415">
        <v>0</v>
      </c>
      <c r="E25" s="967">
        <f t="shared" si="0"/>
        <v>10.68</v>
      </c>
      <c r="F25" s="967"/>
      <c r="G25" s="968">
        <v>1.165</v>
      </c>
      <c r="H25" s="968"/>
      <c r="I25" s="578">
        <f t="shared" si="2"/>
        <v>12.4422</v>
      </c>
      <c r="J25" s="579">
        <f t="shared" si="1"/>
        <v>69220.03</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501.99999999999994</v>
      </c>
      <c r="D28" s="126">
        <f>SUM(D12:D27)</f>
        <v>0</v>
      </c>
      <c r="E28" s="966">
        <f>SUM(E12:E27)</f>
        <v>1003.9999999999999</v>
      </c>
      <c r="F28" s="966"/>
      <c r="G28" s="961"/>
      <c r="H28" s="961"/>
      <c r="I28" s="23">
        <f>SUM(I12:I27)</f>
        <v>1062.7708</v>
      </c>
      <c r="J28" s="127">
        <f>SUM(J12:J27)</f>
        <v>5912541.8000000007</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1062.7708</v>
      </c>
      <c r="H33" s="961" t="s">
        <v>45</v>
      </c>
      <c r="I33" s="961"/>
      <c r="J33" s="32">
        <f>SUM(J32,J28)</f>
        <v>5912541.8000000007</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5974890.0099999998</v>
      </c>
      <c r="H36" s="223" t="s">
        <v>49</v>
      </c>
      <c r="I36" s="38">
        <v>6.6699999999999995E-2</v>
      </c>
      <c r="J36" s="131">
        <f>ROUND(G36*I36,2)</f>
        <v>398525.16</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5974890.0099999998</v>
      </c>
      <c r="H37" s="223" t="s">
        <v>49</v>
      </c>
      <c r="I37" s="38">
        <v>5.4000000000000003E-3</v>
      </c>
      <c r="J37" s="131">
        <f>ROUND(G37*I37,2)</f>
        <v>32264.41</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430789.56999999995</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22.5</v>
      </c>
      <c r="D41" s="415">
        <v>0</v>
      </c>
      <c r="E41" s="954">
        <f t="shared" ref="E41:E49" si="7">IF($D$50=0,C41*2,C41+D41)</f>
        <v>45</v>
      </c>
      <c r="F41" s="954"/>
      <c r="G41" s="223" t="s">
        <v>59</v>
      </c>
      <c r="H41" s="223">
        <v>251</v>
      </c>
      <c r="I41" s="136">
        <f>INDEX('[1]111-112-113 ADDITIONAL FUND'!D$1:D$65536,MATCH($A$1,'[1]111-112-113 ADDITIONAL FUND'!A$1:A$65536))</f>
        <v>1047</v>
      </c>
      <c r="J41" s="727">
        <f t="shared" ref="J41:J49" si="8">ROUND(E41*I41,2)</f>
        <v>47115</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4</v>
      </c>
      <c r="D42" s="415">
        <v>0</v>
      </c>
      <c r="E42" s="954">
        <f t="shared" si="7"/>
        <v>8</v>
      </c>
      <c r="F42" s="954"/>
      <c r="G42" s="223" t="s">
        <v>59</v>
      </c>
      <c r="H42" s="223">
        <v>252</v>
      </c>
      <c r="I42" s="136">
        <f>INDEX('[1]111-112-113 ADDITIONAL FUND'!E$1:E$65536,MATCH($A$1,'[1]111-112-113 ADDITIONAL FUND'!A$1:A$65536))</f>
        <v>3380</v>
      </c>
      <c r="J42" s="727">
        <f t="shared" si="8"/>
        <v>27040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37.89</v>
      </c>
      <c r="D44" s="415">
        <v>0</v>
      </c>
      <c r="E44" s="954">
        <f t="shared" si="7"/>
        <v>75.78</v>
      </c>
      <c r="F44" s="954"/>
      <c r="G44" s="47" t="s">
        <v>60</v>
      </c>
      <c r="H44" s="223">
        <v>251</v>
      </c>
      <c r="I44" s="136">
        <f>INDEX('[1]111-112-113 ADDITIONAL FUND'!G$1:G$65536,MATCH($A$1,'[1]111-112-113 ADDITIONAL FUND'!A$1:A$65536))</f>
        <v>1173</v>
      </c>
      <c r="J44" s="727">
        <f t="shared" si="8"/>
        <v>88889.94</v>
      </c>
      <c r="L44" s="3"/>
      <c r="M44" s="2"/>
      <c r="Q44" s="4"/>
      <c r="R44" s="903"/>
      <c r="S44" s="903"/>
      <c r="T44" s="905"/>
      <c r="U44" s="905"/>
      <c r="V44" s="182" t="s">
        <v>60</v>
      </c>
      <c r="W44" s="239">
        <v>251</v>
      </c>
      <c r="X44" s="134">
        <f t="shared" si="9"/>
        <v>1173</v>
      </c>
      <c r="Y44" s="269">
        <f t="shared" si="10"/>
        <v>0</v>
      </c>
    </row>
    <row r="45" spans="1:25" x14ac:dyDescent="0.25">
      <c r="A45" s="960"/>
      <c r="B45" s="960"/>
      <c r="C45" s="415">
        <v>4.6100000000000003</v>
      </c>
      <c r="D45" s="415">
        <v>0</v>
      </c>
      <c r="E45" s="954">
        <f t="shared" si="7"/>
        <v>9.2200000000000006</v>
      </c>
      <c r="F45" s="954"/>
      <c r="G45" s="47" t="s">
        <v>60</v>
      </c>
      <c r="H45" s="223">
        <v>252</v>
      </c>
      <c r="I45" s="136">
        <f>INDEX('[1]111-112-113 ADDITIONAL FUND'!H$1:H$65536,MATCH($A$1,'[1]111-112-113 ADDITIONAL FUND'!A$1:A$65536))</f>
        <v>3506</v>
      </c>
      <c r="J45" s="727">
        <f t="shared" si="8"/>
        <v>32325.32</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69</v>
      </c>
      <c r="D50" s="585">
        <f>SUM(D41:D49)</f>
        <v>0</v>
      </c>
      <c r="E50" s="956">
        <f>SUM(E41:E49)</f>
        <v>138</v>
      </c>
      <c r="F50" s="956"/>
      <c r="G50" s="912" t="s">
        <v>63</v>
      </c>
      <c r="H50" s="912"/>
      <c r="I50" s="912"/>
      <c r="J50" s="276">
        <f>SUM(J41:J49)</f>
        <v>195370.26</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1003.9999999999999</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4.8320000000000004E-3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1062.7708</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4.8050000000000002E-3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1003.9999999999999</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5.6109999999999997E-3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1003.9999999999999</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4.8390000000000004E-3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1003.9999999999999</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5.6210000000000001E-3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4.8390000000000004E-3</v>
      </c>
      <c r="J68" s="138">
        <f>ROUND(G68*I68,2)</f>
        <v>220801.6</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4.8320000000000004E-3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5.6210000000000001E-3</v>
      </c>
      <c r="J71" s="138">
        <f>ROUND(G71*I71,2)</f>
        <v>106428.34</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5.6109999999999997E-3</v>
      </c>
      <c r="J72" s="138">
        <f>ROUND(G72*I72,2)</f>
        <v>63404.37</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4.8050000000000002E-3</v>
      </c>
      <c r="J85" s="138">
        <f>ROUND(G85*I85,2)</f>
        <v>1291662.22</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4.8050000000000002E-3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4.8320000000000004E-3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549.0086</v>
      </c>
      <c r="C90" s="245"/>
      <c r="D90" s="869">
        <f>I6</f>
        <v>1.0355000000000001</v>
      </c>
      <c r="E90" s="869"/>
      <c r="F90" s="869"/>
      <c r="G90" s="122">
        <f>'[1]Detail 2025-26 FEFP Second'!AB3</f>
        <v>958.42</v>
      </c>
      <c r="H90" s="47" t="s">
        <v>68</v>
      </c>
      <c r="I90" s="727">
        <f>ROUND(B90*D90*G90,2)</f>
        <v>544860.24</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513.76220000000001</v>
      </c>
      <c r="C91" s="245"/>
      <c r="D91" s="869">
        <f>I6</f>
        <v>1.0355000000000001</v>
      </c>
      <c r="E91" s="869"/>
      <c r="F91" s="869"/>
      <c r="G91" s="122">
        <f>'[1]Detail 2025-26 FEFP Second'!AC3</f>
        <v>915.09</v>
      </c>
      <c r="H91" s="47" t="s">
        <v>68</v>
      </c>
      <c r="I91" s="727">
        <f>ROUND(B91*D91*G91,2)</f>
        <v>486828.57</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727">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1062.7708</v>
      </c>
      <c r="C93" s="109"/>
      <c r="D93" s="109"/>
      <c r="E93" s="939" t="s">
        <v>112</v>
      </c>
      <c r="F93" s="939"/>
      <c r="G93" s="939"/>
      <c r="H93" s="939"/>
      <c r="I93" s="939"/>
      <c r="J93" s="127">
        <f>IF(A1=75,0,I92+I91+I90)</f>
        <v>1031688.81</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34</v>
      </c>
      <c r="D97" s="279">
        <v>0</v>
      </c>
      <c r="E97" s="988">
        <f>(C97+D97)</f>
        <v>34</v>
      </c>
      <c r="F97" s="942"/>
      <c r="G97" s="942"/>
      <c r="H97" s="224" t="s">
        <v>117</v>
      </c>
      <c r="I97" s="130">
        <f>'0040'!I97</f>
        <v>586</v>
      </c>
      <c r="J97" s="138">
        <f>ROUND(I97*E97,2)</f>
        <v>19924</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8841821.4000000004</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8411031.8300000001</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09" t="s">
        <v>432</v>
      </c>
      <c r="I114" s="710">
        <f>IF(I111=1,J111,J109)</f>
        <v>8411031.8300000001</v>
      </c>
      <c r="J114" s="711">
        <f>ROUND(IF(E28=0,0,IF(E28&gt;250,-(((250/E28)*I114)*IF(H114="H",0.02,0.05)),IF(H114="H",-0.02*I114,-0.05*I114))),2)</f>
        <v>-41887.61</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8799933.790000001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Payments'!R97</f>
        <v>-5104860.8699999992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3695072.9200000018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739014.58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126333.03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5E0-6CFC-462B-B521-0160ED627C13}">
  <dimension ref="A1:Z207"/>
  <sheetViews>
    <sheetView topLeftCell="A110" workbookViewId="0">
      <selection activeCell="C41" sqref="C41:C4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87" t="s">
        <v>455</v>
      </c>
      <c r="B2" s="102"/>
      <c r="C2" s="102"/>
      <c r="D2" s="102"/>
      <c r="E2" s="100"/>
      <c r="F2" s="100"/>
      <c r="G2" s="100"/>
      <c r="H2" s="100"/>
      <c r="I2" s="100"/>
      <c r="J2" s="100"/>
      <c r="K2" s="6"/>
      <c r="L2" s="6"/>
      <c r="M2" s="6"/>
      <c r="N2" s="6"/>
      <c r="O2" s="6"/>
      <c r="P2" s="6"/>
      <c r="Q2" s="6"/>
      <c r="R2" s="875" t="str">
        <f>Revenue_Estimate_Worksheet_for___________Charter_School</f>
        <v>Revenue Estimate Worksheet: SouthTech Preparatory Academy - 3441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Second'!$C$1:$C$65536,MATCH('3441'!$A$1,'[1]Detail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Second'!$D$1:$D$65536,MATCH('3441'!$A$1,'[1]Detail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217.6</v>
      </c>
      <c r="D14" s="415">
        <v>0</v>
      </c>
      <c r="E14" s="967">
        <f t="shared" si="0"/>
        <v>435.2</v>
      </c>
      <c r="F14" s="967"/>
      <c r="G14" s="968">
        <v>1</v>
      </c>
      <c r="H14" s="968"/>
      <c r="I14" s="578">
        <f t="shared" si="2"/>
        <v>435.2</v>
      </c>
      <c r="J14" s="579">
        <f>ROUND(ROUND(ROUND(I14*$E$6,4)*($I$6),2)*(MAX($I$7,1)),2)</f>
        <v>2421160.04</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36</v>
      </c>
      <c r="D15" s="415">
        <v>0</v>
      </c>
      <c r="E15" s="967">
        <f t="shared" si="0"/>
        <v>72</v>
      </c>
      <c r="F15" s="967"/>
      <c r="G15" s="968">
        <v>1</v>
      </c>
      <c r="H15" s="968"/>
      <c r="I15" s="578">
        <f t="shared" si="2"/>
        <v>72</v>
      </c>
      <c r="J15" s="579">
        <f t="shared" si="1"/>
        <v>400559.57</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8.3000000000000007</v>
      </c>
      <c r="D25" s="415">
        <v>0</v>
      </c>
      <c r="E25" s="967">
        <f t="shared" si="0"/>
        <v>16.600000000000001</v>
      </c>
      <c r="F25" s="967"/>
      <c r="G25" s="968">
        <v>1.165</v>
      </c>
      <c r="H25" s="968"/>
      <c r="I25" s="578">
        <f t="shared" si="2"/>
        <v>19.338999999999999</v>
      </c>
      <c r="J25" s="579">
        <f t="shared" si="1"/>
        <v>107589.19</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26">
        <f>SUM(C12:C27)</f>
        <v>261.89999999999998</v>
      </c>
      <c r="D28" s="126">
        <f>SUM(D12:D27)</f>
        <v>0</v>
      </c>
      <c r="E28" s="966">
        <f>SUM(E12:E27)</f>
        <v>523.79999999999995</v>
      </c>
      <c r="F28" s="966"/>
      <c r="G28" s="961"/>
      <c r="H28" s="961"/>
      <c r="I28" s="23">
        <f>SUM(I12:I27)</f>
        <v>526.53899999999999</v>
      </c>
      <c r="J28" s="127">
        <f>SUM(J12:J27)</f>
        <v>2929308.8</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526.53899999999999</v>
      </c>
      <c r="H33" s="961" t="s">
        <v>45</v>
      </c>
      <c r="I33" s="961"/>
      <c r="J33" s="32">
        <f>SUM(J32,J28)</f>
        <v>2929308.8</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2950265.84</v>
      </c>
      <c r="H36" s="223" t="s">
        <v>49</v>
      </c>
      <c r="I36" s="38">
        <v>6.6699999999999995E-2</v>
      </c>
      <c r="J36" s="131">
        <f>ROUND(G36*I36,2)</f>
        <v>196782.73</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2950265.84</v>
      </c>
      <c r="H37" s="223" t="s">
        <v>49</v>
      </c>
      <c r="I37" s="38">
        <v>5.4000000000000003E-3</v>
      </c>
      <c r="J37" s="131">
        <f>ROUND(G37*I37,2)</f>
        <v>15931.44</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212714.17</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727">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727">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34.479999999999997</v>
      </c>
      <c r="D44" s="415">
        <v>0</v>
      </c>
      <c r="E44" s="954">
        <f t="shared" si="7"/>
        <v>68.959999999999994</v>
      </c>
      <c r="F44" s="954"/>
      <c r="G44" s="47" t="s">
        <v>60</v>
      </c>
      <c r="H44" s="223">
        <v>251</v>
      </c>
      <c r="I44" s="136">
        <f>INDEX('[1]111-112-113 ADDITIONAL FUND'!G$1:G$65536,MATCH($A$1,'[1]111-112-113 ADDITIONAL FUND'!A$1:A$65536))</f>
        <v>1173</v>
      </c>
      <c r="J44" s="727">
        <f t="shared" si="8"/>
        <v>80890.080000000002</v>
      </c>
      <c r="L44" s="3"/>
      <c r="M44" s="2"/>
      <c r="Q44" s="4"/>
      <c r="R44" s="903"/>
      <c r="S44" s="903"/>
      <c r="T44" s="905"/>
      <c r="U44" s="905"/>
      <c r="V44" s="182" t="s">
        <v>60</v>
      </c>
      <c r="W44" s="239">
        <v>251</v>
      </c>
      <c r="X44" s="134">
        <f t="shared" si="9"/>
        <v>1173</v>
      </c>
      <c r="Y44" s="269">
        <f t="shared" si="10"/>
        <v>0</v>
      </c>
    </row>
    <row r="45" spans="1:25" x14ac:dyDescent="0.25">
      <c r="A45" s="960"/>
      <c r="B45" s="960"/>
      <c r="C45" s="415">
        <v>1.52</v>
      </c>
      <c r="D45" s="415">
        <v>0</v>
      </c>
      <c r="E45" s="954">
        <f t="shared" si="7"/>
        <v>3.04</v>
      </c>
      <c r="F45" s="954"/>
      <c r="G45" s="47" t="s">
        <v>60</v>
      </c>
      <c r="H45" s="223">
        <v>252</v>
      </c>
      <c r="I45" s="136">
        <f>INDEX('[1]111-112-113 ADDITIONAL FUND'!H$1:H$65536,MATCH($A$1,'[1]111-112-113 ADDITIONAL FUND'!A$1:A$65536))</f>
        <v>3506</v>
      </c>
      <c r="J45" s="727">
        <f t="shared" si="8"/>
        <v>10658.24</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36</v>
      </c>
      <c r="D50" s="585">
        <f>SUM(D41:D49)</f>
        <v>0</v>
      </c>
      <c r="E50" s="956">
        <f>SUM(E41:E49)</f>
        <v>72</v>
      </c>
      <c r="F50" s="956"/>
      <c r="G50" s="912" t="s">
        <v>63</v>
      </c>
      <c r="H50" s="912"/>
      <c r="I50" s="912"/>
      <c r="J50" s="276">
        <f>SUM(J41:J49)</f>
        <v>91548.32</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523.79999999999995</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2.5209999999999998E-3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v>0</v>
      </c>
      <c r="U55" s="184" t="s">
        <v>66</v>
      </c>
      <c r="V55" s="185"/>
      <c r="W55" s="186" t="s">
        <v>71</v>
      </c>
      <c r="X55" s="919">
        <f>I56</f>
        <v>221179.83999999997</v>
      </c>
      <c r="Y55" s="919"/>
    </row>
    <row r="56" spans="1:25" ht="16.5" customHeight="1" x14ac:dyDescent="0.25">
      <c r="A56" s="899" t="s">
        <v>70</v>
      </c>
      <c r="B56" s="899"/>
      <c r="C56" s="237"/>
      <c r="D56" s="237"/>
      <c r="E56" s="48">
        <f>G33</f>
        <v>526.53899999999999</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2.3809999999999999E-3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523.79999999999995</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2.9269999999999999E-3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523.79999999999995</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2.5249999999999999E-3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523.79999999999995</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2.9329999999999998E-3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2.5249999999999999E-3</v>
      </c>
      <c r="J68" s="138">
        <f>ROUND(G68*I68,2)</f>
        <v>115214.72</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2.5209999999999998E-3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2.9329999999999998E-3</v>
      </c>
      <c r="J71" s="138">
        <f>ROUND(G71*I71,2)</f>
        <v>55533.59</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2.9269999999999999E-3</v>
      </c>
      <c r="J72" s="138">
        <f>ROUND(G72*I72,2)</f>
        <v>33075.14</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16.399999999999999</v>
      </c>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16.399999999999999</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1.271E-3</v>
      </c>
      <c r="J84" s="62">
        <f>ROUND(G84*I84,2)</f>
        <v>74357.05</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2.3809999999999999E-3</v>
      </c>
      <c r="J85" s="138">
        <f>ROUND(G85*I85,2)</f>
        <v>640051.56000000006</v>
      </c>
      <c r="K85" s="70"/>
      <c r="L85" s="70"/>
      <c r="M85" s="71"/>
      <c r="N85" s="70"/>
      <c r="O85" s="70"/>
      <c r="P85" s="70"/>
      <c r="Q85" s="70"/>
      <c r="R85" s="862" t="s">
        <v>168</v>
      </c>
      <c r="S85" s="862"/>
      <c r="T85" s="862"/>
      <c r="U85" s="253"/>
      <c r="V85" s="171">
        <f>G85</f>
        <v>268816278</v>
      </c>
      <c r="W85" s="239" t="s">
        <v>81</v>
      </c>
      <c r="X85" s="176">
        <f>X56</f>
        <v>0</v>
      </c>
      <c r="Y85" s="266">
        <f>ROUND(V85*X85,2)</f>
        <v>0</v>
      </c>
    </row>
    <row r="86" spans="1:26" ht="14.25" customHeight="1" x14ac:dyDescent="0.25">
      <c r="A86" s="898" t="s">
        <v>104</v>
      </c>
      <c r="B86" s="898"/>
      <c r="C86" s="898"/>
      <c r="D86" s="898"/>
      <c r="E86" s="898"/>
      <c r="F86" s="248" t="s">
        <v>103</v>
      </c>
      <c r="G86" s="139">
        <v>0</v>
      </c>
      <c r="H86" s="223" t="s">
        <v>81</v>
      </c>
      <c r="I86" s="41">
        <f>I57</f>
        <v>2.3809999999999999E-3</v>
      </c>
      <c r="J86" s="138">
        <f>ROUND(G86*I86,2)</f>
        <v>0</v>
      </c>
      <c r="K86" s="70"/>
      <c r="L86" s="71"/>
      <c r="M86" s="76"/>
      <c r="N86" s="76"/>
      <c r="O86" s="76"/>
      <c r="P86" s="76"/>
      <c r="Q86" s="70"/>
      <c r="R86" s="862" t="s">
        <v>169</v>
      </c>
      <c r="S86" s="862"/>
      <c r="T86" s="862"/>
      <c r="U86" s="253"/>
      <c r="V86" s="203">
        <f>G86</f>
        <v>0</v>
      </c>
      <c r="W86" s="239" t="s">
        <v>81</v>
      </c>
      <c r="X86" s="176">
        <f>X56</f>
        <v>0</v>
      </c>
      <c r="Y86" s="266">
        <f t="shared" ref="Y86:Y87" si="12">ROUND(V86*X86,2)</f>
        <v>0</v>
      </c>
    </row>
    <row r="87" spans="1:26" ht="18" customHeight="1" x14ac:dyDescent="0.25">
      <c r="A87" s="898" t="s">
        <v>105</v>
      </c>
      <c r="B87" s="898"/>
      <c r="C87" s="898"/>
      <c r="D87" s="898"/>
      <c r="E87" s="898"/>
      <c r="F87" s="248" t="s">
        <v>84</v>
      </c>
      <c r="G87" s="139">
        <v>0</v>
      </c>
      <c r="H87" s="223" t="s">
        <v>81</v>
      </c>
      <c r="I87" s="41">
        <f>I54</f>
        <v>2.5209999999999998E-3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727">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526.53899999999999</v>
      </c>
      <c r="C91" s="245"/>
      <c r="D91" s="869">
        <f>I6</f>
        <v>1.0355000000000001</v>
      </c>
      <c r="E91" s="869"/>
      <c r="F91" s="869"/>
      <c r="G91" s="122">
        <f>'[1]Detail 2025-26 FEFP Second'!AC3</f>
        <v>915.09</v>
      </c>
      <c r="H91" s="47" t="s">
        <v>68</v>
      </c>
      <c r="I91" s="727">
        <f>ROUND(B91*D91*G91,2)</f>
        <v>498935.56</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727">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526.53899999999999</v>
      </c>
      <c r="C93" s="109"/>
      <c r="D93" s="109"/>
      <c r="E93" s="939" t="s">
        <v>112</v>
      </c>
      <c r="F93" s="939"/>
      <c r="G93" s="939"/>
      <c r="H93" s="939"/>
      <c r="I93" s="939"/>
      <c r="J93" s="127">
        <f>IF(A1=75,0,I92+I91+I90)</f>
        <v>498935.56</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350</v>
      </c>
      <c r="D97" s="279">
        <v>0</v>
      </c>
      <c r="E97" s="988">
        <f>(C97+D97)</f>
        <v>350</v>
      </c>
      <c r="F97" s="942"/>
      <c r="G97" s="942"/>
      <c r="H97" s="224" t="s">
        <v>117</v>
      </c>
      <c r="I97" s="130">
        <f>'0040'!I97</f>
        <v>586</v>
      </c>
      <c r="J97" s="138">
        <f>ROUND(I97*E97,2)</f>
        <v>205100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4643124.74</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4430410.57</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t="s">
        <v>432</v>
      </c>
      <c r="I114" s="295">
        <f>IF(I111=1,J111,J109)</f>
        <v>4430410.57</v>
      </c>
      <c r="J114" s="296">
        <f>ROUND(IF(E28=0,0,IF(E28&gt;250,-(((250/E28)*I114)*IF(H114="H",0.02,0.05)),IF(H114="H",-0.02*I114,-0.05*I114))),2)</f>
        <v>-42291.05</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4600833.6900000004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Payments'!R98</f>
        <v>-2669414.7200000002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1931418.9700000002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386283.79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46317.16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D735-08D2-4D51-8DA8-3092C94DB3C7}">
  <dimension ref="A1:Z207"/>
  <sheetViews>
    <sheetView topLeftCell="A108" workbookViewId="0">
      <selection activeCell="J75" sqref="J7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456</v>
      </c>
      <c r="B2" s="102"/>
      <c r="C2" s="102"/>
      <c r="D2" s="102"/>
      <c r="E2" s="100"/>
      <c r="F2" s="100"/>
      <c r="G2" s="100"/>
      <c r="H2" s="100"/>
      <c r="I2" s="100"/>
      <c r="J2" s="100"/>
      <c r="K2" s="6"/>
      <c r="L2" s="6"/>
      <c r="M2" s="6"/>
      <c r="N2" s="6"/>
      <c r="O2" s="6"/>
      <c r="P2" s="6"/>
      <c r="Q2" s="6"/>
      <c r="R2" s="875" t="str">
        <f>Revenue_Estimate_Worksheet_for___________Charter_School</f>
        <v>Revenue Estimate Worksheet: Palm Beach Maritime Academy Secondary - 3924</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Second'!$C$1:$C$65536,MATCH('3924'!$A$1,'[1]Detail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Second'!$D$1:$D$65536,MATCH('3924'!$A$1,'[1]Detail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95.43</v>
      </c>
      <c r="D14" s="415">
        <v>0</v>
      </c>
      <c r="E14" s="967">
        <f t="shared" si="0"/>
        <v>190.86</v>
      </c>
      <c r="F14" s="967"/>
      <c r="G14" s="968">
        <v>1</v>
      </c>
      <c r="H14" s="968"/>
      <c r="I14" s="578">
        <f t="shared" si="2"/>
        <v>190.86</v>
      </c>
      <c r="J14" s="579">
        <f>ROUND(ROUND(ROUND(I14*$E$6,4)*($I$6),2)*(MAX($I$7,1)),2)</f>
        <v>1061816.6499999999</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27.5</v>
      </c>
      <c r="D15" s="415">
        <v>0</v>
      </c>
      <c r="E15" s="967">
        <f t="shared" si="0"/>
        <v>55</v>
      </c>
      <c r="F15" s="967"/>
      <c r="G15" s="968">
        <v>1</v>
      </c>
      <c r="H15" s="968"/>
      <c r="I15" s="578">
        <f t="shared" si="2"/>
        <v>55</v>
      </c>
      <c r="J15" s="579">
        <f t="shared" si="1"/>
        <v>305983</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55.34</v>
      </c>
      <c r="D16" s="415">
        <v>0</v>
      </c>
      <c r="E16" s="967">
        <f t="shared" si="0"/>
        <v>110.68</v>
      </c>
      <c r="F16" s="967"/>
      <c r="G16" s="968">
        <v>0.97199999999999998</v>
      </c>
      <c r="H16" s="968"/>
      <c r="I16" s="578">
        <f t="shared" si="2"/>
        <v>107.581</v>
      </c>
      <c r="J16" s="579">
        <f t="shared" si="1"/>
        <v>598508.31000000006</v>
      </c>
      <c r="M16" s="2"/>
      <c r="R16" s="860" t="s">
        <v>24</v>
      </c>
      <c r="S16" s="860"/>
      <c r="T16" s="891">
        <f t="shared" si="3"/>
        <v>0</v>
      </c>
      <c r="U16" s="891"/>
      <c r="V16" s="896">
        <v>1</v>
      </c>
      <c r="W16" s="896"/>
      <c r="X16" s="156">
        <f t="shared" si="4"/>
        <v>0</v>
      </c>
      <c r="Y16" s="266">
        <f t="shared" si="6"/>
        <v>0</v>
      </c>
    </row>
    <row r="17" spans="1:25" x14ac:dyDescent="0.25">
      <c r="A17" s="861" t="s">
        <v>25</v>
      </c>
      <c r="B17" s="861"/>
      <c r="C17" s="415">
        <v>11.5</v>
      </c>
      <c r="D17" s="415">
        <v>0</v>
      </c>
      <c r="E17" s="967">
        <f t="shared" si="0"/>
        <v>23</v>
      </c>
      <c r="F17" s="967"/>
      <c r="G17" s="968">
        <v>0.97199999999999998</v>
      </c>
      <c r="H17" s="968"/>
      <c r="I17" s="578">
        <f t="shared" si="2"/>
        <v>22.356000000000002</v>
      </c>
      <c r="J17" s="579">
        <f t="shared" si="1"/>
        <v>124373.75</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8.07</v>
      </c>
      <c r="D25" s="415">
        <v>0</v>
      </c>
      <c r="E25" s="967">
        <f t="shared" si="0"/>
        <v>16.14</v>
      </c>
      <c r="F25" s="967"/>
      <c r="G25" s="968">
        <v>1.165</v>
      </c>
      <c r="H25" s="968"/>
      <c r="I25" s="578">
        <f t="shared" si="2"/>
        <v>18.803100000000001</v>
      </c>
      <c r="J25" s="579">
        <f t="shared" si="1"/>
        <v>104607.8</v>
      </c>
      <c r="M25" s="2"/>
      <c r="R25" s="860" t="s">
        <v>33</v>
      </c>
      <c r="S25" s="860"/>
      <c r="T25" s="891">
        <f t="shared" si="3"/>
        <v>0</v>
      </c>
      <c r="U25" s="891"/>
      <c r="V25" s="896">
        <v>1</v>
      </c>
      <c r="W25" s="896"/>
      <c r="X25" s="156">
        <f t="shared" si="4"/>
        <v>0</v>
      </c>
      <c r="Y25" s="266">
        <f t="shared" si="6"/>
        <v>0</v>
      </c>
    </row>
    <row r="26" spans="1:25" x14ac:dyDescent="0.25">
      <c r="A26" s="861" t="s">
        <v>34</v>
      </c>
      <c r="B26" s="861"/>
      <c r="C26" s="415">
        <v>6.29</v>
      </c>
      <c r="D26" s="415">
        <v>0</v>
      </c>
      <c r="E26" s="967">
        <f t="shared" si="0"/>
        <v>12.58</v>
      </c>
      <c r="F26" s="967"/>
      <c r="G26" s="968">
        <v>1.165</v>
      </c>
      <c r="H26" s="968"/>
      <c r="I26" s="578">
        <f t="shared" si="2"/>
        <v>14.6557</v>
      </c>
      <c r="J26" s="579">
        <f t="shared" si="1"/>
        <v>81534.460000000006</v>
      </c>
      <c r="M26" s="2"/>
      <c r="R26" s="860" t="s">
        <v>34</v>
      </c>
      <c r="S26" s="860"/>
      <c r="T26" s="891">
        <f t="shared" si="3"/>
        <v>0</v>
      </c>
      <c r="U26" s="891"/>
      <c r="V26" s="896">
        <v>1</v>
      </c>
      <c r="W26" s="896"/>
      <c r="X26" s="156">
        <f t="shared" si="4"/>
        <v>0</v>
      </c>
      <c r="Y26" s="266">
        <f t="shared" si="6"/>
        <v>0</v>
      </c>
    </row>
    <row r="27" spans="1:25" x14ac:dyDescent="0.25">
      <c r="A27" s="866" t="s">
        <v>35</v>
      </c>
      <c r="B27" s="866"/>
      <c r="C27" s="416">
        <v>0.78</v>
      </c>
      <c r="D27" s="416">
        <v>0</v>
      </c>
      <c r="E27" s="963">
        <f t="shared" si="0"/>
        <v>1.56</v>
      </c>
      <c r="F27" s="963"/>
      <c r="G27" s="964">
        <v>1.081</v>
      </c>
      <c r="H27" s="964"/>
      <c r="I27" s="22">
        <f t="shared" si="2"/>
        <v>1.6863999999999999</v>
      </c>
      <c r="J27" s="127">
        <f t="shared" si="1"/>
        <v>9382</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204.91</v>
      </c>
      <c r="D28" s="126">
        <f>SUM(D12:D27)</f>
        <v>0</v>
      </c>
      <c r="E28" s="966">
        <f>SUM(E12:E27)</f>
        <v>409.82</v>
      </c>
      <c r="F28" s="966"/>
      <c r="G28" s="961"/>
      <c r="H28" s="961"/>
      <c r="I28" s="23">
        <f>SUM(I12:I27)</f>
        <v>410.94220000000001</v>
      </c>
      <c r="J28" s="127">
        <f>SUM(J12:J27)</f>
        <v>2286205.9699999997</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410.94220000000001</v>
      </c>
      <c r="H33" s="961" t="s">
        <v>45</v>
      </c>
      <c r="I33" s="961"/>
      <c r="J33" s="32">
        <f>SUM(J32,J28)</f>
        <v>2286205.9699999997</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2459765.64</v>
      </c>
      <c r="H36" s="223" t="s">
        <v>49</v>
      </c>
      <c r="I36" s="38">
        <v>6.6699999999999995E-2</v>
      </c>
      <c r="J36" s="131">
        <f>ROUND(G36*I36,2)</f>
        <v>164066.37</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2459765.64</v>
      </c>
      <c r="H37" s="223" t="s">
        <v>49</v>
      </c>
      <c r="I37" s="38">
        <v>5.4000000000000003E-3</v>
      </c>
      <c r="J37" s="131">
        <f>ROUND(G37*I37,2)</f>
        <v>13282.73</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177349.1</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x14ac:dyDescent="0.25">
      <c r="A44" s="960"/>
      <c r="B44" s="960"/>
      <c r="C44" s="415">
        <v>25.42</v>
      </c>
      <c r="D44" s="415">
        <v>0</v>
      </c>
      <c r="E44" s="954">
        <f t="shared" si="7"/>
        <v>50.84</v>
      </c>
      <c r="F44" s="954"/>
      <c r="G44" s="47" t="s">
        <v>60</v>
      </c>
      <c r="H44" s="223">
        <v>251</v>
      </c>
      <c r="I44" s="136">
        <f>INDEX('[1]111-112-113 ADDITIONAL FUND'!G$1:G$65536,MATCH($A$1,'[1]111-112-113 ADDITIONAL FUND'!A$1:A$65536))</f>
        <v>1173</v>
      </c>
      <c r="J44" s="137">
        <f t="shared" si="8"/>
        <v>59635.32</v>
      </c>
      <c r="L44" s="3"/>
      <c r="M44" s="2"/>
      <c r="Q44" s="4"/>
      <c r="R44" s="903"/>
      <c r="S44" s="903"/>
      <c r="T44" s="905"/>
      <c r="U44" s="905"/>
      <c r="V44" s="182" t="s">
        <v>60</v>
      </c>
      <c r="W44" s="239">
        <v>251</v>
      </c>
      <c r="X44" s="134">
        <f t="shared" si="9"/>
        <v>1173</v>
      </c>
      <c r="Y44" s="269">
        <f t="shared" si="10"/>
        <v>0</v>
      </c>
    </row>
    <row r="45" spans="1:25" x14ac:dyDescent="0.25">
      <c r="A45" s="960"/>
      <c r="B45" s="960"/>
      <c r="C45" s="415">
        <v>2.08</v>
      </c>
      <c r="D45" s="415">
        <v>0</v>
      </c>
      <c r="E45" s="954">
        <f t="shared" si="7"/>
        <v>4.16</v>
      </c>
      <c r="F45" s="954"/>
      <c r="G45" s="47" t="s">
        <v>60</v>
      </c>
      <c r="H45" s="223">
        <v>252</v>
      </c>
      <c r="I45" s="136">
        <f>INDEX('[1]111-112-113 ADDITIONAL FUND'!H$1:H$65536,MATCH($A$1,'[1]111-112-113 ADDITIONAL FUND'!A$1:A$65536))</f>
        <v>3506</v>
      </c>
      <c r="J45" s="46">
        <f t="shared" si="8"/>
        <v>14584.96</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10.98</v>
      </c>
      <c r="D47" s="415">
        <v>0</v>
      </c>
      <c r="E47" s="954">
        <f t="shared" si="7"/>
        <v>21.96</v>
      </c>
      <c r="F47" s="954"/>
      <c r="G47" s="47" t="s">
        <v>61</v>
      </c>
      <c r="H47" s="223">
        <v>251</v>
      </c>
      <c r="I47" s="136">
        <f>INDEX('[1]111-112-113 ADDITIONAL FUND'!J$1:J$65536,MATCH($A$1,'[1]111-112-113 ADDITIONAL FUND'!A$1:A$65536))</f>
        <v>835</v>
      </c>
      <c r="J47" s="46">
        <f t="shared" si="8"/>
        <v>18336.599999999999</v>
      </c>
      <c r="M47" s="2"/>
      <c r="R47" s="903"/>
      <c r="S47" s="903"/>
      <c r="T47" s="905"/>
      <c r="U47" s="905"/>
      <c r="V47" s="182" t="s">
        <v>61</v>
      </c>
      <c r="W47" s="239">
        <v>251</v>
      </c>
      <c r="X47" s="134">
        <f t="shared" si="9"/>
        <v>835</v>
      </c>
      <c r="Y47" s="269">
        <f t="shared" si="10"/>
        <v>0</v>
      </c>
    </row>
    <row r="48" spans="1:25" ht="15.75" customHeight="1" x14ac:dyDescent="0.25">
      <c r="A48" s="960"/>
      <c r="B48" s="960"/>
      <c r="C48" s="415">
        <v>0.52</v>
      </c>
      <c r="D48" s="415">
        <v>0</v>
      </c>
      <c r="E48" s="954">
        <f t="shared" si="7"/>
        <v>1.04</v>
      </c>
      <c r="F48" s="954"/>
      <c r="G48" s="47" t="s">
        <v>61</v>
      </c>
      <c r="H48" s="223">
        <v>252</v>
      </c>
      <c r="I48" s="136">
        <f>INDEX('[1]111-112-113 ADDITIONAL FUND'!K$1:K$65536,MATCH($A$1,'[1]111-112-113 ADDITIONAL FUND'!A$1:A$65536))</f>
        <v>3168</v>
      </c>
      <c r="J48" s="46">
        <f t="shared" si="8"/>
        <v>3294.72</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39.000000000000007</v>
      </c>
      <c r="D50" s="585">
        <f>SUM(D41:D49)</f>
        <v>0</v>
      </c>
      <c r="E50" s="956">
        <f>SUM(E41:E49)</f>
        <v>78.000000000000014</v>
      </c>
      <c r="F50" s="956"/>
      <c r="G50" s="912" t="s">
        <v>63</v>
      </c>
      <c r="H50" s="912"/>
      <c r="I50" s="912"/>
      <c r="J50" s="276">
        <f>SUM(J41:J49)</f>
        <v>95851.6</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409.82</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1.9719999999999998E-3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v>0</v>
      </c>
      <c r="U55" s="184" t="s">
        <v>66</v>
      </c>
      <c r="V55" s="185"/>
      <c r="W55" s="186" t="s">
        <v>71</v>
      </c>
      <c r="X55" s="919">
        <f>I56</f>
        <v>221179.83999999997</v>
      </c>
      <c r="Y55" s="919"/>
    </row>
    <row r="56" spans="1:25" ht="16.5" customHeight="1" x14ac:dyDescent="0.25">
      <c r="A56" s="899" t="s">
        <v>70</v>
      </c>
      <c r="B56" s="899"/>
      <c r="C56" s="237"/>
      <c r="D56" s="237"/>
      <c r="E56" s="48">
        <f>G33</f>
        <v>410.94220000000001</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1.8580000000000001E-3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409.82</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2.2899999999999999E-3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409.82</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1.9750000000000002E-3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409.82</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2.294E-3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1.9750000000000002E-3</v>
      </c>
      <c r="J68" s="138">
        <f>ROUND(G68*I68,2)</f>
        <v>90118.45</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1.9719999999999998E-3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2.294E-3</v>
      </c>
      <c r="J71" s="138">
        <f>ROUND(G71*I71,2)</f>
        <v>43434.73</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2.2899999999999999E-3</v>
      </c>
      <c r="J72" s="138">
        <f>ROUND(G72*I72,2)</f>
        <v>25877.03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v>1.44</v>
      </c>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v>0</v>
      </c>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v>0.16</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1.5999999999999999</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1.2400000000000001E-4</v>
      </c>
      <c r="J84" s="728">
        <f>ROUND(G84*I84,2)</f>
        <v>7254.35</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1.8580000000000001E-3</v>
      </c>
      <c r="J85" s="728">
        <f>ROUND(G85*I85,2)</f>
        <v>499460.64</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1.8580000000000001E-3</v>
      </c>
      <c r="J86" s="72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1.9719999999999998E-3</v>
      </c>
      <c r="J87" s="728">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727">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264.66309999999999</v>
      </c>
      <c r="C91" s="245"/>
      <c r="D91" s="869">
        <f>I6</f>
        <v>1.0355000000000001</v>
      </c>
      <c r="E91" s="869"/>
      <c r="F91" s="869"/>
      <c r="G91" s="122">
        <f>'[1]Detail 2025-26 FEFP Second'!AC3</f>
        <v>915.09</v>
      </c>
      <c r="H91" s="47" t="s">
        <v>68</v>
      </c>
      <c r="I91" s="727">
        <f>ROUND(B91*D91*G91,2)</f>
        <v>250788.32</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146.2791</v>
      </c>
      <c r="C92" s="109"/>
      <c r="D92" s="869">
        <f>I6</f>
        <v>1.0355000000000001</v>
      </c>
      <c r="E92" s="869"/>
      <c r="F92" s="869"/>
      <c r="G92" s="122">
        <f>'[1]Detail 2025-26 FEFP Second'!AD3</f>
        <v>917.3</v>
      </c>
      <c r="H92" s="47" t="s">
        <v>68</v>
      </c>
      <c r="I92" s="727">
        <f>ROUND(B92*D92*G92,2)</f>
        <v>138945.26999999999</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410.94219999999996</v>
      </c>
      <c r="C93" s="109"/>
      <c r="D93" s="109"/>
      <c r="E93" s="939" t="s">
        <v>112</v>
      </c>
      <c r="F93" s="939"/>
      <c r="G93" s="939"/>
      <c r="H93" s="939"/>
      <c r="I93" s="939"/>
      <c r="J93" s="127">
        <f>IF(A1=75,0,I92+I91+I90)</f>
        <v>389733.58999999997</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237</v>
      </c>
      <c r="D97" s="279">
        <v>0</v>
      </c>
      <c r="E97" s="988">
        <f>(C97+D97)</f>
        <v>237</v>
      </c>
      <c r="F97" s="942"/>
      <c r="G97" s="942"/>
      <c r="H97" s="224" t="s">
        <v>117</v>
      </c>
      <c r="I97" s="130">
        <f>'0040'!I97</f>
        <v>586</v>
      </c>
      <c r="J97" s="138">
        <f>ROUND(I97*E97,2)</f>
        <v>138882</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3576818.36</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3399469.26</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3399469.26</v>
      </c>
      <c r="J114" s="296">
        <f>ROUND(IF(E28=0,0,IF(E28&gt;250,-(((250/E28)*I114)*IF(H114="H",0.02,0.05)),IF(H114="H",-0.02*I114,-0.05*I114))),2)</f>
        <v>-103687.88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3473130.48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Payments'!R99</f>
        <v>-2147735.27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1325395.21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265079.03999999998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66285.58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8974-23AA-4E42-A270-45138934B444}">
  <dimension ref="A1:Z207"/>
  <sheetViews>
    <sheetView topLeftCell="A98" workbookViewId="0">
      <selection activeCell="E126" sqref="E12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457</v>
      </c>
      <c r="B2" s="102"/>
      <c r="C2" s="102"/>
      <c r="D2" s="102"/>
      <c r="E2" s="100"/>
      <c r="F2" s="100"/>
      <c r="G2" s="100"/>
      <c r="H2" s="100"/>
      <c r="I2" s="100"/>
      <c r="J2" s="100"/>
      <c r="K2" s="6"/>
      <c r="L2" s="6"/>
      <c r="M2" s="6"/>
      <c r="N2" s="6"/>
      <c r="O2" s="6"/>
      <c r="P2" s="6"/>
      <c r="Q2" s="6"/>
      <c r="R2" s="875" t="str">
        <f>Revenue_Estimate_Worksheet_for___________Charter_School</f>
        <v>Revenue Estimate Worksheet: Ben Gamla Charter School - 3941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Second'!$C$1:$C$65536,MATCH('3941'!$A$1,'[1]Detail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54.97</v>
      </c>
      <c r="D12" s="411">
        <v>0</v>
      </c>
      <c r="E12" s="980">
        <f t="shared" ref="E12:E27" si="0">IF($D$28=0,C12*2,C12+D12)</f>
        <v>109.94</v>
      </c>
      <c r="F12" s="980"/>
      <c r="G12" s="981">
        <v>1.1080000000000001</v>
      </c>
      <c r="H12" s="981"/>
      <c r="I12" s="578">
        <f>ROUND(E12*G12,4)</f>
        <v>121.8135</v>
      </c>
      <c r="J12" s="579">
        <f t="shared" ref="J12:J27" si="1">ROUND(ROUND(ROUND(I12*$E$6,4)*($I$6),2)*(MAX($I$7,1)),2)</f>
        <v>677688.37</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10.5</v>
      </c>
      <c r="D13" s="415">
        <v>0</v>
      </c>
      <c r="E13" s="967">
        <f t="shared" si="0"/>
        <v>21</v>
      </c>
      <c r="F13" s="967"/>
      <c r="G13" s="968">
        <v>1.1080000000000001</v>
      </c>
      <c r="H13" s="968"/>
      <c r="I13" s="578">
        <f t="shared" ref="I13:I27" si="2">ROUND(E13*G13,4)</f>
        <v>23.268000000000001</v>
      </c>
      <c r="J13" s="579">
        <f t="shared" si="1"/>
        <v>129447.5</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29.55</v>
      </c>
      <c r="D14" s="415">
        <v>0</v>
      </c>
      <c r="E14" s="967">
        <f t="shared" si="0"/>
        <v>59.1</v>
      </c>
      <c r="F14" s="967"/>
      <c r="G14" s="968">
        <v>1</v>
      </c>
      <c r="H14" s="968"/>
      <c r="I14" s="578">
        <f t="shared" si="2"/>
        <v>59.1</v>
      </c>
      <c r="J14" s="579">
        <f>ROUND(ROUND(ROUND(I14*$E$6,4)*($I$6),2)*(MAX($I$7,1)),2)</f>
        <v>328792.64</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6</v>
      </c>
      <c r="D15" s="415">
        <v>0</v>
      </c>
      <c r="E15" s="967">
        <f t="shared" si="0"/>
        <v>12</v>
      </c>
      <c r="F15" s="967"/>
      <c r="G15" s="968">
        <v>1</v>
      </c>
      <c r="H15" s="968"/>
      <c r="I15" s="578">
        <f t="shared" si="2"/>
        <v>12</v>
      </c>
      <c r="J15" s="579">
        <f t="shared" si="1"/>
        <v>66759.929999999993</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8.0299999999999994</v>
      </c>
      <c r="D24" s="415">
        <v>0</v>
      </c>
      <c r="E24" s="967">
        <f t="shared" si="0"/>
        <v>16.059999999999999</v>
      </c>
      <c r="F24" s="967"/>
      <c r="G24" s="968">
        <v>1.165</v>
      </c>
      <c r="H24" s="968"/>
      <c r="I24" s="578">
        <f t="shared" si="2"/>
        <v>18.709900000000001</v>
      </c>
      <c r="J24" s="579">
        <f t="shared" si="1"/>
        <v>104089.3</v>
      </c>
      <c r="M24" s="2"/>
      <c r="R24" s="860" t="s">
        <v>32</v>
      </c>
      <c r="S24" s="860"/>
      <c r="T24" s="891">
        <f t="shared" si="3"/>
        <v>0</v>
      </c>
      <c r="U24" s="891"/>
      <c r="V24" s="896">
        <v>1</v>
      </c>
      <c r="W24" s="896"/>
      <c r="X24" s="156">
        <f t="shared" si="4"/>
        <v>0</v>
      </c>
      <c r="Y24" s="266">
        <f t="shared" si="6"/>
        <v>0</v>
      </c>
    </row>
    <row r="25" spans="1:25" x14ac:dyDescent="0.25">
      <c r="A25" s="861" t="s">
        <v>33</v>
      </c>
      <c r="B25" s="861"/>
      <c r="C25" s="415">
        <v>4.9499999999999993</v>
      </c>
      <c r="D25" s="415">
        <v>0</v>
      </c>
      <c r="E25" s="967">
        <f t="shared" si="0"/>
        <v>9.8999999999999986</v>
      </c>
      <c r="F25" s="967"/>
      <c r="G25" s="968">
        <v>1.165</v>
      </c>
      <c r="H25" s="968"/>
      <c r="I25" s="578">
        <f t="shared" si="2"/>
        <v>11.5335</v>
      </c>
      <c r="J25" s="579">
        <f t="shared" si="1"/>
        <v>64164.639999999999</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26">
        <f>SUM(C12:C27)</f>
        <v>114</v>
      </c>
      <c r="D28" s="126">
        <f>SUM(D12:D27)</f>
        <v>0</v>
      </c>
      <c r="E28" s="966">
        <f>SUM(E12:E27)</f>
        <v>228</v>
      </c>
      <c r="F28" s="966"/>
      <c r="G28" s="961"/>
      <c r="H28" s="961"/>
      <c r="I28" s="23">
        <f>SUM(I12:I27)</f>
        <v>246.42490000000001</v>
      </c>
      <c r="J28" s="127">
        <f>SUM(J12:J27)</f>
        <v>1370942.38</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246.42490000000001</v>
      </c>
      <c r="H33" s="961" t="s">
        <v>45</v>
      </c>
      <c r="I33" s="961"/>
      <c r="J33" s="32">
        <f>SUM(J32,J28)</f>
        <v>1370942.38</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1381017</v>
      </c>
      <c r="H36" s="223" t="s">
        <v>49</v>
      </c>
      <c r="I36" s="38">
        <v>6.6699999999999995E-2</v>
      </c>
      <c r="J36" s="131">
        <f>ROUND(G36*I36,2)</f>
        <v>92113.83</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1381017</v>
      </c>
      <c r="H37" s="223" t="s">
        <v>49</v>
      </c>
      <c r="I37" s="38">
        <v>5.4000000000000003E-3</v>
      </c>
      <c r="J37" s="131">
        <f>ROUND(G37*I37,2)</f>
        <v>7457.49</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99571.32</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8</v>
      </c>
      <c r="D41" s="415">
        <v>0</v>
      </c>
      <c r="E41" s="954">
        <f t="shared" ref="E41:E49" si="7">IF($D$50=0,C41*2,C41+D41)</f>
        <v>16</v>
      </c>
      <c r="F41" s="954"/>
      <c r="G41" s="223" t="s">
        <v>59</v>
      </c>
      <c r="H41" s="223">
        <v>251</v>
      </c>
      <c r="I41" s="136">
        <f>INDEX('[1]111-112-113 ADDITIONAL FUND'!D$1:D$65536,MATCH($A$1,'[1]111-112-113 ADDITIONAL FUND'!A$1:A$65536))</f>
        <v>1047</v>
      </c>
      <c r="J41" s="727">
        <f t="shared" ref="J41:J49" si="8">ROUND(E41*I41,2)</f>
        <v>16752</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2.5</v>
      </c>
      <c r="D42" s="415">
        <v>0</v>
      </c>
      <c r="E42" s="954">
        <f t="shared" si="7"/>
        <v>5</v>
      </c>
      <c r="F42" s="954"/>
      <c r="G42" s="223" t="s">
        <v>59</v>
      </c>
      <c r="H42" s="223">
        <v>252</v>
      </c>
      <c r="I42" s="136">
        <f>INDEX('[1]111-112-113 ADDITIONAL FUND'!E$1:E$65536,MATCH($A$1,'[1]111-112-113 ADDITIONAL FUND'!A$1:A$65536))</f>
        <v>3380</v>
      </c>
      <c r="J42" s="727">
        <f t="shared" si="8"/>
        <v>16900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4.5</v>
      </c>
      <c r="D44" s="415">
        <v>0</v>
      </c>
      <c r="E44" s="954">
        <f t="shared" si="7"/>
        <v>9</v>
      </c>
      <c r="F44" s="954"/>
      <c r="G44" s="47" t="s">
        <v>60</v>
      </c>
      <c r="H44" s="223">
        <v>251</v>
      </c>
      <c r="I44" s="136">
        <f>INDEX('[1]111-112-113 ADDITIONAL FUND'!G$1:G$65536,MATCH($A$1,'[1]111-112-113 ADDITIONAL FUND'!A$1:A$65536))</f>
        <v>1173</v>
      </c>
      <c r="J44" s="727">
        <f t="shared" si="8"/>
        <v>10557</v>
      </c>
      <c r="L44" s="3"/>
      <c r="M44" s="2"/>
      <c r="Q44" s="4"/>
      <c r="R44" s="903"/>
      <c r="S44" s="903"/>
      <c r="T44" s="905"/>
      <c r="U44" s="905"/>
      <c r="V44" s="182" t="s">
        <v>60</v>
      </c>
      <c r="W44" s="239">
        <v>251</v>
      </c>
      <c r="X44" s="134">
        <f t="shared" si="9"/>
        <v>1173</v>
      </c>
      <c r="Y44" s="269">
        <f t="shared" si="10"/>
        <v>0</v>
      </c>
    </row>
    <row r="45" spans="1:25" x14ac:dyDescent="0.25">
      <c r="A45" s="960"/>
      <c r="B45" s="960"/>
      <c r="C45" s="415">
        <v>1.5</v>
      </c>
      <c r="D45" s="415">
        <v>0</v>
      </c>
      <c r="E45" s="954">
        <f t="shared" si="7"/>
        <v>3</v>
      </c>
      <c r="F45" s="954"/>
      <c r="G45" s="47" t="s">
        <v>60</v>
      </c>
      <c r="H45" s="223">
        <v>252</v>
      </c>
      <c r="I45" s="136">
        <f>INDEX('[1]111-112-113 ADDITIONAL FUND'!H$1:H$65536,MATCH($A$1,'[1]111-112-113 ADDITIONAL FUND'!A$1:A$65536))</f>
        <v>3506</v>
      </c>
      <c r="J45" s="727">
        <f t="shared" si="8"/>
        <v>10518</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6">
        <v>0</v>
      </c>
      <c r="D49" s="416">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16.5</v>
      </c>
      <c r="D50" s="585">
        <f>SUM(D41:D49)</f>
        <v>0</v>
      </c>
      <c r="E50" s="956">
        <f>SUM(E41:E49)</f>
        <v>33</v>
      </c>
      <c r="F50" s="956"/>
      <c r="G50" s="912" t="s">
        <v>63</v>
      </c>
      <c r="H50" s="912"/>
      <c r="I50" s="912"/>
      <c r="J50" s="276">
        <f>SUM(J41:J49)</f>
        <v>54727</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228</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1.0970000000000001E-3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246.42490000000001</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1.114E-3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228</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1.274E-3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228</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1.0989999999999999E-3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228</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1.2769999999999999E-3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1.0989999999999999E-3</v>
      </c>
      <c r="J68" s="138">
        <f>ROUND(G68*I68,2)</f>
        <v>50146.92</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INDEX('[1]Detail 2025-26 FEFP Second'!L$1:L$65536,MATCH(A1,'[1]Detail 2025-26 FEFP Second'!A$1:A$65536))</f>
        <v>0</v>
      </c>
      <c r="H70" s="223" t="s">
        <v>81</v>
      </c>
      <c r="I70" s="41">
        <f>I54</f>
        <v>1.0970000000000001E-3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1.2769999999999999E-3</v>
      </c>
      <c r="J71" s="138">
        <f>ROUND(G71*I71,2)</f>
        <v>24178.79</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1.274E-3</v>
      </c>
      <c r="J72" s="138">
        <f>ROUND(G72*I72,2)</f>
        <v>14396.22</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1.114E-3</v>
      </c>
      <c r="J85" s="138">
        <f>ROUND(G85*I85,2)</f>
        <v>299461.33</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1.114E-3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1.0970000000000001E-3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163.79140000000001</v>
      </c>
      <c r="C90" s="245"/>
      <c r="D90" s="869">
        <f>I6</f>
        <v>1.0355000000000001</v>
      </c>
      <c r="E90" s="869"/>
      <c r="F90" s="869"/>
      <c r="G90" s="122">
        <f>'[1]Detail 2025-26 FEFP Second'!AB3</f>
        <v>958.42</v>
      </c>
      <c r="H90" s="47" t="s">
        <v>68</v>
      </c>
      <c r="I90" s="727">
        <f>ROUND(B90*D90*G90,2)</f>
        <v>162553.78</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82.633499999999998</v>
      </c>
      <c r="C91" s="245"/>
      <c r="D91" s="869">
        <f>I6</f>
        <v>1.0355000000000001</v>
      </c>
      <c r="E91" s="869"/>
      <c r="F91" s="869"/>
      <c r="G91" s="122">
        <f>'[1]Detail 2025-26 FEFP Second'!AC3</f>
        <v>915.09</v>
      </c>
      <c r="H91" s="47" t="s">
        <v>68</v>
      </c>
      <c r="I91" s="727">
        <f>ROUND(B91*D91*G91,2)</f>
        <v>78301.5</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727">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246.42490000000001</v>
      </c>
      <c r="C93" s="109"/>
      <c r="D93" s="109"/>
      <c r="E93" s="939" t="s">
        <v>112</v>
      </c>
      <c r="F93" s="939"/>
      <c r="G93" s="939"/>
      <c r="H93" s="939"/>
      <c r="I93" s="939"/>
      <c r="J93" s="127">
        <f>IF(A1=75,0,I92+I91+I90)</f>
        <v>240855.28</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2054707.92</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1955136.5999999999</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09" t="s">
        <v>432</v>
      </c>
      <c r="I114" s="710">
        <f>IF(I111=1,J111,J109)</f>
        <v>1955136.5999999999</v>
      </c>
      <c r="J114" s="711">
        <f>ROUND(IF(E28=0,0,IF(E28&gt;250,-(((250/E28)*I114)*IF(H114="H",0.02,0.05)),IF(H114="H",-0.02*I114,-0.05*I114))),2)</f>
        <v>-39102.730000000003</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2015605.19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Payments'!R100</f>
        <v>-1179070.06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836535.12999999989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167307.03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A032-7DA8-426C-94D0-052776C3AD89}">
  <dimension ref="A1:Z207"/>
  <sheetViews>
    <sheetView topLeftCell="A3" workbookViewId="0">
      <selection activeCell="I99" sqref="I9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458</v>
      </c>
      <c r="B2" s="102"/>
      <c r="C2" s="102"/>
      <c r="D2" s="102"/>
      <c r="E2" s="100"/>
      <c r="F2" s="100"/>
      <c r="G2" s="100"/>
      <c r="H2" s="100"/>
      <c r="I2" s="100"/>
      <c r="J2" s="732" t="s">
        <v>548</v>
      </c>
      <c r="K2" s="732"/>
      <c r="L2" s="6"/>
      <c r="M2" s="6"/>
      <c r="N2" s="6"/>
      <c r="O2" s="6"/>
      <c r="P2" s="6"/>
      <c r="Q2" s="6"/>
      <c r="R2" s="875" t="str">
        <f>Revenue_Estimate_Worksheet_for___________Charter_School</f>
        <v>Revenue Estimate Worksheet: Gardens School of Technology Arts - 3961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t="s">
        <v>180</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Second'!$C$1:$C$65536,MATCH('3961'!$A$1,'[1]Detail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Second'!$D$1:$D$65536,MATCH('3961'!$A$1,'[1]Detail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v>
      </c>
      <c r="D15" s="415">
        <v>0</v>
      </c>
      <c r="E15" s="967">
        <f t="shared" si="0"/>
        <v>0</v>
      </c>
      <c r="F15" s="967"/>
      <c r="G15" s="968">
        <v>1</v>
      </c>
      <c r="H15" s="968"/>
      <c r="I15" s="578">
        <f t="shared" si="2"/>
        <v>0</v>
      </c>
      <c r="J15" s="579">
        <f t="shared" si="1"/>
        <v>0</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0</v>
      </c>
      <c r="D28" s="126">
        <f>SUM(D12:D27)</f>
        <v>0</v>
      </c>
      <c r="E28" s="966">
        <f>SUM(E12:E27)</f>
        <v>0</v>
      </c>
      <c r="F28" s="966"/>
      <c r="G28" s="961"/>
      <c r="H28" s="961"/>
      <c r="I28" s="23">
        <f>SUM(I12:I27)</f>
        <v>0</v>
      </c>
      <c r="J28" s="127">
        <f>SUM(J12:J27)</f>
        <v>0</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0</v>
      </c>
      <c r="H33" s="961" t="s">
        <v>45</v>
      </c>
      <c r="I33" s="961"/>
      <c r="J33" s="32">
        <f>SUM(J32,J28)</f>
        <v>0</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0</v>
      </c>
      <c r="H36" s="223" t="s">
        <v>49</v>
      </c>
      <c r="I36" s="38">
        <v>6.6699999999999995E-2</v>
      </c>
      <c r="J36" s="131">
        <f>ROUND(G36*I36,2)</f>
        <v>0</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0</v>
      </c>
      <c r="H37" s="223" t="s">
        <v>49</v>
      </c>
      <c r="I37" s="38">
        <v>5.4000000000000003E-3</v>
      </c>
      <c r="J37" s="131">
        <f>ROUND(G37*I37,2)</f>
        <v>0</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0</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0</v>
      </c>
      <c r="D44" s="415">
        <v>0</v>
      </c>
      <c r="E44" s="954">
        <f t="shared" si="7"/>
        <v>0</v>
      </c>
      <c r="F44" s="954"/>
      <c r="G44" s="47" t="s">
        <v>60</v>
      </c>
      <c r="H44" s="223">
        <v>251</v>
      </c>
      <c r="I44" s="136">
        <f>INDEX('[1]111-112-113 ADDITIONAL FUND'!G$1:G$65536,MATCH($A$1,'[1]111-112-113 ADDITIONAL FUND'!A$1:A$65536))</f>
        <v>1173</v>
      </c>
      <c r="J44" s="13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46">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0</v>
      </c>
      <c r="D50" s="585">
        <f>SUM(D41:D49)</f>
        <v>0</v>
      </c>
      <c r="E50" s="956">
        <f>SUM(E41:E49)</f>
        <v>0</v>
      </c>
      <c r="F50" s="956"/>
      <c r="G50" s="912" t="s">
        <v>63</v>
      </c>
      <c r="H50" s="912"/>
      <c r="I50" s="912"/>
      <c r="J50" s="276">
        <f>SUM(J41:J49)</f>
        <v>0</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215320.92</v>
      </c>
      <c r="Y52" s="919"/>
    </row>
    <row r="53" spans="1:25" ht="16.5" customHeight="1" x14ac:dyDescent="0.25">
      <c r="A53" s="899" t="s">
        <v>65</v>
      </c>
      <c r="B53" s="899"/>
      <c r="C53" s="237"/>
      <c r="D53" s="237"/>
      <c r="E53" s="48">
        <f>E28</f>
        <v>0</v>
      </c>
      <c r="F53" s="49" t="s">
        <v>66</v>
      </c>
      <c r="G53" s="3"/>
      <c r="H53" s="50" t="s">
        <v>67</v>
      </c>
      <c r="I53" s="994">
        <f>INDEX('[1]Detail 2025-26 FEFP Second'!E$1:E$65536,MATCH(A1,'[1]Detail 2025-26 FEFP Second'!A$1:A$65536))</f>
        <v>215320.92</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0</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E56</f>
        <v>0</v>
      </c>
      <c r="U55" s="184" t="s">
        <v>66</v>
      </c>
      <c r="V55" s="185"/>
      <c r="W55" s="186" t="s">
        <v>71</v>
      </c>
      <c r="X55" s="919">
        <f>I56</f>
        <v>229051.25000000003</v>
      </c>
      <c r="Y55" s="919"/>
    </row>
    <row r="56" spans="1:25" ht="16.5" customHeight="1" x14ac:dyDescent="0.25">
      <c r="A56" s="899" t="s">
        <v>70</v>
      </c>
      <c r="B56" s="899"/>
      <c r="C56" s="237"/>
      <c r="D56" s="237"/>
      <c r="E56" s="48">
        <f>G33</f>
        <v>0</v>
      </c>
      <c r="F56" s="49" t="s">
        <v>66</v>
      </c>
      <c r="G56" s="3"/>
      <c r="H56" s="50" t="s">
        <v>71</v>
      </c>
      <c r="I56" s="994">
        <f>INDEX('[1]Detail 2025-26 FEFP Second'!F$1:F$65536,MATCH(A1,'[1]Detail 2025-26 FEFP Second'!A$1:A$65536))</f>
        <v>229051.25000000003</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0</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186156.17</v>
      </c>
      <c r="Y58" s="919"/>
    </row>
    <row r="59" spans="1:25" ht="18.75" customHeight="1" x14ac:dyDescent="0.25">
      <c r="A59" s="899" t="s">
        <v>73</v>
      </c>
      <c r="B59" s="899"/>
      <c r="C59" s="237"/>
      <c r="D59" s="237"/>
      <c r="E59" s="48">
        <f>E28</f>
        <v>0</v>
      </c>
      <c r="F59" s="49" t="s">
        <v>66</v>
      </c>
      <c r="G59" s="990" t="s">
        <v>74</v>
      </c>
      <c r="H59" s="990"/>
      <c r="I59" s="994">
        <f>INDEX('[1]Detail 2025-26 FEFP Second'!H$1:H$65536,MATCH(A1,'[1]Detail 2025-26 FEFP Second'!A$1:A$65536))</f>
        <v>186156.17</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0</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215016.58000000002</v>
      </c>
      <c r="Y61" s="919"/>
    </row>
    <row r="62" spans="1:25" ht="30.75" customHeight="1" x14ac:dyDescent="0.25">
      <c r="A62" s="899" t="s">
        <v>73</v>
      </c>
      <c r="B62" s="899"/>
      <c r="C62" s="237"/>
      <c r="D62" s="237"/>
      <c r="E62" s="48">
        <f>E28</f>
        <v>0</v>
      </c>
      <c r="F62" s="49" t="s">
        <v>66</v>
      </c>
      <c r="G62" s="990" t="s">
        <v>76</v>
      </c>
      <c r="H62" s="990"/>
      <c r="I62" s="994">
        <f>INDEX('[1]Detail 2025-26 FEFP Second'!G$1:G$65536,MATCH(A1,'[1]Detail 2025-26 FEFP Second'!A$1:A$65536))</f>
        <v>215016.58000000002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0</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185851.83000000002</v>
      </c>
      <c r="Y64" s="919"/>
    </row>
    <row r="65" spans="1:26" ht="49.5" customHeight="1" x14ac:dyDescent="0.25">
      <c r="A65" s="899" t="s">
        <v>73</v>
      </c>
      <c r="B65" s="899"/>
      <c r="C65" s="237"/>
      <c r="D65" s="237"/>
      <c r="E65" s="48">
        <f>E28</f>
        <v>0</v>
      </c>
      <c r="F65" s="49" t="s">
        <v>66</v>
      </c>
      <c r="G65" s="990" t="s">
        <v>78</v>
      </c>
      <c r="H65" s="990"/>
      <c r="I65" s="994">
        <f>INDEX('[1]Detail 2025-26 FEFP Second'!I$1:I$65536,MATCH(A1,'[1]Detail 2025-26 FEFP Second'!A$1:A$65536))</f>
        <v>185851.83000000002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0</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47290747</v>
      </c>
      <c r="W67" s="239" t="s">
        <v>81</v>
      </c>
      <c r="X67" s="176">
        <f>X62</f>
        <v>0</v>
      </c>
      <c r="Y67" s="271">
        <f>ROUND(V67*X67,2)</f>
        <v>0</v>
      </c>
    </row>
    <row r="68" spans="1:26" ht="30.75" customHeight="1" x14ac:dyDescent="0.25">
      <c r="A68" s="946" t="s">
        <v>79</v>
      </c>
      <c r="B68" s="946"/>
      <c r="C68" s="946"/>
      <c r="D68" s="946"/>
      <c r="E68" s="946"/>
      <c r="F68" s="248" t="s">
        <v>80</v>
      </c>
      <c r="G68" s="277">
        <f>INDEX('[1]Detail 2025-26 FEFP Second'!N$1:N$65536,MATCH(A1,'[1]Detail 2025-26 FEFP Second'!A$1:A$65536))</f>
        <v>47290747</v>
      </c>
      <c r="H68" s="223" t="s">
        <v>81</v>
      </c>
      <c r="I68" s="41">
        <f>I63</f>
        <v>0</v>
      </c>
      <c r="J68" s="138">
        <f>ROUND(G68*I68,2)</f>
        <v>0</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INDEX('[1]Detail 2025-26 FEFP Second'!L$1:L$65536,MATCH(A1,'[1]Detail 2025-26 FEFP Second'!A$1:A$65536))</f>
        <v>0</v>
      </c>
      <c r="H70" s="223" t="s">
        <v>81</v>
      </c>
      <c r="I70" s="41">
        <f>I54</f>
        <v>0</v>
      </c>
      <c r="J70" s="138">
        <f>ROUND(G70*I70,2)</f>
        <v>0</v>
      </c>
      <c r="M70" s="2"/>
      <c r="R70" s="862" t="s">
        <v>163</v>
      </c>
      <c r="S70" s="862"/>
      <c r="T70" s="862"/>
      <c r="U70" s="253"/>
      <c r="V70" s="193">
        <f>G71</f>
        <v>19167881</v>
      </c>
      <c r="W70" s="239" t="s">
        <v>81</v>
      </c>
      <c r="X70" s="176">
        <f>X65</f>
        <v>0</v>
      </c>
      <c r="Y70" s="266">
        <f t="shared" si="11"/>
        <v>0</v>
      </c>
    </row>
    <row r="71" spans="1:26" ht="19.5" customHeight="1" x14ac:dyDescent="0.25">
      <c r="A71" s="898" t="s">
        <v>85</v>
      </c>
      <c r="B71" s="898"/>
      <c r="C71" s="898"/>
      <c r="D71" s="898"/>
      <c r="E71" s="898"/>
      <c r="F71" s="248" t="s">
        <v>86</v>
      </c>
      <c r="G71" s="277">
        <f>INDEX('[1]Detail 2025-26 FEFP Second'!M$1:M$65536,MATCH(A1,'[1]Detail 2025-26 FEFP Second'!A$1:A$65536))</f>
        <v>19167881</v>
      </c>
      <c r="H71" s="223" t="s">
        <v>81</v>
      </c>
      <c r="I71" s="41">
        <f>I66</f>
        <v>0</v>
      </c>
      <c r="J71" s="138">
        <f>ROUND(G71*I71,2)</f>
        <v>0</v>
      </c>
      <c r="M71" s="2"/>
      <c r="R71" s="240" t="s">
        <v>164</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63269727</v>
      </c>
      <c r="W83" s="239" t="s">
        <v>81</v>
      </c>
      <c r="X83" s="176">
        <f>IFERROR(ROUND(Y80/Y81,6),0)</f>
        <v>0</v>
      </c>
      <c r="Y83" s="266">
        <f>ROUND(V83*X83,2)</f>
        <v>0</v>
      </c>
      <c r="Z83" s="72"/>
    </row>
    <row r="84" spans="1:26" ht="21" customHeight="1" x14ac:dyDescent="0.25">
      <c r="A84" s="861" t="s">
        <v>101</v>
      </c>
      <c r="B84" s="861"/>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0</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0</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141">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0</v>
      </c>
      <c r="C91" s="245"/>
      <c r="D91" s="869">
        <f>I6</f>
        <v>1.0355000000000001</v>
      </c>
      <c r="E91" s="869"/>
      <c r="F91" s="869"/>
      <c r="G91" s="122">
        <f>'[1]Detail 2025-26 FEFP Second'!AC3</f>
        <v>915.09</v>
      </c>
      <c r="H91" s="47" t="s">
        <v>68</v>
      </c>
      <c r="I91" s="140">
        <f>ROUND(B91*D91*G91,2)</f>
        <v>0</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0</v>
      </c>
      <c r="C93" s="109"/>
      <c r="D93" s="109"/>
      <c r="E93" s="939" t="s">
        <v>112</v>
      </c>
      <c r="F93" s="939"/>
      <c r="G93" s="939"/>
      <c r="H93" s="939"/>
      <c r="I93" s="939"/>
      <c r="J93" s="127">
        <f>IF(A1=75,0,I92+I91+I90)</f>
        <v>0</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0</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0</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94" t="s">
        <v>432</v>
      </c>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Payments'!R101</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3E64-4DB6-4474-9207-57D94554FBEA}">
  <dimension ref="A1:Z207"/>
  <sheetViews>
    <sheetView topLeftCell="A111"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459</v>
      </c>
      <c r="B2" s="102"/>
      <c r="C2" s="102"/>
      <c r="D2" s="102"/>
      <c r="E2" s="100"/>
      <c r="F2" s="100"/>
      <c r="G2" s="100"/>
      <c r="H2" s="100"/>
      <c r="I2" s="100"/>
      <c r="J2" s="100"/>
      <c r="K2" s="6"/>
      <c r="L2" s="6"/>
      <c r="M2" s="6"/>
      <c r="N2" s="6"/>
      <c r="O2" s="6"/>
      <c r="P2" s="6"/>
      <c r="Q2" s="6"/>
      <c r="R2" s="875" t="str">
        <f>Revenue_Estimate_Worksheet_for___________Charter_School</f>
        <v>Revenue Estimate Worksheet: Palm Beach Preparatory Charter Academy - 3971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Second'!$C$1:$C$65536,MATCH('3971'!$A$1,'[1]Detail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Second'!$D$1:$D$65536,MATCH('3971'!$A$1,'[1]Detail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v>
      </c>
      <c r="D15" s="415">
        <v>0</v>
      </c>
      <c r="E15" s="967">
        <f t="shared" si="0"/>
        <v>0</v>
      </c>
      <c r="F15" s="967"/>
      <c r="G15" s="968">
        <v>1</v>
      </c>
      <c r="H15" s="968"/>
      <c r="I15" s="578">
        <f t="shared" si="2"/>
        <v>0</v>
      </c>
      <c r="J15" s="579">
        <f t="shared" si="1"/>
        <v>0</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223.28</v>
      </c>
      <c r="D16" s="415">
        <v>0</v>
      </c>
      <c r="E16" s="967">
        <f t="shared" si="0"/>
        <v>446.56</v>
      </c>
      <c r="F16" s="967"/>
      <c r="G16" s="968">
        <v>0.97199999999999998</v>
      </c>
      <c r="H16" s="968"/>
      <c r="I16" s="578">
        <f t="shared" si="2"/>
        <v>434.05630000000002</v>
      </c>
      <c r="J16" s="579">
        <f t="shared" si="1"/>
        <v>2414797.2599999998</v>
      </c>
      <c r="M16" s="2"/>
      <c r="R16" s="860" t="s">
        <v>24</v>
      </c>
      <c r="S16" s="860"/>
      <c r="T16" s="891">
        <f t="shared" si="3"/>
        <v>0</v>
      </c>
      <c r="U16" s="891"/>
      <c r="V16" s="896">
        <v>1</v>
      </c>
      <c r="W16" s="896"/>
      <c r="X16" s="156">
        <f t="shared" si="4"/>
        <v>0</v>
      </c>
      <c r="Y16" s="266">
        <f t="shared" si="6"/>
        <v>0</v>
      </c>
    </row>
    <row r="17" spans="1:25" x14ac:dyDescent="0.25">
      <c r="A17" s="861" t="s">
        <v>25</v>
      </c>
      <c r="B17" s="861"/>
      <c r="C17" s="415">
        <v>57.72</v>
      </c>
      <c r="D17" s="415">
        <v>0</v>
      </c>
      <c r="E17" s="967">
        <f t="shared" si="0"/>
        <v>115.44</v>
      </c>
      <c r="F17" s="967"/>
      <c r="G17" s="968">
        <v>0.97199999999999998</v>
      </c>
      <c r="H17" s="968"/>
      <c r="I17" s="578">
        <f t="shared" si="2"/>
        <v>112.2077</v>
      </c>
      <c r="J17" s="579">
        <f t="shared" si="1"/>
        <v>624248.16</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23.9</v>
      </c>
      <c r="D26" s="415">
        <v>0</v>
      </c>
      <c r="E26" s="967">
        <f t="shared" si="0"/>
        <v>47.8</v>
      </c>
      <c r="F26" s="967"/>
      <c r="G26" s="968">
        <v>1.165</v>
      </c>
      <c r="H26" s="968"/>
      <c r="I26" s="578">
        <f t="shared" si="2"/>
        <v>55.686999999999998</v>
      </c>
      <c r="J26" s="579">
        <f t="shared" si="1"/>
        <v>309805.01</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304.89999999999998</v>
      </c>
      <c r="D28" s="126">
        <f>SUM(D12:D27)</f>
        <v>0</v>
      </c>
      <c r="E28" s="966">
        <f>SUM(E12:E27)</f>
        <v>609.79999999999995</v>
      </c>
      <c r="F28" s="966"/>
      <c r="G28" s="961"/>
      <c r="H28" s="961"/>
      <c r="I28" s="23">
        <f>SUM(I12:I27)</f>
        <v>601.95100000000002</v>
      </c>
      <c r="J28" s="127">
        <f>SUM(J12:J27)</f>
        <v>3348850.4299999997</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601.95100000000002</v>
      </c>
      <c r="H33" s="961" t="s">
        <v>45</v>
      </c>
      <c r="I33" s="961"/>
      <c r="J33" s="32">
        <f>SUM(J32,J28)</f>
        <v>3348850.4299999997</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3482820.36</v>
      </c>
      <c r="H36" s="223" t="s">
        <v>49</v>
      </c>
      <c r="I36" s="38">
        <v>6.6699999999999995E-2</v>
      </c>
      <c r="J36" s="131">
        <f>ROUND(G36*I36,2)</f>
        <v>232304.12</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3482820.36</v>
      </c>
      <c r="H37" s="223" t="s">
        <v>49</v>
      </c>
      <c r="I37" s="38">
        <v>5.4000000000000003E-3</v>
      </c>
      <c r="J37" s="131">
        <f>ROUND(G37*I37,2)</f>
        <v>18807.23</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251111.35</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727">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727">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ht="20.25" customHeight="1" x14ac:dyDescent="0.25">
      <c r="A44" s="960"/>
      <c r="B44" s="960"/>
      <c r="C44" s="415">
        <v>0</v>
      </c>
      <c r="D44" s="415">
        <v>0</v>
      </c>
      <c r="E44" s="954">
        <f t="shared" si="7"/>
        <v>0</v>
      </c>
      <c r="F44" s="954"/>
      <c r="G44" s="47" t="s">
        <v>60</v>
      </c>
      <c r="H44" s="223">
        <v>251</v>
      </c>
      <c r="I44" s="136">
        <f>INDEX('[1]111-112-113 ADDITIONAL FUND'!G$1:G$65536,MATCH($A$1,'[1]111-112-113 ADDITIONAL FUND'!A$1:A$65536))</f>
        <v>1173</v>
      </c>
      <c r="J44" s="72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727">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54.22</v>
      </c>
      <c r="D47" s="415">
        <v>0</v>
      </c>
      <c r="E47" s="954">
        <f t="shared" si="7"/>
        <v>108.44</v>
      </c>
      <c r="F47" s="954"/>
      <c r="G47" s="47" t="s">
        <v>61</v>
      </c>
      <c r="H47" s="223">
        <v>251</v>
      </c>
      <c r="I47" s="136">
        <f>INDEX('[1]111-112-113 ADDITIONAL FUND'!J$1:J$65536,MATCH($A$1,'[1]111-112-113 ADDITIONAL FUND'!A$1:A$65536))</f>
        <v>835</v>
      </c>
      <c r="J47" s="727">
        <f t="shared" si="8"/>
        <v>90547.4</v>
      </c>
      <c r="M47" s="2"/>
      <c r="R47" s="903"/>
      <c r="S47" s="903"/>
      <c r="T47" s="905"/>
      <c r="U47" s="905"/>
      <c r="V47" s="182" t="s">
        <v>61</v>
      </c>
      <c r="W47" s="239">
        <v>251</v>
      </c>
      <c r="X47" s="134">
        <f t="shared" si="9"/>
        <v>835</v>
      </c>
      <c r="Y47" s="269">
        <f t="shared" si="10"/>
        <v>0</v>
      </c>
    </row>
    <row r="48" spans="1:25" ht="15.75" customHeight="1" x14ac:dyDescent="0.25">
      <c r="A48" s="960"/>
      <c r="B48" s="960"/>
      <c r="C48" s="415">
        <v>3.5</v>
      </c>
      <c r="D48" s="415">
        <v>0</v>
      </c>
      <c r="E48" s="954">
        <f t="shared" si="7"/>
        <v>7</v>
      </c>
      <c r="F48" s="954"/>
      <c r="G48" s="47" t="s">
        <v>61</v>
      </c>
      <c r="H48" s="223">
        <v>252</v>
      </c>
      <c r="I48" s="136">
        <f>INDEX('[1]111-112-113 ADDITIONAL FUND'!K$1:K$65536,MATCH($A$1,'[1]111-112-113 ADDITIONAL FUND'!A$1:A$65536))</f>
        <v>3168</v>
      </c>
      <c r="J48" s="727">
        <f t="shared" si="8"/>
        <v>22176</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57.72</v>
      </c>
      <c r="D50" s="585">
        <f>SUM(D41:D49)</f>
        <v>0</v>
      </c>
      <c r="E50" s="956">
        <f>SUM(E41:E49)</f>
        <v>115.44</v>
      </c>
      <c r="F50" s="956"/>
      <c r="G50" s="912" t="s">
        <v>63</v>
      </c>
      <c r="H50" s="912"/>
      <c r="I50" s="912"/>
      <c r="J50" s="276">
        <f>SUM(J41:J49)</f>
        <v>112723.4</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609.79999999999995</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2.9350000000000001E-3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601.95100000000002</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2.722E-3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609.79999999999995</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3.408E-3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609.79999999999995</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2.9390000000000002E-3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609.79999999999995</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3.4139999999999999E-3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2.9390000000000002E-3</v>
      </c>
      <c r="J68" s="138">
        <f>ROUND(G68*I68,2)</f>
        <v>134105.37</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2.9350000000000001E-3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3.4139999999999999E-3</v>
      </c>
      <c r="J71" s="138">
        <f>ROUND(G71*I71,2)</f>
        <v>64640.87</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3.408E-3</v>
      </c>
      <c r="J72" s="138">
        <f>ROUND(G72*I72,2)</f>
        <v>38510.44</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v>7</v>
      </c>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5.4299999999999997E-4</v>
      </c>
      <c r="J84" s="62">
        <f>ROUND(G84*I84,2)</f>
        <v>31767.01</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2.722E-3</v>
      </c>
      <c r="J85" s="138">
        <f>ROUND(G85*I85,2)</f>
        <v>731717.91</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2.722E-3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2.9350000000000001E-3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727">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0</v>
      </c>
      <c r="C91" s="245"/>
      <c r="D91" s="869">
        <f>I6</f>
        <v>1.0355000000000001</v>
      </c>
      <c r="E91" s="869"/>
      <c r="F91" s="869"/>
      <c r="G91" s="122">
        <f>'[1]Detail 2025-26 FEFP Second'!AC3</f>
        <v>915.09</v>
      </c>
      <c r="H91" s="47" t="s">
        <v>68</v>
      </c>
      <c r="I91" s="727">
        <f>ROUND(B91*D91*G91,2)</f>
        <v>0</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601.95100000000002</v>
      </c>
      <c r="C92" s="109"/>
      <c r="D92" s="869">
        <f>I6</f>
        <v>1.0355000000000001</v>
      </c>
      <c r="E92" s="869"/>
      <c r="F92" s="869"/>
      <c r="G92" s="122">
        <f>'[1]Detail 2025-26 FEFP Second'!AD3</f>
        <v>917.3</v>
      </c>
      <c r="H92" s="47" t="s">
        <v>68</v>
      </c>
      <c r="I92" s="727">
        <f>ROUND(B92*D92*G92,2)</f>
        <v>571771.67000000004</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601.95100000000002</v>
      </c>
      <c r="C93" s="109"/>
      <c r="D93" s="109"/>
      <c r="E93" s="939" t="s">
        <v>112</v>
      </c>
      <c r="F93" s="939"/>
      <c r="G93" s="939"/>
      <c r="H93" s="939"/>
      <c r="I93" s="939"/>
      <c r="J93" s="127">
        <f>IF(A1=75,0,I92+I91+I90)</f>
        <v>571771.67000000004</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119</v>
      </c>
      <c r="D97" s="279">
        <v>0</v>
      </c>
      <c r="E97" s="988">
        <f>(C97+D97)</f>
        <v>119</v>
      </c>
      <c r="F97" s="942"/>
      <c r="G97" s="942"/>
      <c r="H97" s="224" t="s">
        <v>117</v>
      </c>
      <c r="I97" s="130">
        <f>'0040'!I97</f>
        <v>586</v>
      </c>
      <c r="J97" s="138">
        <f>ROUND(I97*E97,2)</f>
        <v>69734</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5103821.1000000006</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4852709.7500000009</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09"/>
      <c r="I114" s="710">
        <f>IF(I111=1,J111,J109)</f>
        <v>4852709.7500000009</v>
      </c>
      <c r="J114" s="711">
        <f>ROUND(IF(E28=0,0,IF(E28&gt;250,-(((250/E28)*I114)*IF(H114="H",0.02,0.05)),IF(H114="H",-0.02*I114,-0.05*I114))),2)</f>
        <v>-99473.39</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5004347.7100000009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Payments'!R102</f>
        <v>-3142876.83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1861470.8800000008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372294.18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143162.1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CA24-E1C0-4582-B6B1-2F57AA4B9C2F}">
  <dimension ref="A1:Z207"/>
  <sheetViews>
    <sheetView topLeftCell="A98" workbookViewId="0">
      <selection activeCell="J45" sqref="J4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460</v>
      </c>
      <c r="B2" s="102"/>
      <c r="C2" s="102"/>
      <c r="D2" s="102"/>
      <c r="E2" s="100"/>
      <c r="F2" s="100"/>
      <c r="G2" s="100"/>
      <c r="H2" s="100"/>
      <c r="I2" s="100"/>
      <c r="J2" s="100"/>
      <c r="K2" s="6"/>
      <c r="L2" s="6"/>
      <c r="M2" s="6"/>
      <c r="N2" s="6"/>
      <c r="O2" s="6"/>
      <c r="P2" s="6"/>
      <c r="Q2" s="6"/>
      <c r="R2" s="875" t="str">
        <f>Revenue_Estimate_Worksheet_for___________Charter_School</f>
        <v>Revenue Estimate Worksheet: Renaissance Charter School at Wellington - 4001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Second'!$C$1:$C$65536,MATCH('4001'!$A$1,'[1]Detail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90.9</v>
      </c>
      <c r="D12" s="411">
        <v>0</v>
      </c>
      <c r="E12" s="980">
        <f t="shared" ref="E12:E27" si="0">IF($D$28=0,C12*2,C12+D12)</f>
        <v>181.8</v>
      </c>
      <c r="F12" s="980"/>
      <c r="G12" s="981">
        <v>1.1080000000000001</v>
      </c>
      <c r="H12" s="981"/>
      <c r="I12" s="578">
        <f>ROUND(E12*G12,4)</f>
        <v>201.43440000000001</v>
      </c>
      <c r="J12" s="579">
        <f t="shared" ref="J12:J27" si="1">ROUND(ROUND(ROUND(I12*$E$6,4)*($I$6),2)*(MAX($I$7,1)),2)</f>
        <v>1120645.5</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13</v>
      </c>
      <c r="D13" s="415">
        <v>0</v>
      </c>
      <c r="E13" s="967">
        <f t="shared" si="0"/>
        <v>26</v>
      </c>
      <c r="F13" s="967"/>
      <c r="G13" s="968">
        <v>1.1080000000000001</v>
      </c>
      <c r="H13" s="968"/>
      <c r="I13" s="578">
        <f t="shared" ref="I13:I27" si="2">ROUND(E13*G13,4)</f>
        <v>28.808</v>
      </c>
      <c r="J13" s="579">
        <f t="shared" si="1"/>
        <v>160268.32999999999</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149.74</v>
      </c>
      <c r="D14" s="415">
        <v>0</v>
      </c>
      <c r="E14" s="967">
        <f t="shared" si="0"/>
        <v>299.48</v>
      </c>
      <c r="F14" s="967"/>
      <c r="G14" s="968">
        <v>1</v>
      </c>
      <c r="H14" s="968"/>
      <c r="I14" s="578">
        <f t="shared" si="2"/>
        <v>299.48</v>
      </c>
      <c r="J14" s="579">
        <f>ROUND(ROUND(ROUND(I14*$E$6,4)*($I$6),2)*(MAX($I$7,1)),2)</f>
        <v>1666105.26</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24</v>
      </c>
      <c r="D15" s="415">
        <v>0</v>
      </c>
      <c r="E15" s="967">
        <f t="shared" si="0"/>
        <v>48</v>
      </c>
      <c r="F15" s="967"/>
      <c r="G15" s="968">
        <v>1</v>
      </c>
      <c r="H15" s="968"/>
      <c r="I15" s="578">
        <f t="shared" si="2"/>
        <v>48</v>
      </c>
      <c r="J15" s="579">
        <f t="shared" si="1"/>
        <v>267039.71000000002</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28.6</v>
      </c>
      <c r="D24" s="415">
        <v>0</v>
      </c>
      <c r="E24" s="967">
        <f t="shared" si="0"/>
        <v>57.2</v>
      </c>
      <c r="F24" s="967"/>
      <c r="G24" s="968">
        <v>1.165</v>
      </c>
      <c r="H24" s="968"/>
      <c r="I24" s="578">
        <f t="shared" si="2"/>
        <v>66.638000000000005</v>
      </c>
      <c r="J24" s="579">
        <f t="shared" si="1"/>
        <v>370729</v>
      </c>
      <c r="M24" s="2"/>
      <c r="R24" s="860" t="s">
        <v>32</v>
      </c>
      <c r="S24" s="860"/>
      <c r="T24" s="891">
        <f t="shared" si="3"/>
        <v>0</v>
      </c>
      <c r="U24" s="891"/>
      <c r="V24" s="896">
        <v>1</v>
      </c>
      <c r="W24" s="896"/>
      <c r="X24" s="156">
        <f t="shared" si="4"/>
        <v>0</v>
      </c>
      <c r="Y24" s="266">
        <f t="shared" si="6"/>
        <v>0</v>
      </c>
    </row>
    <row r="25" spans="1:25" x14ac:dyDescent="0.25">
      <c r="A25" s="861" t="s">
        <v>33</v>
      </c>
      <c r="B25" s="861"/>
      <c r="C25" s="415">
        <v>15.260000000000002</v>
      </c>
      <c r="D25" s="415">
        <v>0</v>
      </c>
      <c r="E25" s="967">
        <f t="shared" si="0"/>
        <v>30.520000000000003</v>
      </c>
      <c r="F25" s="967"/>
      <c r="G25" s="968">
        <v>1.165</v>
      </c>
      <c r="H25" s="968"/>
      <c r="I25" s="578">
        <f t="shared" si="2"/>
        <v>35.555799999999998</v>
      </c>
      <c r="J25" s="579">
        <f t="shared" si="1"/>
        <v>197808.55</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26">
        <f>SUM(C12:C27)</f>
        <v>321.5</v>
      </c>
      <c r="D28" s="126">
        <f>SUM(D12:D27)</f>
        <v>0</v>
      </c>
      <c r="E28" s="966">
        <f>SUM(E12:E27)</f>
        <v>643</v>
      </c>
      <c r="F28" s="966"/>
      <c r="G28" s="961"/>
      <c r="H28" s="961"/>
      <c r="I28" s="23">
        <f>SUM(I12:I27)</f>
        <v>679.9162</v>
      </c>
      <c r="J28" s="127">
        <f>SUM(J12:J27)</f>
        <v>3782596.3499999996</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679.9162</v>
      </c>
      <c r="H33" s="961" t="s">
        <v>45</v>
      </c>
      <c r="I33" s="961"/>
      <c r="J33" s="32">
        <f>SUM(J32,J28)</f>
        <v>3782596.3499999996</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4028326.8499999996</v>
      </c>
      <c r="H36" s="223" t="s">
        <v>49</v>
      </c>
      <c r="I36" s="38">
        <v>6.6699999999999995E-2</v>
      </c>
      <c r="J36" s="131">
        <f>ROUND(G36*I36,2)</f>
        <v>268689.40000000002</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4028326.8499999996</v>
      </c>
      <c r="H37" s="223" t="s">
        <v>49</v>
      </c>
      <c r="I37" s="38">
        <v>5.4000000000000003E-3</v>
      </c>
      <c r="J37" s="131">
        <f>ROUND(G37*I37,2)</f>
        <v>21752.959999999999</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290442.36000000004</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9</v>
      </c>
      <c r="D41" s="415">
        <v>0</v>
      </c>
      <c r="E41" s="954">
        <f t="shared" ref="E41:E49" si="7">IF($D$50=0,C41*2,C41+D41)</f>
        <v>18</v>
      </c>
      <c r="F41" s="954"/>
      <c r="G41" s="223" t="s">
        <v>59</v>
      </c>
      <c r="H41" s="223">
        <v>251</v>
      </c>
      <c r="I41" s="136">
        <f>INDEX('[1]111-112-113 ADDITIONAL FUND'!D$1:D$65536,MATCH($A$1,'[1]111-112-113 ADDITIONAL FUND'!A$1:A$65536))</f>
        <v>1047</v>
      </c>
      <c r="J41" s="727">
        <f t="shared" ref="J41:J49" si="8">ROUND(E41*I41,2)</f>
        <v>18846</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4</v>
      </c>
      <c r="D42" s="415">
        <v>0</v>
      </c>
      <c r="E42" s="954">
        <f t="shared" si="7"/>
        <v>8</v>
      </c>
      <c r="F42" s="954"/>
      <c r="G42" s="223" t="s">
        <v>59</v>
      </c>
      <c r="H42" s="223">
        <v>252</v>
      </c>
      <c r="I42" s="136">
        <f>INDEX('[1]111-112-113 ADDITIONAL FUND'!E$1:E$65536,MATCH($A$1,'[1]111-112-113 ADDITIONAL FUND'!A$1:A$65536))</f>
        <v>3380</v>
      </c>
      <c r="J42" s="727">
        <f t="shared" si="8"/>
        <v>27040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21.5</v>
      </c>
      <c r="D44" s="415">
        <v>0</v>
      </c>
      <c r="E44" s="954">
        <f t="shared" si="7"/>
        <v>43</v>
      </c>
      <c r="F44" s="954"/>
      <c r="G44" s="47" t="s">
        <v>60</v>
      </c>
      <c r="H44" s="223">
        <v>251</v>
      </c>
      <c r="I44" s="136">
        <f>INDEX('[1]111-112-113 ADDITIONAL FUND'!G$1:G$65536,MATCH($A$1,'[1]111-112-113 ADDITIONAL FUND'!A$1:A$65536))</f>
        <v>1173</v>
      </c>
      <c r="J44" s="727">
        <f t="shared" si="8"/>
        <v>50439</v>
      </c>
      <c r="L44" s="3"/>
      <c r="M44" s="2"/>
      <c r="Q44" s="4"/>
      <c r="R44" s="903"/>
      <c r="S44" s="903"/>
      <c r="T44" s="905"/>
      <c r="U44" s="905"/>
      <c r="V44" s="182" t="s">
        <v>60</v>
      </c>
      <c r="W44" s="239">
        <v>251</v>
      </c>
      <c r="X44" s="134">
        <f t="shared" si="9"/>
        <v>1173</v>
      </c>
      <c r="Y44" s="269">
        <f t="shared" si="10"/>
        <v>0</v>
      </c>
    </row>
    <row r="45" spans="1:25" x14ac:dyDescent="0.25">
      <c r="A45" s="960"/>
      <c r="B45" s="960"/>
      <c r="C45" s="415">
        <v>2</v>
      </c>
      <c r="D45" s="415">
        <v>0</v>
      </c>
      <c r="E45" s="954">
        <f t="shared" si="7"/>
        <v>4</v>
      </c>
      <c r="F45" s="954"/>
      <c r="G45" s="47" t="s">
        <v>60</v>
      </c>
      <c r="H45" s="223">
        <v>252</v>
      </c>
      <c r="I45" s="136">
        <f>INDEX('[1]111-112-113 ADDITIONAL FUND'!H$1:H$65536,MATCH($A$1,'[1]111-112-113 ADDITIONAL FUND'!A$1:A$65536))</f>
        <v>3506</v>
      </c>
      <c r="J45" s="727">
        <f t="shared" si="8"/>
        <v>14024</v>
      </c>
      <c r="M45" s="2"/>
      <c r="R45" s="903"/>
      <c r="S45" s="903"/>
      <c r="T45" s="905"/>
      <c r="U45" s="905"/>
      <c r="V45" s="182" t="s">
        <v>60</v>
      </c>
      <c r="W45" s="239">
        <v>252</v>
      </c>
      <c r="X45" s="134">
        <f t="shared" si="9"/>
        <v>3506</v>
      </c>
      <c r="Y45" s="269">
        <f t="shared" si="10"/>
        <v>0</v>
      </c>
    </row>
    <row r="46" spans="1:25" x14ac:dyDescent="0.25">
      <c r="A46" s="960"/>
      <c r="B46" s="960"/>
      <c r="C46" s="415">
        <v>0.5</v>
      </c>
      <c r="D46" s="415">
        <v>0</v>
      </c>
      <c r="E46" s="954">
        <f t="shared" si="7"/>
        <v>1</v>
      </c>
      <c r="F46" s="954"/>
      <c r="G46" s="47" t="s">
        <v>60</v>
      </c>
      <c r="H46" s="223">
        <v>253</v>
      </c>
      <c r="I46" s="136">
        <f>INDEX('[1]111-112-113 ADDITIONAL FUND'!I$1:I$65536,MATCH($A$1,'[1]111-112-113 ADDITIONAL FUND'!A$1:A$65536))</f>
        <v>7023</v>
      </c>
      <c r="J46" s="727">
        <f t="shared" si="8"/>
        <v>7023</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37</v>
      </c>
      <c r="D50" s="585">
        <f>SUM(D41:D49)</f>
        <v>0</v>
      </c>
      <c r="E50" s="956">
        <f>SUM(E41:E49)</f>
        <v>74</v>
      </c>
      <c r="F50" s="956"/>
      <c r="G50" s="912" t="s">
        <v>63</v>
      </c>
      <c r="H50" s="912"/>
      <c r="I50" s="912"/>
      <c r="J50" s="276">
        <f>SUM(J41:J49)</f>
        <v>117372</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643</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3.0950000000000001E-3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679.9162</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3.0739999999999999E-3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643</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3.594E-3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643</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3.0990000000000002E-3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643</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3.5999999999999999E-3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3.0990000000000002E-3</v>
      </c>
      <c r="J68" s="138">
        <f>ROUND(G68*I68,2)</f>
        <v>141406.10999999999</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3.0950000000000001E-3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3.5999999999999999E-3</v>
      </c>
      <c r="J71" s="138">
        <f>ROUND(G71*I71,2)</f>
        <v>68162.61</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3.594E-3</v>
      </c>
      <c r="J72" s="138">
        <f>ROUND(G72*I72,2)</f>
        <v>40612.239999999998</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3.0739999999999999E-3</v>
      </c>
      <c r="J85" s="138">
        <f>ROUND(G85*I85,2)</f>
        <v>826341.24</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3.0739999999999999E-3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3.0950000000000001E-3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296.88040000000001</v>
      </c>
      <c r="C90" s="245"/>
      <c r="D90" s="869">
        <f>I6</f>
        <v>1.0355000000000001</v>
      </c>
      <c r="E90" s="869"/>
      <c r="F90" s="869"/>
      <c r="G90" s="122">
        <f>'[1]Detail 2025-26 FEFP Second'!AB3</f>
        <v>958.42</v>
      </c>
      <c r="H90" s="47" t="s">
        <v>68</v>
      </c>
      <c r="I90" s="727">
        <f>ROUND(B90*D90*G90,2)</f>
        <v>294637.14</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383.03579999999999</v>
      </c>
      <c r="C91" s="245"/>
      <c r="D91" s="869">
        <f>I6</f>
        <v>1.0355000000000001</v>
      </c>
      <c r="E91" s="869"/>
      <c r="F91" s="869"/>
      <c r="G91" s="122">
        <f>'[1]Detail 2025-26 FEFP Second'!AC3</f>
        <v>915.09</v>
      </c>
      <c r="H91" s="47" t="s">
        <v>68</v>
      </c>
      <c r="I91" s="727">
        <f>ROUND(B91*D91*G91,2)</f>
        <v>362955.41</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727">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679.9162</v>
      </c>
      <c r="C93" s="109"/>
      <c r="D93" s="109"/>
      <c r="E93" s="939" t="s">
        <v>112</v>
      </c>
      <c r="F93" s="939"/>
      <c r="G93" s="939"/>
      <c r="H93" s="939"/>
      <c r="I93" s="939"/>
      <c r="J93" s="127">
        <f>IF(A1=75,0,I92+I91+I90)</f>
        <v>657592.55000000005</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89</v>
      </c>
      <c r="D97" s="279">
        <v>0</v>
      </c>
      <c r="E97" s="988">
        <f>(C97+D97)</f>
        <v>89</v>
      </c>
      <c r="F97" s="942"/>
      <c r="G97" s="942"/>
      <c r="H97" s="224" t="s">
        <v>117</v>
      </c>
      <c r="I97" s="130">
        <f>'0040'!I97</f>
        <v>586</v>
      </c>
      <c r="J97" s="138">
        <f>ROUND(I97*E97,2)</f>
        <v>52154</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5686237.0999999996</v>
      </c>
      <c r="L107" s="576"/>
      <c r="R107" s="862" t="s">
        <v>125</v>
      </c>
      <c r="S107" s="862"/>
      <c r="T107" s="862"/>
      <c r="U107" s="862"/>
      <c r="V107" s="862"/>
      <c r="W107" s="862"/>
      <c r="X107" s="862"/>
      <c r="Y107" s="219">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5395794.7399999993</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5395794.7399999993</v>
      </c>
      <c r="J114" s="296">
        <f>ROUND(IF(E28=0,0,IF(E28&gt;250,-(((250/E28)*I114)*IF(H114="H",0.02,0.05)),IF(H114="H",-0.02*I114,-0.05*I114))),2)</f>
        <v>-104894.92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5581342.1799999997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Payments'!R103</f>
        <v>-3444741.23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2136600.9499999997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427320.19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164894.82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059D-29DC-455A-97BC-3EE0077BD69A}">
  <dimension ref="A1:Z207"/>
  <sheetViews>
    <sheetView topLeftCell="A98"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461</v>
      </c>
      <c r="B2" s="102"/>
      <c r="C2" s="102"/>
      <c r="D2" s="102"/>
      <c r="E2" s="100"/>
      <c r="F2" s="100"/>
      <c r="G2" s="100"/>
      <c r="H2" s="100"/>
      <c r="I2" s="100"/>
      <c r="J2" s="100"/>
      <c r="K2" s="6"/>
      <c r="L2" s="6"/>
      <c r="M2" s="6"/>
      <c r="N2" s="6"/>
      <c r="O2" s="6"/>
      <c r="P2" s="6"/>
      <c r="Q2" s="6"/>
      <c r="R2" s="875" t="str">
        <f>Revenue_Estimate_Worksheet_for___________Charter_School</f>
        <v>Revenue Estimate Worksheet: Renaissance Charter School at Summit - 4002</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Second'!$C$1:$C$65536,MATCH('4002'!$A$1,'[1]Detail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97.49</v>
      </c>
      <c r="D12" s="411">
        <v>0</v>
      </c>
      <c r="E12" s="980">
        <f t="shared" ref="E12:E27" si="0">IF($D$28=0,C12*2,C12+D12)</f>
        <v>194.98</v>
      </c>
      <c r="F12" s="980"/>
      <c r="G12" s="981">
        <v>1.1080000000000001</v>
      </c>
      <c r="H12" s="981"/>
      <c r="I12" s="578">
        <f>ROUND(E12*G12,4)</f>
        <v>216.0378</v>
      </c>
      <c r="J12" s="579">
        <f t="shared" ref="J12:J27" si="1">ROUND(ROUND(ROUND(I12*$E$6,4)*($I$6),2)*(MAX($I$7,1)),2)</f>
        <v>1201888.99</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14</v>
      </c>
      <c r="D13" s="415">
        <v>0</v>
      </c>
      <c r="E13" s="967">
        <f t="shared" si="0"/>
        <v>28</v>
      </c>
      <c r="F13" s="967"/>
      <c r="G13" s="968">
        <v>1.1080000000000001</v>
      </c>
      <c r="H13" s="968"/>
      <c r="I13" s="578">
        <f t="shared" ref="I13:I27" si="2">ROUND(E13*G13,4)</f>
        <v>31.024000000000001</v>
      </c>
      <c r="J13" s="579">
        <f t="shared" si="1"/>
        <v>172596.67</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177.15</v>
      </c>
      <c r="D14" s="415">
        <v>0</v>
      </c>
      <c r="E14" s="967">
        <f t="shared" si="0"/>
        <v>354.3</v>
      </c>
      <c r="F14" s="967"/>
      <c r="G14" s="968">
        <v>1</v>
      </c>
      <c r="H14" s="968"/>
      <c r="I14" s="578">
        <f t="shared" si="2"/>
        <v>354.3</v>
      </c>
      <c r="J14" s="579">
        <f>ROUND(ROUND(ROUND(I14*$E$6,4)*($I$6),2)*(MAX($I$7,1)),2)</f>
        <v>1971086.86</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25.5</v>
      </c>
      <c r="D15" s="415">
        <v>0</v>
      </c>
      <c r="E15" s="967">
        <f t="shared" si="0"/>
        <v>51</v>
      </c>
      <c r="F15" s="967"/>
      <c r="G15" s="968">
        <v>1</v>
      </c>
      <c r="H15" s="968"/>
      <c r="I15" s="578">
        <f t="shared" si="2"/>
        <v>51</v>
      </c>
      <c r="J15" s="579">
        <f t="shared" si="1"/>
        <v>283729.69</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92.51</v>
      </c>
      <c r="D24" s="415">
        <v>0</v>
      </c>
      <c r="E24" s="967">
        <f t="shared" si="0"/>
        <v>185.02</v>
      </c>
      <c r="F24" s="967"/>
      <c r="G24" s="968">
        <v>1.165</v>
      </c>
      <c r="H24" s="968"/>
      <c r="I24" s="578">
        <f t="shared" si="2"/>
        <v>215.54830000000001</v>
      </c>
      <c r="J24" s="579">
        <f t="shared" si="1"/>
        <v>1199165.74</v>
      </c>
      <c r="M24" s="2"/>
      <c r="R24" s="860" t="s">
        <v>32</v>
      </c>
      <c r="S24" s="860"/>
      <c r="T24" s="891">
        <f t="shared" si="3"/>
        <v>0</v>
      </c>
      <c r="U24" s="891"/>
      <c r="V24" s="896">
        <v>1</v>
      </c>
      <c r="W24" s="896"/>
      <c r="X24" s="156">
        <f t="shared" si="4"/>
        <v>0</v>
      </c>
      <c r="Y24" s="266">
        <f t="shared" si="6"/>
        <v>0</v>
      </c>
    </row>
    <row r="25" spans="1:25" x14ac:dyDescent="0.25">
      <c r="A25" s="861" t="s">
        <v>33</v>
      </c>
      <c r="B25" s="861"/>
      <c r="C25" s="415">
        <v>38.35</v>
      </c>
      <c r="D25" s="415">
        <v>0</v>
      </c>
      <c r="E25" s="967">
        <f t="shared" si="0"/>
        <v>76.7</v>
      </c>
      <c r="F25" s="967"/>
      <c r="G25" s="968">
        <v>1.165</v>
      </c>
      <c r="H25" s="968"/>
      <c r="I25" s="578">
        <f t="shared" si="2"/>
        <v>89.355500000000006</v>
      </c>
      <c r="J25" s="579">
        <f t="shared" si="1"/>
        <v>497113.89</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445</v>
      </c>
      <c r="D28" s="126">
        <f>SUM(D12:D27)</f>
        <v>0</v>
      </c>
      <c r="E28" s="966">
        <f>SUM(E12:E27)</f>
        <v>890</v>
      </c>
      <c r="F28" s="966"/>
      <c r="G28" s="961"/>
      <c r="H28" s="961"/>
      <c r="I28" s="23">
        <f>SUM(I12:I27)</f>
        <v>957.26560000000006</v>
      </c>
      <c r="J28" s="127">
        <f>SUM(J12:J27)</f>
        <v>5325581.84</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957.26560000000006</v>
      </c>
      <c r="H33" s="961" t="s">
        <v>45</v>
      </c>
      <c r="I33" s="961"/>
      <c r="J33" s="32">
        <f>SUM(J32,J28)</f>
        <v>5325581.84</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5896605.1099999994</v>
      </c>
      <c r="H36" s="223" t="s">
        <v>49</v>
      </c>
      <c r="I36" s="38">
        <v>6.6699999999999995E-2</v>
      </c>
      <c r="J36" s="131">
        <f>ROUND(G36*I36,2)</f>
        <v>393303.56</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5896605.1099999994</v>
      </c>
      <c r="H37" s="223" t="s">
        <v>49</v>
      </c>
      <c r="I37" s="38">
        <v>5.4000000000000003E-3</v>
      </c>
      <c r="J37" s="131">
        <f>ROUND(G37*I37,2)</f>
        <v>31841.67</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425145.23</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8.5</v>
      </c>
      <c r="D41" s="415">
        <v>0</v>
      </c>
      <c r="E41" s="954">
        <f t="shared" ref="E41:E49" si="7">IF($D$50=0,C41*2,C41+D41)</f>
        <v>17</v>
      </c>
      <c r="F41" s="954"/>
      <c r="G41" s="223" t="s">
        <v>59</v>
      </c>
      <c r="H41" s="223">
        <v>251</v>
      </c>
      <c r="I41" s="136">
        <f>INDEX('[1]111-112-113 ADDITIONAL FUND'!D$1:D$65536,MATCH($A$1,'[1]111-112-113 ADDITIONAL FUND'!A$1:A$65536))</f>
        <v>1047</v>
      </c>
      <c r="J41" s="727">
        <f t="shared" ref="J41:J49" si="8">ROUND(E41*I41,2)</f>
        <v>17799</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4.5</v>
      </c>
      <c r="D42" s="415">
        <v>0</v>
      </c>
      <c r="E42" s="954">
        <f t="shared" si="7"/>
        <v>9</v>
      </c>
      <c r="F42" s="954"/>
      <c r="G42" s="223" t="s">
        <v>59</v>
      </c>
      <c r="H42" s="223">
        <v>252</v>
      </c>
      <c r="I42" s="136">
        <f>INDEX('[1]111-112-113 ADDITIONAL FUND'!E$1:E$65536,MATCH($A$1,'[1]111-112-113 ADDITIONAL FUND'!A$1:A$65536))</f>
        <v>3380</v>
      </c>
      <c r="J42" s="727">
        <f t="shared" si="8"/>
        <v>30420</v>
      </c>
      <c r="M42" s="2"/>
      <c r="R42" s="903"/>
      <c r="S42" s="903"/>
      <c r="T42" s="904"/>
      <c r="U42" s="904"/>
      <c r="V42" s="239" t="s">
        <v>59</v>
      </c>
      <c r="W42" s="239">
        <v>252</v>
      </c>
      <c r="X42" s="134">
        <f t="shared" si="9"/>
        <v>3380</v>
      </c>
      <c r="Y42" s="269">
        <f t="shared" ref="Y42:Y49" si="10">ROUND(T42*X42,2)</f>
        <v>0</v>
      </c>
    </row>
    <row r="43" spans="1:25" x14ac:dyDescent="0.25">
      <c r="A43" s="960"/>
      <c r="B43" s="960"/>
      <c r="C43" s="415">
        <v>1</v>
      </c>
      <c r="D43" s="415">
        <v>0</v>
      </c>
      <c r="E43" s="954">
        <f t="shared" si="7"/>
        <v>2</v>
      </c>
      <c r="F43" s="954"/>
      <c r="G43" s="223" t="s">
        <v>59</v>
      </c>
      <c r="H43" s="223">
        <v>253</v>
      </c>
      <c r="I43" s="136">
        <f>INDEX('[1]111-112-113 ADDITIONAL FUND'!F$1:F$65536,MATCH($A$1,'[1]111-112-113 ADDITIONAL FUND'!A$1:A$65536))</f>
        <v>6896</v>
      </c>
      <c r="J43" s="727">
        <f t="shared" si="8"/>
        <v>13792</v>
      </c>
      <c r="M43" s="2"/>
      <c r="R43" s="903"/>
      <c r="S43" s="903"/>
      <c r="T43" s="905"/>
      <c r="U43" s="905"/>
      <c r="V43" s="239" t="s">
        <v>59</v>
      </c>
      <c r="W43" s="239">
        <v>253</v>
      </c>
      <c r="X43" s="134">
        <f t="shared" si="9"/>
        <v>6896</v>
      </c>
      <c r="Y43" s="269">
        <f t="shared" si="10"/>
        <v>0</v>
      </c>
    </row>
    <row r="44" spans="1:25" x14ac:dyDescent="0.25">
      <c r="A44" s="960"/>
      <c r="B44" s="960"/>
      <c r="C44" s="415">
        <v>21.5</v>
      </c>
      <c r="D44" s="415">
        <v>0</v>
      </c>
      <c r="E44" s="954">
        <f t="shared" si="7"/>
        <v>43</v>
      </c>
      <c r="F44" s="954"/>
      <c r="G44" s="47" t="s">
        <v>60</v>
      </c>
      <c r="H44" s="223">
        <v>251</v>
      </c>
      <c r="I44" s="136">
        <f>INDEX('[1]111-112-113 ADDITIONAL FUND'!G$1:G$65536,MATCH($A$1,'[1]111-112-113 ADDITIONAL FUND'!A$1:A$65536))</f>
        <v>1173</v>
      </c>
      <c r="J44" s="727">
        <f t="shared" si="8"/>
        <v>50439</v>
      </c>
      <c r="L44" s="3"/>
      <c r="M44" s="2"/>
      <c r="Q44" s="4"/>
      <c r="R44" s="903"/>
      <c r="S44" s="903"/>
      <c r="T44" s="905"/>
      <c r="U44" s="905"/>
      <c r="V44" s="182" t="s">
        <v>60</v>
      </c>
      <c r="W44" s="239">
        <v>251</v>
      </c>
      <c r="X44" s="134">
        <f t="shared" si="9"/>
        <v>1173</v>
      </c>
      <c r="Y44" s="269">
        <f t="shared" si="10"/>
        <v>0</v>
      </c>
    </row>
    <row r="45" spans="1:25" x14ac:dyDescent="0.25">
      <c r="A45" s="960"/>
      <c r="B45" s="960"/>
      <c r="C45" s="415">
        <v>4</v>
      </c>
      <c r="D45" s="415">
        <v>0</v>
      </c>
      <c r="E45" s="954">
        <f t="shared" si="7"/>
        <v>8</v>
      </c>
      <c r="F45" s="954"/>
      <c r="G45" s="47" t="s">
        <v>60</v>
      </c>
      <c r="H45" s="223">
        <v>252</v>
      </c>
      <c r="I45" s="136">
        <f>INDEX('[1]111-112-113 ADDITIONAL FUND'!H$1:H$65536,MATCH($A$1,'[1]111-112-113 ADDITIONAL FUND'!A$1:A$65536))</f>
        <v>3506</v>
      </c>
      <c r="J45" s="727">
        <f t="shared" si="8"/>
        <v>28048</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39.5</v>
      </c>
      <c r="D50" s="585">
        <f>SUM(D41:D49)</f>
        <v>0</v>
      </c>
      <c r="E50" s="956">
        <f>SUM(E41:E49)</f>
        <v>79</v>
      </c>
      <c r="F50" s="956"/>
      <c r="G50" s="912" t="s">
        <v>63</v>
      </c>
      <c r="H50" s="912"/>
      <c r="I50" s="912"/>
      <c r="J50" s="276">
        <f>SUM(J41:J49)</f>
        <v>140498</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890</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4.2830000000000003E-3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957.26560000000006</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4.3280000000000002E-3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890</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4.9740000000000001E-3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890</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4.2900000000000004E-3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890</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4.9829999999999996E-3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4.2900000000000004E-3</v>
      </c>
      <c r="J68" s="138">
        <f>ROUND(G68*I68,2)</f>
        <v>195750.95</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4.2830000000000003E-3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4.9829999999999996E-3</v>
      </c>
      <c r="J71" s="138">
        <f>ROUND(G71*I71,2)</f>
        <v>94348.41</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4.9740000000000001E-3</v>
      </c>
      <c r="J72" s="138">
        <f>ROUND(G72*I72,2)</f>
        <v>56206.26</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4.3280000000000002E-3</v>
      </c>
      <c r="J85" s="138">
        <f>ROUND(G85*I85,2)</f>
        <v>1163436.8500000001</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4.3280000000000002E-3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4.2830000000000003E-3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462.61009999999999</v>
      </c>
      <c r="C90" s="245"/>
      <c r="D90" s="869">
        <f>I6</f>
        <v>1.0355000000000001</v>
      </c>
      <c r="E90" s="869"/>
      <c r="F90" s="869"/>
      <c r="G90" s="122">
        <f>'[1]Detail 2025-26 FEFP Second'!AB3</f>
        <v>958.42</v>
      </c>
      <c r="H90" s="47" t="s">
        <v>68</v>
      </c>
      <c r="I90" s="141">
        <f>ROUND(B90*D90*G90,2)</f>
        <v>459114.58</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494.65550000000002</v>
      </c>
      <c r="C91" s="245"/>
      <c r="D91" s="869">
        <f>I6</f>
        <v>1.0355000000000001</v>
      </c>
      <c r="E91" s="869"/>
      <c r="F91" s="869"/>
      <c r="G91" s="122">
        <f>'[1]Detail 2025-26 FEFP Second'!AC3</f>
        <v>915.09</v>
      </c>
      <c r="H91" s="47" t="s">
        <v>68</v>
      </c>
      <c r="I91" s="140">
        <f>ROUND(B91*D91*G91,2)</f>
        <v>468723.53</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957.26559999999995</v>
      </c>
      <c r="C93" s="109"/>
      <c r="D93" s="109"/>
      <c r="E93" s="939" t="s">
        <v>112</v>
      </c>
      <c r="F93" s="939"/>
      <c r="G93" s="939"/>
      <c r="H93" s="939"/>
      <c r="I93" s="939"/>
      <c r="J93" s="127">
        <f>IF(A1=75,0,I92+I91+I90)</f>
        <v>927838.1100000001</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7903660.4199999999</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7478515.1899999995</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09"/>
      <c r="I114" s="710">
        <f>IF(I111=1,J111,J109)</f>
        <v>7478515.1899999995</v>
      </c>
      <c r="J114" s="711">
        <f>ROUND(IF(E28=0,0,IF(E28&gt;250,-(((250/E28)*I114)*IF(H114="H",0.02,0.05)),IF(H114="H",-0.02*I114,-0.05*I114))),2)</f>
        <v>-105035.33</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7798625.0899999999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Payments'!R104</f>
        <v>-4973537.8600000003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2825087.2299999995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565017.44999999995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268890.43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382C-0C61-48E7-BEF0-2DA4B2E25161}">
  <dimension ref="A1:Z207"/>
  <sheetViews>
    <sheetView topLeftCell="A98" workbookViewId="0">
      <selection activeCell="A56" sqref="A56:B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462</v>
      </c>
      <c r="B2" s="102"/>
      <c r="C2" s="102"/>
      <c r="D2" s="102"/>
      <c r="E2" s="100"/>
      <c r="F2" s="100"/>
      <c r="G2" s="100"/>
      <c r="H2" s="100"/>
      <c r="I2" s="100"/>
      <c r="J2" s="100"/>
      <c r="K2" s="6"/>
      <c r="L2" s="6"/>
      <c r="M2" s="6"/>
      <c r="N2" s="6"/>
      <c r="O2" s="6"/>
      <c r="P2" s="6"/>
      <c r="Q2" s="6"/>
      <c r="R2" s="875" t="str">
        <f>Revenue_Estimate_Worksheet_for___________Charter_School</f>
        <v>Revenue Estimate Worksheet: Somerset Academy Canyons Middle School - 4012</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Second'!$C$1:$C$65536,MATCH('4012'!$A$1,'[1]Detail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Second'!$D$1:$D$65536,MATCH('4012'!$A$1,'[1]Detail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222.88</v>
      </c>
      <c r="D14" s="415">
        <v>0</v>
      </c>
      <c r="E14" s="967">
        <f t="shared" si="0"/>
        <v>445.76</v>
      </c>
      <c r="F14" s="967"/>
      <c r="G14" s="968">
        <v>1</v>
      </c>
      <c r="H14" s="968"/>
      <c r="I14" s="578">
        <f t="shared" si="2"/>
        <v>445.76</v>
      </c>
      <c r="J14" s="579">
        <f>ROUND(ROUND(ROUND(I14*$E$6,4)*($I$6),2)*(MAX($I$7,1)),2)</f>
        <v>2479908.7799999998</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41.94</v>
      </c>
      <c r="D15" s="415">
        <v>0</v>
      </c>
      <c r="E15" s="967">
        <f t="shared" si="0"/>
        <v>83.88</v>
      </c>
      <c r="F15" s="967"/>
      <c r="G15" s="968">
        <v>1</v>
      </c>
      <c r="H15" s="968"/>
      <c r="I15" s="578">
        <f t="shared" si="2"/>
        <v>83.88</v>
      </c>
      <c r="J15" s="579">
        <f t="shared" si="1"/>
        <v>466651.89</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5.87</v>
      </c>
      <c r="D25" s="415">
        <v>0</v>
      </c>
      <c r="E25" s="967">
        <f t="shared" si="0"/>
        <v>11.74</v>
      </c>
      <c r="F25" s="967"/>
      <c r="G25" s="968">
        <v>1.165</v>
      </c>
      <c r="H25" s="968"/>
      <c r="I25" s="578">
        <f t="shared" si="2"/>
        <v>13.677099999999999</v>
      </c>
      <c r="J25" s="579">
        <f t="shared" si="1"/>
        <v>76090.179999999993</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270.69</v>
      </c>
      <c r="D28" s="126">
        <f>SUM(D12:D27)</f>
        <v>0</v>
      </c>
      <c r="E28" s="966">
        <f>SUM(E12:E27)</f>
        <v>541.38</v>
      </c>
      <c r="F28" s="966"/>
      <c r="G28" s="961"/>
      <c r="H28" s="961"/>
      <c r="I28" s="23">
        <f>SUM(I12:I27)</f>
        <v>543.31709999999998</v>
      </c>
      <c r="J28" s="127">
        <f>SUM(J12:J27)</f>
        <v>3022650.85</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543.31709999999998</v>
      </c>
      <c r="H33" s="961" t="s">
        <v>45</v>
      </c>
      <c r="I33" s="961"/>
      <c r="J33" s="32">
        <f>SUM(J32,J28)</f>
        <v>3022650.85</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3326749</v>
      </c>
      <c r="H36" s="223" t="s">
        <v>49</v>
      </c>
      <c r="I36" s="38">
        <v>6.6699999999999995E-2</v>
      </c>
      <c r="J36" s="131">
        <f>ROUND(G36*I36,2)</f>
        <v>221894.16</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3326749</v>
      </c>
      <c r="H37" s="223" t="s">
        <v>49</v>
      </c>
      <c r="I37" s="38">
        <v>5.4000000000000003E-3</v>
      </c>
      <c r="J37" s="131">
        <f>ROUND(G37*I37,2)</f>
        <v>17964.439999999999</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239858.6</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727">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727">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38.94</v>
      </c>
      <c r="D44" s="415">
        <v>0</v>
      </c>
      <c r="E44" s="954">
        <f t="shared" si="7"/>
        <v>77.88</v>
      </c>
      <c r="F44" s="954"/>
      <c r="G44" s="47" t="s">
        <v>60</v>
      </c>
      <c r="H44" s="223">
        <v>251</v>
      </c>
      <c r="I44" s="136">
        <f>INDEX('[1]111-112-113 ADDITIONAL FUND'!G$1:G$65536,MATCH($A$1,'[1]111-112-113 ADDITIONAL FUND'!A$1:A$65536))</f>
        <v>1173</v>
      </c>
      <c r="J44" s="727">
        <f t="shared" si="8"/>
        <v>91353.24</v>
      </c>
      <c r="L44" s="3"/>
      <c r="M44" s="2"/>
      <c r="Q44" s="4"/>
      <c r="R44" s="903"/>
      <c r="S44" s="903"/>
      <c r="T44" s="905"/>
      <c r="U44" s="905"/>
      <c r="V44" s="182" t="s">
        <v>60</v>
      </c>
      <c r="W44" s="239">
        <v>251</v>
      </c>
      <c r="X44" s="134">
        <f t="shared" si="9"/>
        <v>1173</v>
      </c>
      <c r="Y44" s="269">
        <f t="shared" si="10"/>
        <v>0</v>
      </c>
    </row>
    <row r="45" spans="1:25" x14ac:dyDescent="0.25">
      <c r="A45" s="960"/>
      <c r="B45" s="960"/>
      <c r="C45" s="415">
        <v>3</v>
      </c>
      <c r="D45" s="415">
        <v>0</v>
      </c>
      <c r="E45" s="954">
        <f t="shared" si="7"/>
        <v>6</v>
      </c>
      <c r="F45" s="954"/>
      <c r="G45" s="47" t="s">
        <v>60</v>
      </c>
      <c r="H45" s="223">
        <v>252</v>
      </c>
      <c r="I45" s="136">
        <f>INDEX('[1]111-112-113 ADDITIONAL FUND'!H$1:H$65536,MATCH($A$1,'[1]111-112-113 ADDITIONAL FUND'!A$1:A$65536))</f>
        <v>3506</v>
      </c>
      <c r="J45" s="727">
        <f t="shared" si="8"/>
        <v>21036</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41.94</v>
      </c>
      <c r="D50" s="585">
        <f>SUM(D41:D49)</f>
        <v>0</v>
      </c>
      <c r="E50" s="956">
        <f>SUM(E41:E49)</f>
        <v>83.88</v>
      </c>
      <c r="F50" s="956"/>
      <c r="G50" s="912" t="s">
        <v>63</v>
      </c>
      <c r="H50" s="912"/>
      <c r="I50" s="912"/>
      <c r="J50" s="276">
        <f>SUM(J41:J49)</f>
        <v>112389.24</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541.38</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2.6059999999999998E-3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543.31709999999998</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2.4559999999999998E-3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541.38</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3.026E-3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541.38</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2.6099999999999999E-3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541.38</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3.0309999999999998E-3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2.6099999999999999E-3</v>
      </c>
      <c r="J68" s="138">
        <f>ROUND(G68*I68,2)</f>
        <v>119093.24</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2.6059999999999998E-3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3.0309999999999998E-3</v>
      </c>
      <c r="J71" s="138">
        <f>ROUND(G71*I71,2)</f>
        <v>57389.13</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3.026E-3</v>
      </c>
      <c r="J72" s="138">
        <f>ROUND(G72*I72,2)</f>
        <v>34193.839999999997</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14.6</v>
      </c>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14.6</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121">
        <f>'0040'!G84</f>
        <v>58502790</v>
      </c>
      <c r="H84" s="223" t="s">
        <v>81</v>
      </c>
      <c r="I84" s="41">
        <f>IFERROR(ROUND(J81/J82,6),0)</f>
        <v>1.132E-3</v>
      </c>
      <c r="J84" s="728">
        <f>ROUND(G84*I84,2)</f>
        <v>66225.16</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121">
        <f>'0040'!G85</f>
        <v>268816278</v>
      </c>
      <c r="H85" s="223" t="s">
        <v>81</v>
      </c>
      <c r="I85" s="41">
        <f>I57</f>
        <v>2.4559999999999998E-3</v>
      </c>
      <c r="J85" s="728">
        <f>ROUND(G85*I85,2)</f>
        <v>660212.78</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2.4559999999999998E-3</v>
      </c>
      <c r="J86" s="72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2.6059999999999998E-3</v>
      </c>
      <c r="J87" s="728">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727">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543.31709999999998</v>
      </c>
      <c r="C91" s="245"/>
      <c r="D91" s="869">
        <f>I6</f>
        <v>1.0355000000000001</v>
      </c>
      <c r="E91" s="869"/>
      <c r="F91" s="869"/>
      <c r="G91" s="122">
        <f>'[1]Detail 2025-26 FEFP Second'!AC3</f>
        <v>915.09</v>
      </c>
      <c r="H91" s="47" t="s">
        <v>68</v>
      </c>
      <c r="I91" s="727">
        <f>ROUND(B91*D91*G91,2)</f>
        <v>514834.08</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727">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543.31709999999998</v>
      </c>
      <c r="C93" s="109"/>
      <c r="D93" s="109"/>
      <c r="E93" s="939" t="s">
        <v>112</v>
      </c>
      <c r="F93" s="939"/>
      <c r="G93" s="939"/>
      <c r="H93" s="939"/>
      <c r="I93" s="939"/>
      <c r="J93" s="127">
        <f>IF(A1=75,0,I92+I91+I90)</f>
        <v>514834.08</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3</v>
      </c>
      <c r="D97" s="279">
        <v>0</v>
      </c>
      <c r="E97" s="988">
        <f>(C97+D97)</f>
        <v>3</v>
      </c>
      <c r="F97" s="942"/>
      <c r="G97" s="942"/>
      <c r="H97" s="224" t="s">
        <v>117</v>
      </c>
      <c r="I97" s="130">
        <f>'0040'!I97</f>
        <v>586</v>
      </c>
      <c r="J97" s="138">
        <f>ROUND(I97*E97,2)</f>
        <v>1758</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4588746.32</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4348887.7200000007</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09" t="s">
        <v>432</v>
      </c>
      <c r="I114" s="710">
        <f>IF(I111=1,J111,J109)</f>
        <v>4348887.7200000007</v>
      </c>
      <c r="J114" s="711">
        <f>ROUND(IF(E28=0,0,IF(E28&gt;250,-(((250/E28)*I114)*IF(H114="H",0.02,0.05)),IF(H114="H",-0.02*I114,-0.05*I114))),2)</f>
        <v>-40164.839999999997</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4548581.4800000004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Payments'!R105</f>
        <v>-2893993.0799999996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1654588.4000000008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330917.68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46812.91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88C7-B851-4E83-8B95-DBDDF7BDEA32}">
  <dimension ref="A1:Z207"/>
  <sheetViews>
    <sheetView topLeftCell="A108"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463</v>
      </c>
      <c r="B2" s="102"/>
      <c r="C2" s="102"/>
      <c r="D2" s="102"/>
      <c r="E2" s="100"/>
      <c r="F2" s="100"/>
      <c r="G2" s="100"/>
      <c r="H2" s="100"/>
      <c r="I2" s="100"/>
      <c r="J2" s="100"/>
      <c r="K2" s="6"/>
      <c r="L2" s="6"/>
      <c r="M2" s="6"/>
      <c r="N2" s="6"/>
      <c r="O2" s="6"/>
      <c r="P2" s="6"/>
      <c r="Q2" s="6"/>
      <c r="R2" s="875" t="str">
        <f>Revenue_Estimate_Worksheet_for___________Charter_School</f>
        <v>Revenue Estimate Worksheet: Somerset Academy Canyons High School - 4013</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Second'!$C$1:$C$65536,MATCH('4013'!$A$1,'[1]Detail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v>
      </c>
      <c r="D15" s="415">
        <v>0</v>
      </c>
      <c r="E15" s="967">
        <f t="shared" si="0"/>
        <v>0</v>
      </c>
      <c r="F15" s="967"/>
      <c r="G15" s="968">
        <v>1</v>
      </c>
      <c r="H15" s="968"/>
      <c r="I15" s="578">
        <f t="shared" si="2"/>
        <v>0</v>
      </c>
      <c r="J15" s="579">
        <f t="shared" si="1"/>
        <v>0</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429.38</v>
      </c>
      <c r="D16" s="415">
        <v>0</v>
      </c>
      <c r="E16" s="967">
        <f t="shared" si="0"/>
        <v>858.76</v>
      </c>
      <c r="F16" s="967"/>
      <c r="G16" s="968">
        <v>0.97199999999999998</v>
      </c>
      <c r="H16" s="968"/>
      <c r="I16" s="578">
        <f t="shared" si="2"/>
        <v>834.71469999999999</v>
      </c>
      <c r="J16" s="579">
        <f t="shared" si="1"/>
        <v>4643791.08</v>
      </c>
      <c r="M16" s="2"/>
      <c r="R16" s="860" t="s">
        <v>24</v>
      </c>
      <c r="S16" s="860"/>
      <c r="T16" s="891">
        <f t="shared" si="3"/>
        <v>0</v>
      </c>
      <c r="U16" s="891"/>
      <c r="V16" s="896">
        <v>1</v>
      </c>
      <c r="W16" s="896"/>
      <c r="X16" s="156">
        <f t="shared" si="4"/>
        <v>0</v>
      </c>
      <c r="Y16" s="266">
        <f t="shared" si="6"/>
        <v>0</v>
      </c>
    </row>
    <row r="17" spans="1:25" x14ac:dyDescent="0.25">
      <c r="A17" s="861" t="s">
        <v>25</v>
      </c>
      <c r="B17" s="861"/>
      <c r="C17" s="415">
        <v>47</v>
      </c>
      <c r="D17" s="415">
        <v>0</v>
      </c>
      <c r="E17" s="967">
        <f t="shared" si="0"/>
        <v>94</v>
      </c>
      <c r="F17" s="967"/>
      <c r="G17" s="968">
        <v>0.97199999999999998</v>
      </c>
      <c r="H17" s="968"/>
      <c r="I17" s="578">
        <f t="shared" si="2"/>
        <v>91.367999999999995</v>
      </c>
      <c r="J17" s="579">
        <f t="shared" si="1"/>
        <v>508310.09</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6.09</v>
      </c>
      <c r="D26" s="415">
        <v>0</v>
      </c>
      <c r="E26" s="967">
        <f t="shared" si="0"/>
        <v>12.18</v>
      </c>
      <c r="F26" s="967"/>
      <c r="G26" s="968">
        <v>1.165</v>
      </c>
      <c r="H26" s="968"/>
      <c r="I26" s="578">
        <f t="shared" si="2"/>
        <v>14.1897</v>
      </c>
      <c r="J26" s="579">
        <f t="shared" si="1"/>
        <v>78941.95</v>
      </c>
      <c r="M26" s="2"/>
      <c r="R26" s="860" t="s">
        <v>34</v>
      </c>
      <c r="S26" s="860"/>
      <c r="T26" s="891">
        <f t="shared" si="3"/>
        <v>0</v>
      </c>
      <c r="U26" s="891"/>
      <c r="V26" s="896">
        <v>1</v>
      </c>
      <c r="W26" s="896"/>
      <c r="X26" s="156">
        <f t="shared" si="4"/>
        <v>0</v>
      </c>
      <c r="Y26" s="266">
        <f t="shared" si="6"/>
        <v>0</v>
      </c>
    </row>
    <row r="27" spans="1:25" x14ac:dyDescent="0.25">
      <c r="A27" s="866" t="s">
        <v>35</v>
      </c>
      <c r="B27" s="866"/>
      <c r="C27" s="416">
        <v>22.41</v>
      </c>
      <c r="D27" s="416">
        <v>0</v>
      </c>
      <c r="E27" s="963">
        <f t="shared" si="0"/>
        <v>44.82</v>
      </c>
      <c r="F27" s="963"/>
      <c r="G27" s="964">
        <v>1.081</v>
      </c>
      <c r="H27" s="964"/>
      <c r="I27" s="22">
        <f t="shared" si="2"/>
        <v>48.450400000000002</v>
      </c>
      <c r="J27" s="127">
        <f t="shared" si="1"/>
        <v>269545.43</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504.88</v>
      </c>
      <c r="D28" s="126">
        <f>SUM(D12:D27)</f>
        <v>0</v>
      </c>
      <c r="E28" s="991">
        <f>SUM(E12:E27)</f>
        <v>1009.76</v>
      </c>
      <c r="F28" s="991"/>
      <c r="G28" s="961"/>
      <c r="H28" s="961"/>
      <c r="I28" s="23">
        <f>SUM(I12:I27)</f>
        <v>988.72280000000001</v>
      </c>
      <c r="J28" s="127">
        <f>SUM(J12:J27)</f>
        <v>5500588.5499999998</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988.72280000000001</v>
      </c>
      <c r="H33" s="961" t="s">
        <v>45</v>
      </c>
      <c r="I33" s="961"/>
      <c r="J33" s="32">
        <f>SUM(J32,J28)</f>
        <v>5500588.5499999998</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5560972.3399999999</v>
      </c>
      <c r="H36" s="223" t="s">
        <v>49</v>
      </c>
      <c r="I36" s="38">
        <v>6.6699999999999995E-2</v>
      </c>
      <c r="J36" s="131">
        <f>ROUND(G36*I36,2)</f>
        <v>370916.86</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5560972.3399999999</v>
      </c>
      <c r="H37" s="223" t="s">
        <v>49</v>
      </c>
      <c r="I37" s="38">
        <v>5.4000000000000003E-3</v>
      </c>
      <c r="J37" s="131">
        <f>ROUND(G37*I37,2)</f>
        <v>30029.25</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400946.11</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727">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727">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0</v>
      </c>
      <c r="D44" s="415">
        <v>0</v>
      </c>
      <c r="E44" s="954">
        <f t="shared" si="7"/>
        <v>0</v>
      </c>
      <c r="F44" s="954"/>
      <c r="G44" s="47" t="s">
        <v>60</v>
      </c>
      <c r="H44" s="223">
        <v>251</v>
      </c>
      <c r="I44" s="136">
        <f>INDEX('[1]111-112-113 ADDITIONAL FUND'!G$1:G$65536,MATCH($A$1,'[1]111-112-113 ADDITIONAL FUND'!A$1:A$65536))</f>
        <v>1173</v>
      </c>
      <c r="J44" s="72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727">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43.34</v>
      </c>
      <c r="D47" s="415">
        <v>0</v>
      </c>
      <c r="E47" s="954">
        <f t="shared" si="7"/>
        <v>86.68</v>
      </c>
      <c r="F47" s="954"/>
      <c r="G47" s="47" t="s">
        <v>61</v>
      </c>
      <c r="H47" s="223">
        <v>251</v>
      </c>
      <c r="I47" s="136">
        <f>INDEX('[1]111-112-113 ADDITIONAL FUND'!J$1:J$65536,MATCH($A$1,'[1]111-112-113 ADDITIONAL FUND'!A$1:A$65536))</f>
        <v>835</v>
      </c>
      <c r="J47" s="727">
        <f t="shared" si="8"/>
        <v>72377.8</v>
      </c>
      <c r="M47" s="2"/>
      <c r="R47" s="903"/>
      <c r="S47" s="903"/>
      <c r="T47" s="905"/>
      <c r="U47" s="905"/>
      <c r="V47" s="182" t="s">
        <v>61</v>
      </c>
      <c r="W47" s="239">
        <v>251</v>
      </c>
      <c r="X47" s="134">
        <f t="shared" si="9"/>
        <v>835</v>
      </c>
      <c r="Y47" s="269">
        <f t="shared" si="10"/>
        <v>0</v>
      </c>
    </row>
    <row r="48" spans="1:25" ht="15.75" customHeight="1" x14ac:dyDescent="0.25">
      <c r="A48" s="960"/>
      <c r="B48" s="960"/>
      <c r="C48" s="415">
        <v>3.66</v>
      </c>
      <c r="D48" s="415">
        <v>0</v>
      </c>
      <c r="E48" s="954">
        <f t="shared" si="7"/>
        <v>7.32</v>
      </c>
      <c r="F48" s="954"/>
      <c r="G48" s="47" t="s">
        <v>61</v>
      </c>
      <c r="H48" s="223">
        <v>252</v>
      </c>
      <c r="I48" s="136">
        <f>INDEX('[1]111-112-113 ADDITIONAL FUND'!K$1:K$65536,MATCH($A$1,'[1]111-112-113 ADDITIONAL FUND'!A$1:A$65536))</f>
        <v>3168</v>
      </c>
      <c r="J48" s="727">
        <f t="shared" si="8"/>
        <v>23189.759999999998</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47</v>
      </c>
      <c r="D50" s="585">
        <f>SUM(D41:D49)</f>
        <v>0</v>
      </c>
      <c r="E50" s="956">
        <f>SUM(E41:E49)</f>
        <v>94</v>
      </c>
      <c r="F50" s="956"/>
      <c r="G50" s="912" t="s">
        <v>63</v>
      </c>
      <c r="H50" s="912"/>
      <c r="I50" s="912"/>
      <c r="J50" s="276">
        <f>SUM(J41:J49)</f>
        <v>95567.56</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1009.76</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4.8599999999999997E-3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988.72280000000001</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4.47E-3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1009.76</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5.6429999999999996E-3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1009.76</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4.8669999999999998E-3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1009.76</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5.653E-3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4.8669999999999998E-3</v>
      </c>
      <c r="J68" s="138">
        <f>ROUND(G68*I68,2)</f>
        <v>222079.23</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4.8599999999999997E-3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5.653E-3</v>
      </c>
      <c r="J71" s="138">
        <f>ROUND(G71*I71,2)</f>
        <v>107034.23</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5.6429999999999996E-3</v>
      </c>
      <c r="J72" s="138">
        <f>ROUND(G72*I72,2)</f>
        <v>63765.97</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v>35.04</v>
      </c>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v>140.91999999999999</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28.1</v>
      </c>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v>0.25</v>
      </c>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v>17.920000000000002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222.22999999999996</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1.7222999999999999E-2</v>
      </c>
      <c r="J84" s="62">
        <f>ROUND(G84*I84,2)</f>
        <v>1007593.55</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4.47E-3</v>
      </c>
      <c r="J85" s="138">
        <f>ROUND(G85*I85,2)</f>
        <v>1201608.76</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4.47E-3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4.8599999999999997E-3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727">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0</v>
      </c>
      <c r="C91" s="245"/>
      <c r="D91" s="869">
        <f>I6</f>
        <v>1.0355000000000001</v>
      </c>
      <c r="E91" s="869"/>
      <c r="F91" s="869"/>
      <c r="G91" s="122">
        <f>'[1]Detail 2025-26 FEFP Second'!AC3</f>
        <v>915.09</v>
      </c>
      <c r="H91" s="47" t="s">
        <v>68</v>
      </c>
      <c r="I91" s="727">
        <f>ROUND(B91*D91*G91,2)</f>
        <v>0</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988.72280000000001</v>
      </c>
      <c r="C92" s="109"/>
      <c r="D92" s="869">
        <f>I6</f>
        <v>1.0355000000000001</v>
      </c>
      <c r="E92" s="869"/>
      <c r="F92" s="869"/>
      <c r="G92" s="122">
        <f>'[1]Detail 2025-26 FEFP Second'!AD3</f>
        <v>917.3</v>
      </c>
      <c r="H92" s="47" t="s">
        <v>68</v>
      </c>
      <c r="I92" s="727">
        <f>ROUND(B92*D92*G92,2)</f>
        <v>939152.34</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988.72280000000001</v>
      </c>
      <c r="C93" s="109"/>
      <c r="D93" s="109"/>
      <c r="E93" s="939" t="s">
        <v>112</v>
      </c>
      <c r="F93" s="939"/>
      <c r="G93" s="939"/>
      <c r="H93" s="939"/>
      <c r="I93" s="939"/>
      <c r="J93" s="127">
        <f>IF(A1=75,0,I92+I91+I90)</f>
        <v>939152.34</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25</v>
      </c>
      <c r="D97" s="279">
        <v>0</v>
      </c>
      <c r="E97" s="988">
        <f>(C97+D97)</f>
        <v>25</v>
      </c>
      <c r="F97" s="942"/>
      <c r="G97" s="942"/>
      <c r="H97" s="224" t="s">
        <v>117</v>
      </c>
      <c r="I97" s="130">
        <f>'0040'!I97</f>
        <v>586</v>
      </c>
      <c r="J97" s="138">
        <f>ROUND(I97*E97,2)</f>
        <v>14650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9152040.1899999995</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8751094.0800000001</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94" t="s">
        <v>432</v>
      </c>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8751094.0800000001</v>
      </c>
      <c r="J114" s="296">
        <f>ROUND(IF(E28=0,0,IF(E28&gt;250,-(((250/E28)*I114)*IF(H113="H",0.02,0.05)),IF(H113="H",-0.02*I114,-0.05*I114))),2)</f>
        <v>-43332.54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9108707.6500000004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Payments'!R106</f>
        <v>-5286767.1400000006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3821940.51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764388.1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131689.34</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BD22-D2C5-4D34-A819-E0350414E924}">
  <dimension ref="A1:Z207"/>
  <sheetViews>
    <sheetView topLeftCell="A107"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464</v>
      </c>
      <c r="B2" s="102"/>
      <c r="C2" s="102"/>
      <c r="D2" s="102"/>
      <c r="E2" s="100"/>
      <c r="F2" s="100"/>
      <c r="G2" s="100"/>
      <c r="H2" s="100"/>
      <c r="I2" s="100"/>
      <c r="J2" s="100"/>
      <c r="K2" s="6"/>
      <c r="L2" s="6"/>
      <c r="M2" s="6"/>
      <c r="N2" s="6"/>
      <c r="O2" s="6"/>
      <c r="P2" s="6"/>
      <c r="Q2" s="6"/>
      <c r="R2" s="875" t="str">
        <f>Revenue_Estimate_Worksheet_for___________Charter_School</f>
        <v>Revenue Estimate Worksheet: Franklin Academy - Boynton Beach - 4020</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Second'!$C$1:$C$65536,MATCH('4020'!$A$1,'[1]Detail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Second'!$D$1:$D$65536,MATCH('4020'!$A$1,'[1]Detail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234.29</v>
      </c>
      <c r="D12" s="411">
        <v>0</v>
      </c>
      <c r="E12" s="980">
        <f t="shared" ref="E12:E27" si="0">IF($D$28=0,C12*2,C12+D12)</f>
        <v>468.58</v>
      </c>
      <c r="F12" s="980"/>
      <c r="G12" s="981">
        <v>1.1080000000000001</v>
      </c>
      <c r="H12" s="981"/>
      <c r="I12" s="578">
        <f>ROUND(E12*G12,4)</f>
        <v>519.1866</v>
      </c>
      <c r="J12" s="579">
        <f t="shared" ref="J12:J27" si="1">ROUND(ROUND(ROUND(I12*$E$6,4)*($I$6),2)*(MAX($I$7,1)),2)</f>
        <v>2888404.99</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30</v>
      </c>
      <c r="D13" s="415">
        <v>0</v>
      </c>
      <c r="E13" s="967">
        <f t="shared" si="0"/>
        <v>60</v>
      </c>
      <c r="F13" s="967"/>
      <c r="G13" s="968">
        <v>1.1080000000000001</v>
      </c>
      <c r="H13" s="968"/>
      <c r="I13" s="578">
        <f t="shared" ref="I13:I27" si="2">ROUND(E13*G13,4)</f>
        <v>66.48</v>
      </c>
      <c r="J13" s="579">
        <f t="shared" si="1"/>
        <v>369850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272.62</v>
      </c>
      <c r="D14" s="415">
        <v>0</v>
      </c>
      <c r="E14" s="967">
        <f t="shared" si="0"/>
        <v>545.24</v>
      </c>
      <c r="F14" s="967"/>
      <c r="G14" s="968">
        <v>1</v>
      </c>
      <c r="H14" s="968"/>
      <c r="I14" s="578">
        <f t="shared" si="2"/>
        <v>545.24</v>
      </c>
      <c r="J14" s="579">
        <f>ROUND(ROUND(ROUND(I14*$E$6,4)*($I$6),2)*(MAX($I$7,1)),2)</f>
        <v>3033348.58</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47.41</v>
      </c>
      <c r="D15" s="415">
        <v>0</v>
      </c>
      <c r="E15" s="967">
        <f t="shared" si="0"/>
        <v>94.82</v>
      </c>
      <c r="F15" s="967"/>
      <c r="G15" s="968">
        <v>1</v>
      </c>
      <c r="H15" s="968"/>
      <c r="I15" s="578">
        <f t="shared" si="2"/>
        <v>94.82</v>
      </c>
      <c r="J15" s="579">
        <f t="shared" si="1"/>
        <v>527514.68999999994</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25.21</v>
      </c>
      <c r="D24" s="415">
        <v>0</v>
      </c>
      <c r="E24" s="967">
        <f t="shared" si="0"/>
        <v>50.42</v>
      </c>
      <c r="F24" s="967"/>
      <c r="G24" s="968">
        <v>1.165</v>
      </c>
      <c r="H24" s="968"/>
      <c r="I24" s="578">
        <f t="shared" si="2"/>
        <v>58.7393</v>
      </c>
      <c r="J24" s="579">
        <f t="shared" si="1"/>
        <v>326785.95</v>
      </c>
      <c r="M24" s="2"/>
      <c r="R24" s="860" t="s">
        <v>32</v>
      </c>
      <c r="S24" s="860"/>
      <c r="T24" s="891">
        <f t="shared" si="3"/>
        <v>0</v>
      </c>
      <c r="U24" s="891"/>
      <c r="V24" s="896">
        <v>1</v>
      </c>
      <c r="W24" s="896"/>
      <c r="X24" s="156">
        <f t="shared" si="4"/>
        <v>0</v>
      </c>
      <c r="Y24" s="266">
        <f t="shared" si="6"/>
        <v>0</v>
      </c>
    </row>
    <row r="25" spans="1:25" x14ac:dyDescent="0.25">
      <c r="A25" s="861" t="s">
        <v>33</v>
      </c>
      <c r="B25" s="861"/>
      <c r="C25" s="415">
        <v>12.69</v>
      </c>
      <c r="D25" s="415">
        <v>0</v>
      </c>
      <c r="E25" s="967">
        <f t="shared" si="0"/>
        <v>25.38</v>
      </c>
      <c r="F25" s="967"/>
      <c r="G25" s="968">
        <v>1.165</v>
      </c>
      <c r="H25" s="968"/>
      <c r="I25" s="578">
        <f t="shared" si="2"/>
        <v>29.567699999999999</v>
      </c>
      <c r="J25" s="579">
        <f t="shared" si="1"/>
        <v>164494.79</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622.22</v>
      </c>
      <c r="D28" s="126">
        <f>SUM(D12:D27)</f>
        <v>0</v>
      </c>
      <c r="E28" s="991">
        <f>SUM(E12:E27)</f>
        <v>1244.44</v>
      </c>
      <c r="F28" s="991"/>
      <c r="G28" s="961"/>
      <c r="H28" s="961"/>
      <c r="I28" s="23">
        <f>SUM(I12:I27)</f>
        <v>1314.0336</v>
      </c>
      <c r="J28" s="127">
        <f>SUM(J12:J27)</f>
        <v>7310399</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1314.0336</v>
      </c>
      <c r="H33" s="961" t="s">
        <v>45</v>
      </c>
      <c r="I33" s="961"/>
      <c r="J33" s="32">
        <f>SUM(J32,J28)</f>
        <v>7310399</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7309562.2700000014</v>
      </c>
      <c r="H36" s="223" t="s">
        <v>49</v>
      </c>
      <c r="I36" s="38">
        <v>6.6699999999999995E-2</v>
      </c>
      <c r="J36" s="131">
        <f>ROUND(G36*I36,2)</f>
        <v>487547.8</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7309562.2700000014</v>
      </c>
      <c r="H37" s="223" t="s">
        <v>49</v>
      </c>
      <c r="I37" s="38">
        <v>5.4000000000000003E-3</v>
      </c>
      <c r="J37" s="131">
        <f>ROUND(G37*I37,2)</f>
        <v>39471.64</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527019.43999999994</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727"/>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27.5</v>
      </c>
      <c r="D41" s="415">
        <v>0</v>
      </c>
      <c r="E41" s="954">
        <f t="shared" ref="E41:E49" si="7">IF($D$50=0,C41*2,C41+D41)</f>
        <v>55</v>
      </c>
      <c r="F41" s="954"/>
      <c r="G41" s="223" t="s">
        <v>59</v>
      </c>
      <c r="H41" s="223">
        <v>251</v>
      </c>
      <c r="I41" s="136">
        <f>INDEX('[1]111-112-113 ADDITIONAL FUND'!D$1:D$65536,MATCH($A$1,'[1]111-112-113 ADDITIONAL FUND'!A$1:A$65536))</f>
        <v>1047</v>
      </c>
      <c r="J41" s="727">
        <f t="shared" ref="J41:J49" si="8">ROUND(E41*I41,2)</f>
        <v>57585</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2</v>
      </c>
      <c r="D42" s="415">
        <v>0</v>
      </c>
      <c r="E42" s="954">
        <f t="shared" si="7"/>
        <v>4</v>
      </c>
      <c r="F42" s="954"/>
      <c r="G42" s="223" t="s">
        <v>59</v>
      </c>
      <c r="H42" s="223">
        <v>252</v>
      </c>
      <c r="I42" s="136">
        <f>INDEX('[1]111-112-113 ADDITIONAL FUND'!E$1:E$65536,MATCH($A$1,'[1]111-112-113 ADDITIONAL FUND'!A$1:A$65536))</f>
        <v>3380</v>
      </c>
      <c r="J42" s="727">
        <f t="shared" si="8"/>
        <v>13520</v>
      </c>
      <c r="M42" s="2"/>
      <c r="R42" s="903"/>
      <c r="S42" s="903"/>
      <c r="T42" s="904"/>
      <c r="U42" s="904"/>
      <c r="V42" s="239" t="s">
        <v>59</v>
      </c>
      <c r="W42" s="239">
        <v>252</v>
      </c>
      <c r="X42" s="134">
        <f t="shared" si="9"/>
        <v>3380</v>
      </c>
      <c r="Y42" s="269">
        <f t="shared" ref="Y42:Y49" si="10">ROUND(T42*X42,2)</f>
        <v>0</v>
      </c>
    </row>
    <row r="43" spans="1:25" x14ac:dyDescent="0.25">
      <c r="A43" s="960"/>
      <c r="B43" s="960"/>
      <c r="C43" s="415">
        <v>0.5</v>
      </c>
      <c r="D43" s="415">
        <v>0</v>
      </c>
      <c r="E43" s="954">
        <f t="shared" si="7"/>
        <v>1</v>
      </c>
      <c r="F43" s="954"/>
      <c r="G43" s="223" t="s">
        <v>59</v>
      </c>
      <c r="H43" s="223">
        <v>253</v>
      </c>
      <c r="I43" s="136">
        <f>INDEX('[1]111-112-113 ADDITIONAL FUND'!F$1:F$65536,MATCH($A$1,'[1]111-112-113 ADDITIONAL FUND'!A$1:A$65536))</f>
        <v>6896</v>
      </c>
      <c r="J43" s="727">
        <f t="shared" si="8"/>
        <v>6896</v>
      </c>
      <c r="M43" s="2"/>
      <c r="R43" s="903"/>
      <c r="S43" s="903"/>
      <c r="T43" s="905"/>
      <c r="U43" s="905"/>
      <c r="V43" s="239" t="s">
        <v>59</v>
      </c>
      <c r="W43" s="239">
        <v>253</v>
      </c>
      <c r="X43" s="134">
        <f t="shared" si="9"/>
        <v>6896</v>
      </c>
      <c r="Y43" s="269">
        <f t="shared" si="10"/>
        <v>0</v>
      </c>
    </row>
    <row r="44" spans="1:25" x14ac:dyDescent="0.25">
      <c r="A44" s="960"/>
      <c r="B44" s="960"/>
      <c r="C44" s="415">
        <v>43.41</v>
      </c>
      <c r="D44" s="415">
        <v>0</v>
      </c>
      <c r="E44" s="954">
        <f t="shared" si="7"/>
        <v>86.82</v>
      </c>
      <c r="F44" s="954"/>
      <c r="G44" s="47" t="s">
        <v>60</v>
      </c>
      <c r="H44" s="223">
        <v>251</v>
      </c>
      <c r="I44" s="136">
        <f>INDEX('[1]111-112-113 ADDITIONAL FUND'!G$1:G$65536,MATCH($A$1,'[1]111-112-113 ADDITIONAL FUND'!A$1:A$65536))</f>
        <v>1173</v>
      </c>
      <c r="J44" s="727">
        <f t="shared" si="8"/>
        <v>101839.86</v>
      </c>
      <c r="L44" s="3"/>
      <c r="M44" s="2"/>
      <c r="Q44" s="4"/>
      <c r="R44" s="903"/>
      <c r="S44" s="903"/>
      <c r="T44" s="905"/>
      <c r="U44" s="905"/>
      <c r="V44" s="182" t="s">
        <v>60</v>
      </c>
      <c r="W44" s="239">
        <v>251</v>
      </c>
      <c r="X44" s="134">
        <f t="shared" si="9"/>
        <v>1173</v>
      </c>
      <c r="Y44" s="269">
        <f t="shared" si="10"/>
        <v>0</v>
      </c>
    </row>
    <row r="45" spans="1:25" x14ac:dyDescent="0.25">
      <c r="A45" s="960"/>
      <c r="B45" s="960"/>
      <c r="C45" s="415">
        <v>4</v>
      </c>
      <c r="D45" s="415">
        <v>0</v>
      </c>
      <c r="E45" s="954">
        <f t="shared" si="7"/>
        <v>8</v>
      </c>
      <c r="F45" s="954"/>
      <c r="G45" s="47" t="s">
        <v>60</v>
      </c>
      <c r="H45" s="223">
        <v>252</v>
      </c>
      <c r="I45" s="136">
        <f>INDEX('[1]111-112-113 ADDITIONAL FUND'!H$1:H$65536,MATCH($A$1,'[1]111-112-113 ADDITIONAL FUND'!A$1:A$65536))</f>
        <v>3506</v>
      </c>
      <c r="J45" s="727">
        <f t="shared" si="8"/>
        <v>28048</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77.41</v>
      </c>
      <c r="D50" s="585">
        <f>SUM(D41:D49)</f>
        <v>0</v>
      </c>
      <c r="E50" s="956">
        <f>SUM(E41:E49)</f>
        <v>154.82</v>
      </c>
      <c r="F50" s="956"/>
      <c r="G50" s="912" t="s">
        <v>63</v>
      </c>
      <c r="H50" s="912"/>
      <c r="I50" s="912"/>
      <c r="J50" s="276">
        <f>SUM(J41:J49)</f>
        <v>207888.86</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1244.44</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5.9890000000000004E-3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1314.0336</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5.9410000000000001E-3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1244.44</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6.9550000000000002E-3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1244.44</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5.9979999999999999E-3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1244.44</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6.9670000000000001E-3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5.9979999999999999E-3</v>
      </c>
      <c r="J68" s="138">
        <f>ROUND(G68*I68,2)</f>
        <v>273686.3</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5.9890000000000004E-3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6.9670000000000001E-3</v>
      </c>
      <c r="J71" s="138">
        <f>ROUND(G71*I71,2)</f>
        <v>131913.57999999999</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6.9550000000000002E-3</v>
      </c>
      <c r="J72" s="138">
        <f>ROUND(G72*I72,2)</f>
        <v>78591.58</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5.9410000000000001E-3</v>
      </c>
      <c r="J85" s="138">
        <f>ROUND(G85*I85,2)</f>
        <v>1597037.51</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5.9410000000000001E-3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5.9890000000000004E-3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644.40589999999997</v>
      </c>
      <c r="C90" s="245"/>
      <c r="D90" s="869">
        <f>I6</f>
        <v>1.0355000000000001</v>
      </c>
      <c r="E90" s="869"/>
      <c r="F90" s="869"/>
      <c r="G90" s="122">
        <f>'[1]Detail 2025-26 FEFP Second'!AB3</f>
        <v>958.42</v>
      </c>
      <c r="H90" s="47" t="s">
        <v>68</v>
      </c>
      <c r="I90" s="727">
        <f>ROUND(B90*D90*G90,2)</f>
        <v>639536.71</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669.62769999999989</v>
      </c>
      <c r="C91" s="245"/>
      <c r="D91" s="869">
        <f>I6</f>
        <v>1.0355000000000001</v>
      </c>
      <c r="E91" s="869"/>
      <c r="F91" s="869"/>
      <c r="G91" s="122">
        <f>'[1]Detail 2025-26 FEFP Second'!AC3</f>
        <v>915.09</v>
      </c>
      <c r="H91" s="47" t="s">
        <v>68</v>
      </c>
      <c r="I91" s="727">
        <f>ROUND(B91*D91*G91,2)</f>
        <v>634522.93000000005</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727">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1314.0335999999998</v>
      </c>
      <c r="C93" s="109"/>
      <c r="D93" s="109"/>
      <c r="E93" s="939" t="s">
        <v>112</v>
      </c>
      <c r="F93" s="939"/>
      <c r="G93" s="939"/>
      <c r="H93" s="939"/>
      <c r="I93" s="939"/>
      <c r="J93" s="127">
        <f>IF(A1=75,0,I92+I91+I90)</f>
        <v>1274059.6400000001</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241</v>
      </c>
      <c r="D97" s="279">
        <v>0</v>
      </c>
      <c r="E97" s="988">
        <f>(C97+D97)</f>
        <v>241</v>
      </c>
      <c r="F97" s="942"/>
      <c r="G97" s="942"/>
      <c r="H97" s="224" t="s">
        <v>117</v>
      </c>
      <c r="I97" s="130">
        <f>'0040'!I97</f>
        <v>586</v>
      </c>
      <c r="J97" s="138">
        <f>ROUND(I97*E97,2)</f>
        <v>141226</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11014802.470000001</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10487783.030000001</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09"/>
      <c r="I114" s="710">
        <f>IF(I111=1,J111,J109)</f>
        <v>10487783.030000001</v>
      </c>
      <c r="J114" s="711">
        <f>ROUND(IF(E28=0,0,IF(E28&gt;250,-(((250/E28)*I114)*IF(H114="H",0.02,0.05)),IF(H114="H",-0.02*I114,-0.05*I114))),2)</f>
        <v>-105346.41</v>
      </c>
      <c r="M114" s="2"/>
      <c r="N114" s="3"/>
      <c r="R114" s="2"/>
      <c r="T114" s="4"/>
      <c r="W114" s="2"/>
      <c r="X114" s="5"/>
    </row>
    <row r="115" spans="1:26" s="285" customFormat="1" ht="16.5" customHeight="1" x14ac:dyDescent="0.25">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15"/>
      <c r="I116" s="716"/>
      <c r="J116" s="717">
        <f>J107+J114</f>
        <v>10909456.060000001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12"/>
      <c r="I118" s="713"/>
      <c r="J118" s="718">
        <f>-'Cumulative Payments'!R107</f>
        <v>-6305396.4100000001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12"/>
      <c r="I120" s="713"/>
      <c r="J120" s="714">
        <f>J116+J118</f>
        <v>4604059.6500000004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12"/>
      <c r="I122" s="713"/>
      <c r="J122" s="719" cm="1">
        <f t="array" ref="J122:J123">'0040'!J122:J123</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2"/>
      <c r="I123" s="713"/>
      <c r="J123" s="714">
        <v>0</v>
      </c>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12"/>
      <c r="I124" s="713"/>
      <c r="J124" s="720">
        <f>ROUND(J120/J122,2)</f>
        <v>920811.93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12"/>
      <c r="I126" s="713"/>
      <c r="J126" s="721">
        <f>ROUND(IF(H114="H",(I114*0.02)+J114,(I114*0.05)+J114),2)</f>
        <v>419042.74</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AF59-BA16-49DC-B5B9-C114B4A765BC}">
  <dimension ref="A1:Z207"/>
  <sheetViews>
    <sheetView topLeftCell="A102" workbookViewId="0">
      <selection activeCell="J124" sqref="J12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465</v>
      </c>
      <c r="B2" s="102"/>
      <c r="C2" s="102"/>
      <c r="D2" s="102"/>
      <c r="E2" s="100"/>
      <c r="F2" s="100"/>
      <c r="G2" s="100"/>
      <c r="H2" s="100"/>
      <c r="I2" s="100"/>
      <c r="J2" s="100"/>
      <c r="K2" s="6"/>
      <c r="L2" s="6"/>
      <c r="M2" s="6"/>
      <c r="N2" s="6"/>
      <c r="O2" s="6"/>
      <c r="P2" s="6"/>
      <c r="Q2" s="6"/>
      <c r="R2" s="875" t="str">
        <f>Revenue_Estimate_Worksheet_for___________Charter_School</f>
        <v>Revenue Estimate Worksheet: Olympus International Academy - 4030</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Second'!$C$1:$C$65536,MATCH('4030'!$A$1,'[1]Detail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Second'!$D$1:$D$65536,MATCH('4030'!$A$1,'[1]Detail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26.48</v>
      </c>
      <c r="D12" s="411">
        <v>0</v>
      </c>
      <c r="E12" s="980">
        <f t="shared" ref="E12:E27" si="0">IF($D$28=0,C12*2,C12+D12)</f>
        <v>52.96</v>
      </c>
      <c r="F12" s="980"/>
      <c r="G12" s="981">
        <v>1.1080000000000001</v>
      </c>
      <c r="H12" s="981"/>
      <c r="I12" s="578">
        <f>ROUND(E12*G12,4)</f>
        <v>58.679699999999997</v>
      </c>
      <c r="J12" s="579">
        <f t="shared" ref="J12:J27" si="1">ROUND(ROUND(ROUND(I12*$E$6,4)*($I$6),2)*(MAX($I$7,1)),2)</f>
        <v>326454.38</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1</v>
      </c>
      <c r="D13" s="415">
        <v>0</v>
      </c>
      <c r="E13" s="967">
        <f t="shared" si="0"/>
        <v>2</v>
      </c>
      <c r="F13" s="967"/>
      <c r="G13" s="968">
        <v>1.1080000000000001</v>
      </c>
      <c r="H13" s="968"/>
      <c r="I13" s="578">
        <f t="shared" ref="I13:I27" si="2">ROUND(E13*G13,4)</f>
        <v>2.2160000000000002</v>
      </c>
      <c r="J13" s="579">
        <f t="shared" si="1"/>
        <v>12328.33</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34.29</v>
      </c>
      <c r="D14" s="415">
        <v>0</v>
      </c>
      <c r="E14" s="967">
        <f t="shared" si="0"/>
        <v>68.58</v>
      </c>
      <c r="F14" s="967"/>
      <c r="G14" s="968">
        <v>1</v>
      </c>
      <c r="H14" s="968"/>
      <c r="I14" s="578">
        <f t="shared" si="2"/>
        <v>68.58</v>
      </c>
      <c r="J14" s="579">
        <f>ROUND(ROUND(ROUND(I14*$E$6,4)*($I$6),2)*(MAX($I$7,1)),2)</f>
        <v>381532.99</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4</v>
      </c>
      <c r="D15" s="415">
        <v>0</v>
      </c>
      <c r="E15" s="967">
        <f t="shared" si="0"/>
        <v>8</v>
      </c>
      <c r="F15" s="967"/>
      <c r="G15" s="968">
        <v>1</v>
      </c>
      <c r="H15" s="968"/>
      <c r="I15" s="578">
        <f t="shared" si="2"/>
        <v>8</v>
      </c>
      <c r="J15" s="579">
        <f t="shared" si="1"/>
        <v>44506.62</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41.019999999999996</v>
      </c>
      <c r="D24" s="415">
        <v>0</v>
      </c>
      <c r="E24" s="967">
        <f t="shared" si="0"/>
        <v>82.039999999999992</v>
      </c>
      <c r="F24" s="967"/>
      <c r="G24" s="968">
        <v>1.165</v>
      </c>
      <c r="H24" s="968"/>
      <c r="I24" s="578">
        <f t="shared" si="2"/>
        <v>95.576599999999999</v>
      </c>
      <c r="J24" s="579">
        <f t="shared" si="1"/>
        <v>531723.91</v>
      </c>
      <c r="M24" s="2"/>
      <c r="R24" s="860" t="s">
        <v>32</v>
      </c>
      <c r="S24" s="860"/>
      <c r="T24" s="891">
        <f t="shared" si="3"/>
        <v>0</v>
      </c>
      <c r="U24" s="891"/>
      <c r="V24" s="896">
        <v>1</v>
      </c>
      <c r="W24" s="896"/>
      <c r="X24" s="156">
        <f t="shared" si="4"/>
        <v>0</v>
      </c>
      <c r="Y24" s="266">
        <f t="shared" si="6"/>
        <v>0</v>
      </c>
    </row>
    <row r="25" spans="1:25" x14ac:dyDescent="0.25">
      <c r="A25" s="861" t="s">
        <v>33</v>
      </c>
      <c r="B25" s="861"/>
      <c r="C25" s="415">
        <v>16.21</v>
      </c>
      <c r="D25" s="415">
        <v>0</v>
      </c>
      <c r="E25" s="967">
        <f t="shared" si="0"/>
        <v>32.42</v>
      </c>
      <c r="F25" s="967"/>
      <c r="G25" s="968">
        <v>1.165</v>
      </c>
      <c r="H25" s="968"/>
      <c r="I25" s="578">
        <f t="shared" si="2"/>
        <v>37.769300000000001</v>
      </c>
      <c r="J25" s="579">
        <f t="shared" si="1"/>
        <v>210122.98</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123</v>
      </c>
      <c r="D28" s="126">
        <f>SUM(D12:D27)</f>
        <v>0</v>
      </c>
      <c r="E28" s="966">
        <f>SUM(E12:E27)</f>
        <v>246</v>
      </c>
      <c r="F28" s="966"/>
      <c r="G28" s="961"/>
      <c r="H28" s="961"/>
      <c r="I28" s="23">
        <f>SUM(I12:I27)</f>
        <v>270.82159999999999</v>
      </c>
      <c r="J28" s="127">
        <f>SUM(J12:J27)</f>
        <v>1506669.21</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270.82159999999999</v>
      </c>
      <c r="H33" s="961" t="s">
        <v>45</v>
      </c>
      <c r="I33" s="961"/>
      <c r="J33" s="32">
        <f>SUM(J32,J28)</f>
        <v>1506669.21</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1874258.81</v>
      </c>
      <c r="H36" s="223" t="s">
        <v>49</v>
      </c>
      <c r="I36" s="38">
        <v>6.6699999999999995E-2</v>
      </c>
      <c r="J36" s="131">
        <f>ROUND(G36*I36,2)</f>
        <v>125013.06</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1874258.81</v>
      </c>
      <c r="H37" s="223" t="s">
        <v>49</v>
      </c>
      <c r="I37" s="38">
        <v>5.4000000000000003E-3</v>
      </c>
      <c r="J37" s="131">
        <f>ROUND(G37*I37,2)</f>
        <v>10121</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135134.06</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727"/>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0.5</v>
      </c>
      <c r="D41" s="415">
        <v>0</v>
      </c>
      <c r="E41" s="954">
        <f t="shared" ref="E41:E49" si="7">IF($D$50=0,C41*2,C41+D41)</f>
        <v>1</v>
      </c>
      <c r="F41" s="954"/>
      <c r="G41" s="223" t="s">
        <v>59</v>
      </c>
      <c r="H41" s="223">
        <v>251</v>
      </c>
      <c r="I41" s="136">
        <f>INDEX('[1]111-112-113 ADDITIONAL FUND'!D$1:D$65536,MATCH($A$1,'[1]111-112-113 ADDITIONAL FUND'!A$1:A$65536))</f>
        <v>1047</v>
      </c>
      <c r="J41" s="727">
        <f t="shared" ref="J41:J49" si="8">ROUND(E41*I41,2)</f>
        <v>1047</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0.5</v>
      </c>
      <c r="D42" s="415">
        <v>0</v>
      </c>
      <c r="E42" s="954">
        <f t="shared" si="7"/>
        <v>1</v>
      </c>
      <c r="F42" s="954"/>
      <c r="G42" s="223" t="s">
        <v>59</v>
      </c>
      <c r="H42" s="223">
        <v>252</v>
      </c>
      <c r="I42" s="136">
        <f>INDEX('[1]111-112-113 ADDITIONAL FUND'!E$1:E$65536,MATCH($A$1,'[1]111-112-113 ADDITIONAL FUND'!A$1:A$65536))</f>
        <v>3380</v>
      </c>
      <c r="J42" s="727">
        <f t="shared" si="8"/>
        <v>3380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3.5</v>
      </c>
      <c r="D44" s="415">
        <v>0</v>
      </c>
      <c r="E44" s="954">
        <f t="shared" si="7"/>
        <v>7</v>
      </c>
      <c r="F44" s="954"/>
      <c r="G44" s="47" t="s">
        <v>60</v>
      </c>
      <c r="H44" s="223">
        <v>251</v>
      </c>
      <c r="I44" s="136">
        <f>INDEX('[1]111-112-113 ADDITIONAL FUND'!G$1:G$65536,MATCH($A$1,'[1]111-112-113 ADDITIONAL FUND'!A$1:A$65536))</f>
        <v>1173</v>
      </c>
      <c r="J44" s="727">
        <f t="shared" si="8"/>
        <v>8211</v>
      </c>
      <c r="L44" s="3"/>
      <c r="M44" s="2"/>
      <c r="Q44" s="4"/>
      <c r="R44" s="903"/>
      <c r="S44" s="903"/>
      <c r="T44" s="905"/>
      <c r="U44" s="905"/>
      <c r="V44" s="182" t="s">
        <v>60</v>
      </c>
      <c r="W44" s="239">
        <v>251</v>
      </c>
      <c r="X44" s="134">
        <f t="shared" si="9"/>
        <v>1173</v>
      </c>
      <c r="Y44" s="269">
        <f t="shared" si="10"/>
        <v>0</v>
      </c>
    </row>
    <row r="45" spans="1:25" x14ac:dyDescent="0.25">
      <c r="A45" s="960"/>
      <c r="B45" s="960"/>
      <c r="C45" s="415">
        <v>0.5</v>
      </c>
      <c r="D45" s="415">
        <v>0</v>
      </c>
      <c r="E45" s="954">
        <f t="shared" si="7"/>
        <v>1</v>
      </c>
      <c r="F45" s="954"/>
      <c r="G45" s="47" t="s">
        <v>60</v>
      </c>
      <c r="H45" s="223">
        <v>252</v>
      </c>
      <c r="I45" s="136">
        <f>INDEX('[1]111-112-113 ADDITIONAL FUND'!H$1:H$65536,MATCH($A$1,'[1]111-112-113 ADDITIONAL FUND'!A$1:A$65536))</f>
        <v>3506</v>
      </c>
      <c r="J45" s="727">
        <f t="shared" si="8"/>
        <v>3506</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5</v>
      </c>
      <c r="D50" s="585">
        <f>SUM(D41:D49)</f>
        <v>0</v>
      </c>
      <c r="E50" s="956">
        <f>SUM(E41:E49)</f>
        <v>10</v>
      </c>
      <c r="F50" s="956"/>
      <c r="G50" s="912" t="s">
        <v>63</v>
      </c>
      <c r="H50" s="912"/>
      <c r="I50" s="912"/>
      <c r="J50" s="276">
        <f>SUM(J41:J49)</f>
        <v>16144</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246</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1.1839999999999999E-3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E56</f>
        <v>270.82159999999999</v>
      </c>
      <c r="U55" s="184" t="s">
        <v>66</v>
      </c>
      <c r="V55" s="185"/>
      <c r="W55" s="186" t="s">
        <v>71</v>
      </c>
      <c r="X55" s="919">
        <f>I56</f>
        <v>221179.83999999997</v>
      </c>
      <c r="Y55" s="919"/>
    </row>
    <row r="56" spans="1:25" ht="16.5" customHeight="1" x14ac:dyDescent="0.25">
      <c r="A56" s="899" t="s">
        <v>70</v>
      </c>
      <c r="B56" s="899"/>
      <c r="C56" s="237"/>
      <c r="D56" s="237"/>
      <c r="E56" s="48">
        <f>G33</f>
        <v>270.82159999999999</v>
      </c>
      <c r="F56" s="49" t="s">
        <v>66</v>
      </c>
      <c r="G56" s="3"/>
      <c r="H56" s="50" t="s">
        <v>71</v>
      </c>
      <c r="I56" s="994">
        <f>'0040'!I56</f>
        <v>221179.83999999997</v>
      </c>
      <c r="J56" s="994"/>
      <c r="M56" s="2"/>
      <c r="R56" s="255"/>
      <c r="S56" s="170"/>
      <c r="T56" s="170"/>
      <c r="U56" s="170"/>
      <c r="V56" s="170"/>
      <c r="W56" s="189" t="s">
        <v>68</v>
      </c>
      <c r="X56" s="920">
        <f>ROUND(T55/X55,6)</f>
        <v>1.224E-3</v>
      </c>
      <c r="Y56" s="920"/>
    </row>
    <row r="57" spans="1:25" ht="18.75" customHeight="1" x14ac:dyDescent="0.25">
      <c r="A57" s="237"/>
      <c r="H57" s="53" t="s">
        <v>68</v>
      </c>
      <c r="I57" s="945">
        <f>IFERROR(ROUND(E56/I56,6),0)</f>
        <v>1.224E-3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246</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1.3749999999999999E-3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246</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1.186E-3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246</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1.377E-3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1.186E-3</v>
      </c>
      <c r="J68" s="138">
        <f>ROUND(G68*I68,2)</f>
        <v>54116.7</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1.1839999999999999E-3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1.377E-3</v>
      </c>
      <c r="J71" s="138">
        <f>ROUND(G71*I71,2)</f>
        <v>26072.2</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1.3749999999999999E-3</v>
      </c>
      <c r="J72" s="138">
        <f>ROUND(G72*I72,2)</f>
        <v>15537.52</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1.224E-3</v>
      </c>
      <c r="J85" s="138">
        <f>ROUND(G85*I85,2)</f>
        <v>329031.12</v>
      </c>
      <c r="K85" s="70"/>
      <c r="L85" s="70"/>
      <c r="M85" s="71"/>
      <c r="N85" s="70"/>
      <c r="O85" s="70"/>
      <c r="P85" s="70"/>
      <c r="Q85" s="70"/>
      <c r="R85" s="862" t="s">
        <v>168</v>
      </c>
      <c r="S85" s="862"/>
      <c r="T85" s="862"/>
      <c r="U85" s="253"/>
      <c r="V85" s="171">
        <f>G85</f>
        <v>268816278</v>
      </c>
      <c r="W85" s="239" t="s">
        <v>81</v>
      </c>
      <c r="X85" s="176">
        <f>X56</f>
        <v>1.224E-3</v>
      </c>
      <c r="Y85" s="266">
        <f t="shared" ref="Y85:Y87" si="12">ROUND(V85*X85,2)</f>
        <v>329031.12</v>
      </c>
    </row>
    <row r="86" spans="1:26" ht="14.25" customHeight="1" x14ac:dyDescent="0.25">
      <c r="A86" s="898" t="s">
        <v>104</v>
      </c>
      <c r="B86" s="898"/>
      <c r="C86" s="898"/>
      <c r="D86" s="898"/>
      <c r="E86" s="898"/>
      <c r="F86" s="248" t="s">
        <v>103</v>
      </c>
      <c r="G86" s="139">
        <v>0</v>
      </c>
      <c r="H86" s="223" t="s">
        <v>81</v>
      </c>
      <c r="I86" s="41">
        <f>I57</f>
        <v>1.224E-3</v>
      </c>
      <c r="J86" s="138">
        <f>ROUND(G86*I86,2)</f>
        <v>0</v>
      </c>
      <c r="K86" s="70"/>
      <c r="L86" s="71"/>
      <c r="M86" s="76"/>
      <c r="N86" s="76"/>
      <c r="O86" s="76"/>
      <c r="P86" s="76"/>
      <c r="Q86" s="70"/>
      <c r="R86" s="862" t="s">
        <v>169</v>
      </c>
      <c r="S86" s="862"/>
      <c r="T86" s="862"/>
      <c r="U86" s="253"/>
      <c r="V86" s="203">
        <f>G86</f>
        <v>0</v>
      </c>
      <c r="W86" s="239" t="s">
        <v>81</v>
      </c>
      <c r="X86" s="176">
        <f>X56</f>
        <v>1.224E-3</v>
      </c>
      <c r="Y86" s="266">
        <f t="shared" si="12"/>
        <v>0</v>
      </c>
    </row>
    <row r="87" spans="1:26" ht="18" customHeight="1" x14ac:dyDescent="0.25">
      <c r="A87" s="898" t="s">
        <v>105</v>
      </c>
      <c r="B87" s="898"/>
      <c r="C87" s="898"/>
      <c r="D87" s="898"/>
      <c r="E87" s="898"/>
      <c r="F87" s="248" t="s">
        <v>84</v>
      </c>
      <c r="G87" s="139">
        <v>0</v>
      </c>
      <c r="H87" s="223" t="s">
        <v>81</v>
      </c>
      <c r="I87" s="41">
        <f>I54</f>
        <v>1.1839999999999999E-3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156.47229999999999</v>
      </c>
      <c r="C90" s="245"/>
      <c r="D90" s="869">
        <f>I6</f>
        <v>1.0355000000000001</v>
      </c>
      <c r="E90" s="869"/>
      <c r="F90" s="869"/>
      <c r="G90" s="122">
        <f>'[1]Detail 2025-26 FEFP Second'!AB3</f>
        <v>958.42</v>
      </c>
      <c r="H90" s="47" t="s">
        <v>68</v>
      </c>
      <c r="I90" s="727">
        <f>ROUND(B90*D90*G90,2)</f>
        <v>155289.98000000001</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114.3493</v>
      </c>
      <c r="C91" s="245"/>
      <c r="D91" s="869">
        <f>I6</f>
        <v>1.0355000000000001</v>
      </c>
      <c r="E91" s="869"/>
      <c r="F91" s="869"/>
      <c r="G91" s="122">
        <f>'[1]Detail 2025-26 FEFP Second'!AC3</f>
        <v>915.09</v>
      </c>
      <c r="H91" s="47" t="s">
        <v>68</v>
      </c>
      <c r="I91" s="727">
        <f>ROUND(B91*D91*G91,2)</f>
        <v>108354.62</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727">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270.82159999999999</v>
      </c>
      <c r="C93" s="109"/>
      <c r="D93" s="109"/>
      <c r="E93" s="939" t="s">
        <v>112</v>
      </c>
      <c r="F93" s="939"/>
      <c r="G93" s="939"/>
      <c r="H93" s="939"/>
      <c r="I93" s="939"/>
      <c r="J93" s="127">
        <f>IF(A1=75,0,I92+I91+I90)</f>
        <v>263644.59999999998</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2211215.35</v>
      </c>
      <c r="L107" s="576"/>
      <c r="R107" s="862" t="s">
        <v>125</v>
      </c>
      <c r="S107" s="862"/>
      <c r="T107" s="862"/>
      <c r="U107" s="862"/>
      <c r="V107" s="862"/>
      <c r="W107" s="862"/>
      <c r="X107" s="862"/>
      <c r="Y107" s="219">
        <f>SUM(Y106,Y105,Y97,Y96,Y93,Y86,Y85,Y84,Y70,Y69,Y67,Y33,Y71,Y50,Y87,Y83)</f>
        <v>329031.12</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2076081.29</v>
      </c>
      <c r="R109" s="170" t="s">
        <v>176</v>
      </c>
      <c r="S109" s="170"/>
      <c r="T109" s="170"/>
      <c r="U109" s="170"/>
      <c r="V109" s="170"/>
      <c r="W109" s="170"/>
      <c r="X109" s="170"/>
      <c r="Y109" s="220">
        <f>Y107-Y38</f>
        <v>329031.12</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329031.12</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2076081.29</v>
      </c>
      <c r="J114" s="296">
        <f>ROUND(IF(E28=0,0,IF(E28&gt;250,-(((250/E28)*I114)*IF(H114="H",0.02,0.05)),IF(H114="H",-0.02*I114,-0.05*I114))),2)</f>
        <v>-103804.06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2107411.29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Payments'!R108</f>
        <v>-1523637.08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583774.21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116754.84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76A2-B6D3-4694-A23F-19B06DAE026B}">
  <dimension ref="A1:Z207"/>
  <sheetViews>
    <sheetView topLeftCell="A111"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466</v>
      </c>
      <c r="B2" s="102"/>
      <c r="C2" s="102"/>
      <c r="D2" s="102"/>
      <c r="E2" s="100"/>
      <c r="F2" s="100"/>
      <c r="G2" s="100"/>
      <c r="H2" s="100"/>
      <c r="I2" s="100"/>
      <c r="J2" s="100"/>
      <c r="K2" s="6"/>
      <c r="L2" s="6"/>
      <c r="M2" s="6"/>
      <c r="N2" s="6"/>
      <c r="O2" s="6"/>
      <c r="P2" s="6"/>
      <c r="Q2" s="6"/>
      <c r="R2" s="875" t="str">
        <f>Revenue_Estimate_Worksheet_for___________Charter_School</f>
        <v>Revenue Estimate Worksheet: Somerset Academy Wellington - 4031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Second'!$C$1:$C$65536,MATCH('4031'!$A$1,'[1]Detail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51.69</v>
      </c>
      <c r="D12" s="411">
        <v>0</v>
      </c>
      <c r="E12" s="980">
        <f t="shared" ref="E12:E27" si="0">IF($D$28=0,C12*2,C12+D12)</f>
        <v>103.38</v>
      </c>
      <c r="F12" s="980"/>
      <c r="G12" s="981">
        <v>1.1080000000000001</v>
      </c>
      <c r="H12" s="981"/>
      <c r="I12" s="578">
        <f>ROUND(E12*G12,4)</f>
        <v>114.545</v>
      </c>
      <c r="J12" s="579">
        <f t="shared" ref="J12:J27" si="1">ROUND(ROUND(ROUND(I12*$E$6,4)*($I$6),2)*(MAX($I$7,1)),2)</f>
        <v>637251.32999999996</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6</v>
      </c>
      <c r="D13" s="415">
        <v>0</v>
      </c>
      <c r="E13" s="967">
        <f t="shared" si="0"/>
        <v>12</v>
      </c>
      <c r="F13" s="967"/>
      <c r="G13" s="968">
        <v>1.1080000000000001</v>
      </c>
      <c r="H13" s="968"/>
      <c r="I13" s="578">
        <f t="shared" ref="I13:I27" si="2">ROUND(E13*G13,4)</f>
        <v>13.295999999999999</v>
      </c>
      <c r="J13" s="579">
        <f t="shared" si="1"/>
        <v>73970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89.88</v>
      </c>
      <c r="D14" s="415">
        <v>0</v>
      </c>
      <c r="E14" s="967">
        <f t="shared" si="0"/>
        <v>179.76</v>
      </c>
      <c r="F14" s="967"/>
      <c r="G14" s="968">
        <v>1</v>
      </c>
      <c r="H14" s="968"/>
      <c r="I14" s="578">
        <f t="shared" si="2"/>
        <v>179.76</v>
      </c>
      <c r="J14" s="579">
        <f>ROUND(ROUND(ROUND(I14*$E$6,4)*($I$6),2)*(MAX($I$7,1)),2)</f>
        <v>1000063.72</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18.5</v>
      </c>
      <c r="D15" s="415">
        <v>0</v>
      </c>
      <c r="E15" s="967">
        <f t="shared" si="0"/>
        <v>37</v>
      </c>
      <c r="F15" s="967"/>
      <c r="G15" s="968">
        <v>1</v>
      </c>
      <c r="H15" s="968"/>
      <c r="I15" s="578">
        <f t="shared" si="2"/>
        <v>37</v>
      </c>
      <c r="J15" s="579">
        <f t="shared" si="1"/>
        <v>205843.11</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20.270000000000003</v>
      </c>
      <c r="D24" s="415">
        <v>0</v>
      </c>
      <c r="E24" s="967">
        <f t="shared" si="0"/>
        <v>40.540000000000006</v>
      </c>
      <c r="F24" s="967"/>
      <c r="G24" s="968">
        <v>1.165</v>
      </c>
      <c r="H24" s="968"/>
      <c r="I24" s="578">
        <f t="shared" si="2"/>
        <v>47.229100000000003</v>
      </c>
      <c r="J24" s="579">
        <f t="shared" si="1"/>
        <v>262750.94</v>
      </c>
      <c r="M24" s="2"/>
      <c r="R24" s="860" t="s">
        <v>32</v>
      </c>
      <c r="S24" s="860"/>
      <c r="T24" s="891">
        <f t="shared" si="3"/>
        <v>0</v>
      </c>
      <c r="U24" s="891"/>
      <c r="V24" s="896">
        <v>1</v>
      </c>
      <c r="W24" s="896"/>
      <c r="X24" s="156">
        <f t="shared" si="4"/>
        <v>0</v>
      </c>
      <c r="Y24" s="266">
        <f t="shared" si="6"/>
        <v>0</v>
      </c>
    </row>
    <row r="25" spans="1:25" x14ac:dyDescent="0.25">
      <c r="A25" s="861" t="s">
        <v>33</v>
      </c>
      <c r="B25" s="861"/>
      <c r="C25" s="415">
        <v>13.86</v>
      </c>
      <c r="D25" s="415">
        <v>0</v>
      </c>
      <c r="E25" s="967">
        <f t="shared" si="0"/>
        <v>27.72</v>
      </c>
      <c r="F25" s="967"/>
      <c r="G25" s="968">
        <v>1.165</v>
      </c>
      <c r="H25" s="968"/>
      <c r="I25" s="578">
        <f t="shared" si="2"/>
        <v>32.293799999999997</v>
      </c>
      <c r="J25" s="579">
        <f t="shared" si="1"/>
        <v>179660.98</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200.2</v>
      </c>
      <c r="D28" s="126">
        <f>SUM(D12:D27)</f>
        <v>0</v>
      </c>
      <c r="E28" s="966">
        <f>SUM(E12:E27)</f>
        <v>400.4</v>
      </c>
      <c r="F28" s="966"/>
      <c r="G28" s="961"/>
      <c r="H28" s="961"/>
      <c r="I28" s="23">
        <f>SUM(I12:I27)</f>
        <v>424.12389999999999</v>
      </c>
      <c r="J28" s="127">
        <f>SUM(J12:J27)</f>
        <v>2359540.0799999996</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424.12389999999999</v>
      </c>
      <c r="H33" s="961" t="s">
        <v>45</v>
      </c>
      <c r="I33" s="961"/>
      <c r="J33" s="32">
        <f>SUM(J32,J28)</f>
        <v>2359540.0799999996</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2716972.73</v>
      </c>
      <c r="H36" s="223" t="s">
        <v>49</v>
      </c>
      <c r="I36" s="38">
        <v>6.6699999999999995E-2</v>
      </c>
      <c r="J36" s="131">
        <f>ROUND(G36*I36,2)</f>
        <v>181222.08</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2716972.73</v>
      </c>
      <c r="H37" s="223" t="s">
        <v>49</v>
      </c>
      <c r="I37" s="38">
        <v>5.4000000000000003E-3</v>
      </c>
      <c r="J37" s="131">
        <f>ROUND(G37*I37,2)</f>
        <v>14671.65</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195893.72999999998</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4</v>
      </c>
      <c r="D41" s="415">
        <v>0</v>
      </c>
      <c r="E41" s="954">
        <f t="shared" ref="E41:E49" si="7">IF($D$50=0,C41*2,C41+D41)</f>
        <v>8</v>
      </c>
      <c r="F41" s="954"/>
      <c r="G41" s="223" t="s">
        <v>59</v>
      </c>
      <c r="H41" s="223">
        <v>251</v>
      </c>
      <c r="I41" s="136">
        <f>INDEX('[1]111-112-113 ADDITIONAL FUND'!D$1:D$65536,MATCH($A$1,'[1]111-112-113 ADDITIONAL FUND'!A$1:A$65536))</f>
        <v>1047</v>
      </c>
      <c r="J41" s="46">
        <f t="shared" ref="J41:J49" si="8">ROUND(E41*I41,2)</f>
        <v>8376</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2</v>
      </c>
      <c r="D42" s="415">
        <v>0</v>
      </c>
      <c r="E42" s="954">
        <f t="shared" si="7"/>
        <v>4</v>
      </c>
      <c r="F42" s="954"/>
      <c r="G42" s="223" t="s">
        <v>59</v>
      </c>
      <c r="H42" s="223">
        <v>252</v>
      </c>
      <c r="I42" s="136">
        <f>INDEX('[1]111-112-113 ADDITIONAL FUND'!E$1:E$65536,MATCH($A$1,'[1]111-112-113 ADDITIONAL FUND'!A$1:A$65536))</f>
        <v>3380</v>
      </c>
      <c r="J42" s="46">
        <f t="shared" si="8"/>
        <v>13520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x14ac:dyDescent="0.25">
      <c r="A44" s="960"/>
      <c r="B44" s="960"/>
      <c r="C44" s="415">
        <v>15</v>
      </c>
      <c r="D44" s="415">
        <v>0</v>
      </c>
      <c r="E44" s="954">
        <f t="shared" si="7"/>
        <v>30</v>
      </c>
      <c r="F44" s="954"/>
      <c r="G44" s="47" t="s">
        <v>60</v>
      </c>
      <c r="H44" s="223">
        <v>251</v>
      </c>
      <c r="I44" s="136">
        <f>INDEX('[1]111-112-113 ADDITIONAL FUND'!G$1:G$65536,MATCH($A$1,'[1]111-112-113 ADDITIONAL FUND'!A$1:A$65536))</f>
        <v>1173</v>
      </c>
      <c r="J44" s="137">
        <f t="shared" si="8"/>
        <v>35190</v>
      </c>
      <c r="L44" s="3"/>
      <c r="M44" s="2"/>
      <c r="Q44" s="4"/>
      <c r="R44" s="903"/>
      <c r="S44" s="903"/>
      <c r="T44" s="905"/>
      <c r="U44" s="905"/>
      <c r="V44" s="182" t="s">
        <v>60</v>
      </c>
      <c r="W44" s="239">
        <v>251</v>
      </c>
      <c r="X44" s="134">
        <f t="shared" si="9"/>
        <v>1173</v>
      </c>
      <c r="Y44" s="269">
        <f t="shared" si="10"/>
        <v>0</v>
      </c>
    </row>
    <row r="45" spans="1:25" x14ac:dyDescent="0.25">
      <c r="A45" s="960"/>
      <c r="B45" s="960"/>
      <c r="C45" s="415">
        <v>3.5</v>
      </c>
      <c r="D45" s="415">
        <v>0</v>
      </c>
      <c r="E45" s="954">
        <f t="shared" si="7"/>
        <v>7</v>
      </c>
      <c r="F45" s="954"/>
      <c r="G45" s="47" t="s">
        <v>60</v>
      </c>
      <c r="H45" s="223">
        <v>252</v>
      </c>
      <c r="I45" s="136">
        <f>INDEX('[1]111-112-113 ADDITIONAL FUND'!H$1:H$65536,MATCH($A$1,'[1]111-112-113 ADDITIONAL FUND'!A$1:A$65536))</f>
        <v>3506</v>
      </c>
      <c r="J45" s="46">
        <f t="shared" si="8"/>
        <v>24542</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24.5</v>
      </c>
      <c r="D50" s="585">
        <f>SUM(D41:D49)</f>
        <v>0</v>
      </c>
      <c r="E50" s="956">
        <f>SUM(E41:E49)</f>
        <v>49</v>
      </c>
      <c r="F50" s="956"/>
      <c r="G50" s="912" t="s">
        <v>63</v>
      </c>
      <c r="H50" s="912"/>
      <c r="I50" s="912"/>
      <c r="J50" s="276">
        <f>SUM(J41:J49)</f>
        <v>81628</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400.4</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1.9269999999999999E-3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424.12389999999999</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1.918E-3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400.4</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2.238E-3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400.4</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1.9300000000000001E-3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400.4</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2.2420000000000001E-3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1.9300000000000001E-3</v>
      </c>
      <c r="J68" s="138">
        <f>ROUND(G68*I68,2)</f>
        <v>88065.11</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1.9269999999999999E-3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2.2420000000000001E-3</v>
      </c>
      <c r="J71" s="138">
        <f>ROUND(G71*I71,2)</f>
        <v>42450.16</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2.238E-3</v>
      </c>
      <c r="J72" s="138">
        <f>ROUND(G72*I72,2)</f>
        <v>25289.43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1.918E-3</v>
      </c>
      <c r="J85" s="138">
        <f>ROUND(G85*I85,2)</f>
        <v>515589.62</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1.918E-3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1.9269999999999999E-3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175.07010000000002</v>
      </c>
      <c r="C90" s="245"/>
      <c r="D90" s="869">
        <f>I6</f>
        <v>1.0355000000000001</v>
      </c>
      <c r="E90" s="869"/>
      <c r="F90" s="869"/>
      <c r="G90" s="122">
        <f>'[1]Detail 2025-26 FEFP Second'!AB3</f>
        <v>958.42</v>
      </c>
      <c r="H90" s="47" t="s">
        <v>68</v>
      </c>
      <c r="I90" s="727">
        <f>ROUND(B90*D90*G90,2)</f>
        <v>173747.25</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249.0538</v>
      </c>
      <c r="C91" s="245"/>
      <c r="D91" s="869">
        <f>I6</f>
        <v>1.0355000000000001</v>
      </c>
      <c r="E91" s="869"/>
      <c r="F91" s="869"/>
      <c r="G91" s="122">
        <f>'[1]Detail 2025-26 FEFP Second'!AC3</f>
        <v>915.09</v>
      </c>
      <c r="H91" s="47" t="s">
        <v>68</v>
      </c>
      <c r="I91" s="727">
        <f>ROUND(B91*D91*G91,2)</f>
        <v>235997.33</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727">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424.12390000000005</v>
      </c>
      <c r="C93" s="109"/>
      <c r="D93" s="109"/>
      <c r="E93" s="939" t="s">
        <v>112</v>
      </c>
      <c r="F93" s="939"/>
      <c r="G93" s="939"/>
      <c r="H93" s="939"/>
      <c r="I93" s="939"/>
      <c r="J93" s="127">
        <f>IF(A1=75,0,I92+I91+I90)</f>
        <v>409744.57999999996</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3522306.98</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3326413.25</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3326413.25</v>
      </c>
      <c r="J114" s="296">
        <f>ROUND(IF(E28=0,0,IF(E28&gt;250,-(((250/E28)*I114)*IF(H114="H",0.02,0.05)),IF(H114="H",-0.02*I114,-0.05*I114))),2)</f>
        <v>-103846.57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3418460.41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Payments'!R109</f>
        <v>-2255615.34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1162845.0700000003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232569.01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62474.09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A7AB-50C5-47DF-9481-84B2A08425BA}">
  <dimension ref="A1:Z207"/>
  <sheetViews>
    <sheetView topLeftCell="D102"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467</v>
      </c>
      <c r="B2" s="102"/>
      <c r="C2" s="102"/>
      <c r="D2" s="102"/>
      <c r="E2" s="100"/>
      <c r="F2" s="100"/>
      <c r="G2" s="100"/>
      <c r="H2" s="100"/>
      <c r="I2" s="100"/>
      <c r="J2" s="100"/>
      <c r="K2" s="6"/>
      <c r="L2" s="6"/>
      <c r="M2" s="6"/>
      <c r="N2" s="6"/>
      <c r="O2" s="6"/>
      <c r="P2" s="6"/>
      <c r="Q2" s="6"/>
      <c r="R2" s="875" t="str">
        <f>Revenue_Estimate_Worksheet_for___________Charter_School</f>
        <v>Revenue Estimate Worksheet: Somerset Academy Boca Middle School - 4041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Second'!$C$1:$C$65536,MATCH('4041'!$A$1,'[1]Detail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35.450000000000003</v>
      </c>
      <c r="D14" s="415">
        <v>0</v>
      </c>
      <c r="E14" s="967">
        <f t="shared" si="0"/>
        <v>70.900000000000006</v>
      </c>
      <c r="F14" s="967"/>
      <c r="G14" s="968">
        <v>1</v>
      </c>
      <c r="H14" s="968"/>
      <c r="I14" s="578">
        <f t="shared" si="2"/>
        <v>70.900000000000006</v>
      </c>
      <c r="J14" s="579">
        <f>ROUND(ROUND(ROUND(I14*$E$6,4)*($I$6),2)*(MAX($I$7,1)),2)</f>
        <v>394439.91</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9.34</v>
      </c>
      <c r="D15" s="415">
        <v>0</v>
      </c>
      <c r="E15" s="967">
        <f t="shared" si="0"/>
        <v>18.68</v>
      </c>
      <c r="F15" s="967"/>
      <c r="G15" s="968">
        <v>1</v>
      </c>
      <c r="H15" s="968"/>
      <c r="I15" s="578">
        <f t="shared" si="2"/>
        <v>18.68</v>
      </c>
      <c r="J15" s="579">
        <f t="shared" si="1"/>
        <v>103922.95</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2.79</v>
      </c>
      <c r="D25" s="415">
        <v>0</v>
      </c>
      <c r="E25" s="967">
        <f t="shared" si="0"/>
        <v>5.58</v>
      </c>
      <c r="F25" s="967"/>
      <c r="G25" s="968">
        <v>1.165</v>
      </c>
      <c r="H25" s="968"/>
      <c r="I25" s="578">
        <f t="shared" si="2"/>
        <v>6.5007000000000001</v>
      </c>
      <c r="J25" s="579">
        <f t="shared" si="1"/>
        <v>36165.519999999997</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47.580000000000005</v>
      </c>
      <c r="D28" s="126">
        <f>SUM(D12:D27)</f>
        <v>0</v>
      </c>
      <c r="E28" s="966">
        <f>SUM(E12:E27)</f>
        <v>95.160000000000011</v>
      </c>
      <c r="F28" s="966"/>
      <c r="G28" s="961"/>
      <c r="H28" s="961"/>
      <c r="I28" s="23">
        <f>SUM(I12:I27)</f>
        <v>96.080700000000007</v>
      </c>
      <c r="J28" s="127">
        <f>SUM(J12:J27)</f>
        <v>534528.38</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96.080700000000007</v>
      </c>
      <c r="H33" s="961" t="s">
        <v>45</v>
      </c>
      <c r="I33" s="961"/>
      <c r="J33" s="32">
        <f>SUM(J32,J28)</f>
        <v>534528.38</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528682.99</v>
      </c>
      <c r="H36" s="223" t="s">
        <v>49</v>
      </c>
      <c r="I36" s="38">
        <v>6.6699999999999995E-2</v>
      </c>
      <c r="J36" s="131">
        <f>ROUND(G36*I36,2)</f>
        <v>35263.160000000003</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528682.99</v>
      </c>
      <c r="H37" s="223" t="s">
        <v>49</v>
      </c>
      <c r="I37" s="38">
        <v>5.4000000000000003E-3</v>
      </c>
      <c r="J37" s="131">
        <f>ROUND(G37*I37,2)</f>
        <v>2854.89</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38118.050000000003</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727"/>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727">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727">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8.84</v>
      </c>
      <c r="D44" s="415">
        <v>0</v>
      </c>
      <c r="E44" s="954">
        <f t="shared" si="7"/>
        <v>17.68</v>
      </c>
      <c r="F44" s="954"/>
      <c r="G44" s="47" t="s">
        <v>60</v>
      </c>
      <c r="H44" s="223">
        <v>251</v>
      </c>
      <c r="I44" s="136">
        <f>INDEX('[1]111-112-113 ADDITIONAL FUND'!G$1:G$65536,MATCH($A$1,'[1]111-112-113 ADDITIONAL FUND'!A$1:A$65536))</f>
        <v>1173</v>
      </c>
      <c r="J44" s="727">
        <f t="shared" si="8"/>
        <v>20738.64</v>
      </c>
      <c r="L44" s="3"/>
      <c r="M44" s="2"/>
      <c r="Q44" s="4"/>
      <c r="R44" s="903"/>
      <c r="S44" s="903"/>
      <c r="T44" s="905"/>
      <c r="U44" s="905"/>
      <c r="V44" s="182" t="s">
        <v>60</v>
      </c>
      <c r="W44" s="239">
        <v>251</v>
      </c>
      <c r="X44" s="134">
        <f t="shared" si="9"/>
        <v>1173</v>
      </c>
      <c r="Y44" s="269">
        <f t="shared" si="10"/>
        <v>0</v>
      </c>
    </row>
    <row r="45" spans="1:25" x14ac:dyDescent="0.25">
      <c r="A45" s="960"/>
      <c r="B45" s="960"/>
      <c r="C45" s="415">
        <v>0.5</v>
      </c>
      <c r="D45" s="415">
        <v>0</v>
      </c>
      <c r="E45" s="954">
        <f t="shared" si="7"/>
        <v>1</v>
      </c>
      <c r="F45" s="954"/>
      <c r="G45" s="47" t="s">
        <v>60</v>
      </c>
      <c r="H45" s="223">
        <v>252</v>
      </c>
      <c r="I45" s="136">
        <f>INDEX('[1]111-112-113 ADDITIONAL FUND'!H$1:H$65536,MATCH($A$1,'[1]111-112-113 ADDITIONAL FUND'!A$1:A$65536))</f>
        <v>3506</v>
      </c>
      <c r="J45" s="727">
        <f t="shared" si="8"/>
        <v>3506</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9.34</v>
      </c>
      <c r="D50" s="585">
        <f>SUM(D41:D49)</f>
        <v>0</v>
      </c>
      <c r="E50" s="956">
        <f>SUM(E41:E49)</f>
        <v>18.68</v>
      </c>
      <c r="F50" s="956"/>
      <c r="G50" s="912" t="s">
        <v>63</v>
      </c>
      <c r="H50" s="912"/>
      <c r="I50" s="912"/>
      <c r="J50" s="276">
        <f>SUM(J41:J49)</f>
        <v>24244.639999999999</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95.160000000000011</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4.5800000000000002E-4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96.080700000000007</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4.3399999999999998E-4</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95.160000000000011</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5.3200000000000003E-4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95.160000000000011</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4.5899999999999999E-4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95.160000000000011</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5.3300000000000005E-4</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4.5899999999999999E-4</v>
      </c>
      <c r="J68" s="138">
        <f>ROUND(G68*I68,2)</f>
        <v>20943.98</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4.5800000000000002E-4</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5.3300000000000005E-4</v>
      </c>
      <c r="J71" s="138">
        <f>ROUND(G71*I71,2)</f>
        <v>10091.85</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5.3200000000000003E-4</v>
      </c>
      <c r="J72" s="138">
        <f>ROUND(G72*I72,2)</f>
        <v>6011.61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4.3399999999999998E-4</v>
      </c>
      <c r="J85" s="138">
        <f>ROUND(G85*I85,2)</f>
        <v>116666.26</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4.3399999999999998E-4</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4.5800000000000002E-4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141">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96.080700000000007</v>
      </c>
      <c r="C91" s="245"/>
      <c r="D91" s="869">
        <f>I6</f>
        <v>1.0355000000000001</v>
      </c>
      <c r="E91" s="869"/>
      <c r="F91" s="869"/>
      <c r="G91" s="122">
        <f>'[1]Detail 2025-26 FEFP Second'!AC3</f>
        <v>915.09</v>
      </c>
      <c r="H91" s="47" t="s">
        <v>68</v>
      </c>
      <c r="I91" s="140">
        <f>ROUND(B91*D91*G91,2)</f>
        <v>91043.74</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96.080700000000007</v>
      </c>
      <c r="C93" s="109"/>
      <c r="D93" s="109"/>
      <c r="E93" s="939" t="s">
        <v>112</v>
      </c>
      <c r="F93" s="939"/>
      <c r="G93" s="939"/>
      <c r="H93" s="939"/>
      <c r="I93" s="939"/>
      <c r="J93" s="127">
        <f>IF(A1=75,0,I92+I91+I90)</f>
        <v>91043.74</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803530.46</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765412.40999999992</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t="s">
        <v>432</v>
      </c>
      <c r="I114" s="295">
        <f>IF(I111=1,J111,J109)</f>
        <v>765412.40999999992</v>
      </c>
      <c r="J114" s="296">
        <f>ROUND(IF(E28=0,0,IF(E28&gt;250,-(((250/E28)*I114)*IF(H114="H",0.02,0.05)),IF(H114="H",-0.02*I114,-0.05*I114))),2)</f>
        <v>-15308.25</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788222.21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Payments'!R110</f>
        <v>-451482.39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336739.81999999995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67347.960000000006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9516-EA59-4DC6-8F8F-683329FA5200}">
  <dimension ref="A1:Z207"/>
  <sheetViews>
    <sheetView topLeftCell="A102"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468</v>
      </c>
      <c r="B2" s="102"/>
      <c r="C2" s="102"/>
      <c r="D2" s="102"/>
      <c r="E2" s="100"/>
      <c r="F2" s="100"/>
      <c r="G2" s="100"/>
      <c r="H2" s="100"/>
      <c r="I2" s="100"/>
      <c r="J2" s="100"/>
      <c r="K2" s="6"/>
      <c r="L2" s="6"/>
      <c r="M2" s="6"/>
      <c r="N2" s="6"/>
      <c r="O2" s="6"/>
      <c r="P2" s="6"/>
      <c r="Q2" s="6"/>
      <c r="R2" s="875" t="str">
        <f>Revenue_Estimate_Worksheet_for___________Charter_School</f>
        <v>Revenue Estimate Worksheet: Renaissance Charter School at Cypress - 4050</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Second'!$C$1:$C$65536,MATCH('4050'!$A$1,'[1]Detail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Second'!$D$1:$D$65536,MATCH('4050'!$A$1,'[1]Detail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115</v>
      </c>
      <c r="D12" s="411">
        <v>0</v>
      </c>
      <c r="E12" s="980">
        <f t="shared" ref="E12:E27" si="0">IF($D$28=0,C12*2,C12+D12)</f>
        <v>230</v>
      </c>
      <c r="F12" s="980"/>
      <c r="G12" s="981">
        <v>1.1080000000000001</v>
      </c>
      <c r="H12" s="981"/>
      <c r="I12" s="578">
        <f>ROUND(E12*G12,4)</f>
        <v>254.84</v>
      </c>
      <c r="J12" s="579">
        <f t="shared" ref="J12:J27" si="1">ROUND(ROUND(ROUND(I12*$E$6,4)*($I$6),2)*(MAX($I$7,1)),2)</f>
        <v>1417758.33</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11.5</v>
      </c>
      <c r="D13" s="415">
        <v>0</v>
      </c>
      <c r="E13" s="967">
        <f t="shared" si="0"/>
        <v>23</v>
      </c>
      <c r="F13" s="967"/>
      <c r="G13" s="968">
        <v>1.1080000000000001</v>
      </c>
      <c r="H13" s="968"/>
      <c r="I13" s="578">
        <f t="shared" ref="I13:I27" si="2">ROUND(E13*G13,4)</f>
        <v>25.484000000000002</v>
      </c>
      <c r="J13" s="579">
        <f t="shared" si="1"/>
        <v>141775.82999999999</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133.49</v>
      </c>
      <c r="D14" s="415">
        <v>0</v>
      </c>
      <c r="E14" s="967">
        <f t="shared" si="0"/>
        <v>266.98</v>
      </c>
      <c r="F14" s="967"/>
      <c r="G14" s="968">
        <v>1</v>
      </c>
      <c r="H14" s="968"/>
      <c r="I14" s="578">
        <f t="shared" si="2"/>
        <v>266.98</v>
      </c>
      <c r="J14" s="579">
        <f>ROUND(ROUND(ROUND(I14*$E$6,4)*($I$6),2)*(MAX($I$7,1)),2)</f>
        <v>1485297.12</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21.5</v>
      </c>
      <c r="D15" s="415">
        <v>0</v>
      </c>
      <c r="E15" s="967">
        <f t="shared" si="0"/>
        <v>43</v>
      </c>
      <c r="F15" s="967"/>
      <c r="G15" s="968">
        <v>1</v>
      </c>
      <c r="H15" s="968"/>
      <c r="I15" s="578">
        <f t="shared" si="2"/>
        <v>43</v>
      </c>
      <c r="J15" s="579">
        <f t="shared" si="1"/>
        <v>239223.07</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15.5</v>
      </c>
      <c r="D24" s="415">
        <v>0</v>
      </c>
      <c r="E24" s="967">
        <f t="shared" si="0"/>
        <v>31</v>
      </c>
      <c r="F24" s="967"/>
      <c r="G24" s="968">
        <v>1.165</v>
      </c>
      <c r="H24" s="968"/>
      <c r="I24" s="578">
        <f t="shared" si="2"/>
        <v>36.115000000000002</v>
      </c>
      <c r="J24" s="579">
        <f t="shared" si="1"/>
        <v>200919.57</v>
      </c>
      <c r="M24" s="2"/>
      <c r="R24" s="860" t="s">
        <v>32</v>
      </c>
      <c r="S24" s="860"/>
      <c r="T24" s="891">
        <f t="shared" si="3"/>
        <v>0</v>
      </c>
      <c r="U24" s="891"/>
      <c r="V24" s="896">
        <v>1</v>
      </c>
      <c r="W24" s="896"/>
      <c r="X24" s="156">
        <f t="shared" si="4"/>
        <v>0</v>
      </c>
      <c r="Y24" s="266">
        <f t="shared" si="6"/>
        <v>0</v>
      </c>
    </row>
    <row r="25" spans="1:25" x14ac:dyDescent="0.25">
      <c r="A25" s="861" t="s">
        <v>33</v>
      </c>
      <c r="B25" s="861"/>
      <c r="C25" s="415">
        <v>21.91</v>
      </c>
      <c r="D25" s="415">
        <v>0</v>
      </c>
      <c r="E25" s="967">
        <f t="shared" si="0"/>
        <v>43.82</v>
      </c>
      <c r="F25" s="967"/>
      <c r="G25" s="968">
        <v>1.165</v>
      </c>
      <c r="H25" s="968"/>
      <c r="I25" s="578">
        <f t="shared" si="2"/>
        <v>51.0503</v>
      </c>
      <c r="J25" s="579">
        <f t="shared" si="1"/>
        <v>284009.53000000003</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318.90000000000003</v>
      </c>
      <c r="D28" s="126">
        <f>SUM(D12:D27)</f>
        <v>0</v>
      </c>
      <c r="E28" s="966">
        <f>SUM(E12:E27)</f>
        <v>637.80000000000007</v>
      </c>
      <c r="F28" s="966"/>
      <c r="G28" s="961"/>
      <c r="H28" s="961"/>
      <c r="I28" s="23">
        <f>SUM(I12:I27)</f>
        <v>677.46930000000009</v>
      </c>
      <c r="J28" s="127">
        <f>SUM(J12:J27)</f>
        <v>3768983.45</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677.46930000000009</v>
      </c>
      <c r="H33" s="961" t="s">
        <v>45</v>
      </c>
      <c r="I33" s="961"/>
      <c r="J33" s="32">
        <f>SUM(J32,J28)</f>
        <v>3768983.45</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4297632.51</v>
      </c>
      <c r="H36" s="223" t="s">
        <v>49</v>
      </c>
      <c r="I36" s="38">
        <v>6.6699999999999995E-2</v>
      </c>
      <c r="J36" s="131">
        <f>ROUND(G36*I36,2)</f>
        <v>286652.09000000003</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4297632.51</v>
      </c>
      <c r="H37" s="223" t="s">
        <v>49</v>
      </c>
      <c r="I37" s="38">
        <v>5.4000000000000003E-3</v>
      </c>
      <c r="J37" s="131">
        <f>ROUND(G37*I37,2)</f>
        <v>23207.22</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309859.31000000006</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8</v>
      </c>
      <c r="D41" s="415">
        <v>0</v>
      </c>
      <c r="E41" s="954">
        <f t="shared" ref="E41:E49" si="7">IF($D$50=0,C41*2,C41+D41)</f>
        <v>16</v>
      </c>
      <c r="F41" s="954"/>
      <c r="G41" s="223" t="s">
        <v>59</v>
      </c>
      <c r="H41" s="223">
        <v>251</v>
      </c>
      <c r="I41" s="136">
        <f>INDEX('[1]111-112-113 ADDITIONAL FUND'!D$1:D$65536,MATCH($A$1,'[1]111-112-113 ADDITIONAL FUND'!A$1:A$65536))</f>
        <v>1047</v>
      </c>
      <c r="J41" s="46">
        <f t="shared" ref="J41:J49" si="8">ROUND(E41*I41,2)</f>
        <v>16752</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3</v>
      </c>
      <c r="D42" s="415">
        <v>0</v>
      </c>
      <c r="E42" s="954">
        <f t="shared" si="7"/>
        <v>6</v>
      </c>
      <c r="F42" s="954"/>
      <c r="G42" s="223" t="s">
        <v>59</v>
      </c>
      <c r="H42" s="223">
        <v>252</v>
      </c>
      <c r="I42" s="136">
        <f>INDEX('[1]111-112-113 ADDITIONAL FUND'!E$1:E$65536,MATCH($A$1,'[1]111-112-113 ADDITIONAL FUND'!A$1:A$65536))</f>
        <v>3380</v>
      </c>
      <c r="J42" s="46">
        <f t="shared" si="8"/>
        <v>20280</v>
      </c>
      <c r="M42" s="2"/>
      <c r="R42" s="903"/>
      <c r="S42" s="903"/>
      <c r="T42" s="904"/>
      <c r="U42" s="904"/>
      <c r="V42" s="239" t="s">
        <v>59</v>
      </c>
      <c r="W42" s="239">
        <v>252</v>
      </c>
      <c r="X42" s="134">
        <f t="shared" si="9"/>
        <v>3380</v>
      </c>
      <c r="Y42" s="269">
        <f t="shared" ref="Y42:Y49" si="10">ROUND(T42*X42,2)</f>
        <v>0</v>
      </c>
    </row>
    <row r="43" spans="1:25" x14ac:dyDescent="0.25">
      <c r="A43" s="960"/>
      <c r="B43" s="960"/>
      <c r="C43" s="415">
        <v>0.5</v>
      </c>
      <c r="D43" s="415">
        <v>0</v>
      </c>
      <c r="E43" s="954">
        <f t="shared" si="7"/>
        <v>1</v>
      </c>
      <c r="F43" s="954"/>
      <c r="G43" s="223" t="s">
        <v>59</v>
      </c>
      <c r="H43" s="223">
        <v>253</v>
      </c>
      <c r="I43" s="136">
        <f>INDEX('[1]111-112-113 ADDITIONAL FUND'!F$1:F$65536,MATCH($A$1,'[1]111-112-113 ADDITIONAL FUND'!A$1:A$65536))</f>
        <v>6896</v>
      </c>
      <c r="J43" s="46">
        <f t="shared" si="8"/>
        <v>6896</v>
      </c>
      <c r="M43" s="2"/>
      <c r="R43" s="903"/>
      <c r="S43" s="903"/>
      <c r="T43" s="905"/>
      <c r="U43" s="905"/>
      <c r="V43" s="239" t="s">
        <v>59</v>
      </c>
      <c r="W43" s="239">
        <v>253</v>
      </c>
      <c r="X43" s="134">
        <f t="shared" si="9"/>
        <v>6896</v>
      </c>
      <c r="Y43" s="269">
        <f t="shared" si="10"/>
        <v>0</v>
      </c>
    </row>
    <row r="44" spans="1:25" x14ac:dyDescent="0.25">
      <c r="A44" s="960"/>
      <c r="B44" s="960"/>
      <c r="C44" s="415">
        <v>18.5</v>
      </c>
      <c r="D44" s="415">
        <v>0</v>
      </c>
      <c r="E44" s="954">
        <f t="shared" si="7"/>
        <v>37</v>
      </c>
      <c r="F44" s="954"/>
      <c r="G44" s="47" t="s">
        <v>60</v>
      </c>
      <c r="H44" s="223">
        <v>251</v>
      </c>
      <c r="I44" s="136">
        <f>INDEX('[1]111-112-113 ADDITIONAL FUND'!G$1:G$65536,MATCH($A$1,'[1]111-112-113 ADDITIONAL FUND'!A$1:A$65536))</f>
        <v>1173</v>
      </c>
      <c r="J44" s="137">
        <f t="shared" si="8"/>
        <v>43401</v>
      </c>
      <c r="L44" s="3"/>
      <c r="M44" s="2"/>
      <c r="Q44" s="4"/>
      <c r="R44" s="903"/>
      <c r="S44" s="903"/>
      <c r="T44" s="905"/>
      <c r="U44" s="905"/>
      <c r="V44" s="182" t="s">
        <v>60</v>
      </c>
      <c r="W44" s="239">
        <v>251</v>
      </c>
      <c r="X44" s="134">
        <f t="shared" si="9"/>
        <v>1173</v>
      </c>
      <c r="Y44" s="269">
        <f t="shared" si="10"/>
        <v>0</v>
      </c>
    </row>
    <row r="45" spans="1:25" x14ac:dyDescent="0.25">
      <c r="A45" s="960"/>
      <c r="B45" s="960"/>
      <c r="C45" s="415">
        <v>3</v>
      </c>
      <c r="D45" s="415">
        <v>0</v>
      </c>
      <c r="E45" s="954">
        <f t="shared" si="7"/>
        <v>6</v>
      </c>
      <c r="F45" s="954"/>
      <c r="G45" s="47" t="s">
        <v>60</v>
      </c>
      <c r="H45" s="223">
        <v>252</v>
      </c>
      <c r="I45" s="136">
        <f>INDEX('[1]111-112-113 ADDITIONAL FUND'!H$1:H$65536,MATCH($A$1,'[1]111-112-113 ADDITIONAL FUND'!A$1:A$65536))</f>
        <v>3506</v>
      </c>
      <c r="J45" s="46">
        <f t="shared" si="8"/>
        <v>21036</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33</v>
      </c>
      <c r="D50" s="585">
        <f>SUM(D41:D49)</f>
        <v>0</v>
      </c>
      <c r="E50" s="956">
        <f>SUM(E41:E49)</f>
        <v>66</v>
      </c>
      <c r="F50" s="956"/>
      <c r="G50" s="912" t="s">
        <v>63</v>
      </c>
      <c r="H50" s="912"/>
      <c r="I50" s="912"/>
      <c r="J50" s="276">
        <f>SUM(J41:J49)</f>
        <v>108365</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637.80000000000007</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3.0699999999999998E-3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1002">
        <f>X28</f>
        <v>0</v>
      </c>
      <c r="S55" s="917"/>
      <c r="T55" s="183">
        <f>E56</f>
        <v>677.46930000000009</v>
      </c>
      <c r="U55" s="184" t="s">
        <v>66</v>
      </c>
      <c r="V55" s="185"/>
      <c r="W55" s="186" t="s">
        <v>71</v>
      </c>
      <c r="X55" s="919">
        <f>I56</f>
        <v>221179.83999999997</v>
      </c>
      <c r="Y55" s="919"/>
    </row>
    <row r="56" spans="1:25" ht="16.5" customHeight="1" x14ac:dyDescent="0.25">
      <c r="A56" s="899" t="s">
        <v>70</v>
      </c>
      <c r="B56" s="899"/>
      <c r="C56" s="237"/>
      <c r="D56" s="237"/>
      <c r="E56" s="48">
        <f>G33</f>
        <v>677.46930000000009</v>
      </c>
      <c r="F56" s="49" t="s">
        <v>66</v>
      </c>
      <c r="G56" s="3"/>
      <c r="H56" s="50" t="s">
        <v>71</v>
      </c>
      <c r="I56" s="994">
        <f>'0040'!I56</f>
        <v>221179.83999999997</v>
      </c>
      <c r="J56" s="994"/>
      <c r="M56" s="2"/>
      <c r="R56" s="255"/>
      <c r="S56" s="170"/>
      <c r="T56" s="170"/>
      <c r="U56" s="170"/>
      <c r="V56" s="170"/>
      <c r="W56" s="189" t="s">
        <v>68</v>
      </c>
      <c r="X56" s="920">
        <f>ROUND(T55/X55,6)</f>
        <v>3.0630000000000002E-3</v>
      </c>
      <c r="Y56" s="920"/>
    </row>
    <row r="57" spans="1:25" ht="18.75" customHeight="1" x14ac:dyDescent="0.25">
      <c r="A57" s="237"/>
      <c r="H57" s="53" t="s">
        <v>68</v>
      </c>
      <c r="I57" s="945">
        <f>IFERROR(ROUND(E56/I56,6),0)</f>
        <v>3.0630000000000002E-3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637.80000000000007</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3.5639999999999999E-3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637.80000000000007</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3.0739999999999999E-3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637.80000000000007</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3.571E-3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3.0739999999999999E-3</v>
      </c>
      <c r="J68" s="138">
        <f>ROUND(G68*I68,2)</f>
        <v>140265.37</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3.0699999999999998E-3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3.571E-3</v>
      </c>
      <c r="J71" s="138">
        <f>ROUND(G71*I71,2)</f>
        <v>67613.52</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3.5639999999999999E-3</v>
      </c>
      <c r="J72" s="138">
        <f>ROUND(G72*I72,2)</f>
        <v>40273.24</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3.0630000000000002E-3</v>
      </c>
      <c r="J85" s="138">
        <f>ROUND(G85*I85,2)</f>
        <v>823384.26</v>
      </c>
      <c r="K85" s="70"/>
      <c r="L85" s="70"/>
      <c r="M85" s="71"/>
      <c r="N85" s="70"/>
      <c r="O85" s="70"/>
      <c r="P85" s="70"/>
      <c r="Q85" s="70"/>
      <c r="R85" s="862" t="s">
        <v>168</v>
      </c>
      <c r="S85" s="862"/>
      <c r="T85" s="862"/>
      <c r="U85" s="253"/>
      <c r="V85" s="171">
        <f>G85</f>
        <v>268816278</v>
      </c>
      <c r="W85" s="239" t="s">
        <v>81</v>
      </c>
      <c r="X85" s="176">
        <f>X56</f>
        <v>3.0630000000000002E-3</v>
      </c>
      <c r="Y85" s="266">
        <f t="shared" ref="Y85:Y87" si="12">ROUND(V85*X85,2)</f>
        <v>823384.26</v>
      </c>
    </row>
    <row r="86" spans="1:26" ht="14.25" customHeight="1" x14ac:dyDescent="0.25">
      <c r="A86" s="898" t="s">
        <v>104</v>
      </c>
      <c r="B86" s="898"/>
      <c r="C86" s="898"/>
      <c r="D86" s="898"/>
      <c r="E86" s="898"/>
      <c r="F86" s="248" t="s">
        <v>103</v>
      </c>
      <c r="G86" s="139">
        <v>0</v>
      </c>
      <c r="H86" s="223" t="s">
        <v>81</v>
      </c>
      <c r="I86" s="41">
        <f>I57</f>
        <v>3.0630000000000002E-3</v>
      </c>
      <c r="J86" s="138">
        <f>ROUND(G86*I86,2)</f>
        <v>0</v>
      </c>
      <c r="K86" s="70"/>
      <c r="L86" s="71"/>
      <c r="M86" s="76"/>
      <c r="N86" s="76"/>
      <c r="O86" s="76"/>
      <c r="P86" s="76"/>
      <c r="Q86" s="70"/>
      <c r="R86" s="862" t="s">
        <v>169</v>
      </c>
      <c r="S86" s="862"/>
      <c r="T86" s="862"/>
      <c r="U86" s="253"/>
      <c r="V86" s="203">
        <f>G86</f>
        <v>0</v>
      </c>
      <c r="W86" s="239" t="s">
        <v>81</v>
      </c>
      <c r="X86" s="176">
        <f>X56</f>
        <v>3.0630000000000002E-3</v>
      </c>
      <c r="Y86" s="266">
        <f t="shared" si="12"/>
        <v>0</v>
      </c>
    </row>
    <row r="87" spans="1:26" ht="18" customHeight="1" x14ac:dyDescent="0.25">
      <c r="A87" s="898" t="s">
        <v>105</v>
      </c>
      <c r="B87" s="898"/>
      <c r="C87" s="898"/>
      <c r="D87" s="898"/>
      <c r="E87" s="898"/>
      <c r="F87" s="248" t="s">
        <v>84</v>
      </c>
      <c r="G87" s="139">
        <v>0</v>
      </c>
      <c r="H87" s="223" t="s">
        <v>81</v>
      </c>
      <c r="I87" s="41">
        <f>I54</f>
        <v>3.0699999999999998E-3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316.43900000000002</v>
      </c>
      <c r="C90" s="245"/>
      <c r="D90" s="869">
        <f>I6</f>
        <v>1.0355000000000001</v>
      </c>
      <c r="E90" s="869"/>
      <c r="F90" s="869"/>
      <c r="G90" s="122">
        <f>'[1]Detail 2025-26 FEFP Second'!AB3</f>
        <v>958.42</v>
      </c>
      <c r="H90" s="47" t="s">
        <v>68</v>
      </c>
      <c r="I90" s="727">
        <f>ROUND(B90*D90*G90,2)</f>
        <v>314047.96000000002</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361.03030000000001</v>
      </c>
      <c r="C91" s="245"/>
      <c r="D91" s="869">
        <f>I6</f>
        <v>1.0355000000000001</v>
      </c>
      <c r="E91" s="869"/>
      <c r="F91" s="869"/>
      <c r="G91" s="122">
        <f>'[1]Detail 2025-26 FEFP Second'!AC3</f>
        <v>915.09</v>
      </c>
      <c r="H91" s="47" t="s">
        <v>68</v>
      </c>
      <c r="I91" s="727">
        <f>ROUND(B91*D91*G91,2)</f>
        <v>342103.54</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727">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677.46929999999998</v>
      </c>
      <c r="C93" s="109"/>
      <c r="D93" s="109"/>
      <c r="E93" s="939" t="s">
        <v>112</v>
      </c>
      <c r="F93" s="939"/>
      <c r="G93" s="939"/>
      <c r="H93" s="939"/>
      <c r="I93" s="939"/>
      <c r="J93" s="127">
        <f>IF(A1=75,0,I92+I91+I90)</f>
        <v>656151.5</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5605036.3399999999</v>
      </c>
      <c r="L107" s="576"/>
      <c r="R107" s="862" t="s">
        <v>125</v>
      </c>
      <c r="S107" s="862"/>
      <c r="T107" s="862"/>
      <c r="U107" s="862"/>
      <c r="V107" s="862"/>
      <c r="W107" s="862"/>
      <c r="X107" s="862"/>
      <c r="Y107" s="219">
        <f>SUM(Y106,Y105,Y97,Y96,Y93,Y86,Y85,Y84,Y70,Y69,Y67,Y33,Y71,Y50,Y87,Y83)</f>
        <v>823384.26</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5295177.0299999993</v>
      </c>
      <c r="R109" s="170" t="s">
        <v>176</v>
      </c>
      <c r="S109" s="170"/>
      <c r="T109" s="170"/>
      <c r="U109" s="170"/>
      <c r="V109" s="170"/>
      <c r="W109" s="170"/>
      <c r="X109" s="170"/>
      <c r="Y109" s="220">
        <f>Y107-Y38</f>
        <v>823384.26</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823384.26</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5295177.0299999993</v>
      </c>
      <c r="J114" s="296">
        <f>ROUND(IF(E28=0,0,IF(E28&gt;250,-(((250/E28)*I114)*IF(H114="H",0.02,0.05)),IF(H114="H",-0.02*I114,-0.05*I114))),2)</f>
        <v>-103778.16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5501258.1799999997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Payments'!R111</f>
        <v>-3596490.34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1904767.8399999999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380953.57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160980.69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347B-A64A-467C-97FF-39CA5C6AC343}">
  <dimension ref="A1:Z207"/>
  <sheetViews>
    <sheetView topLeftCell="A99"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553</v>
      </c>
      <c r="B2" s="102"/>
      <c r="C2" s="102"/>
      <c r="D2" s="102"/>
      <c r="E2" s="100"/>
      <c r="F2" s="100"/>
      <c r="G2" s="100"/>
      <c r="H2" s="100"/>
      <c r="I2" s="100"/>
      <c r="J2" s="100"/>
      <c r="K2" s="6"/>
      <c r="L2" s="6"/>
      <c r="M2" s="6"/>
      <c r="N2" s="6"/>
      <c r="O2" s="6"/>
      <c r="P2" s="6"/>
      <c r="Q2" s="6"/>
      <c r="R2" s="875" t="str">
        <f>Revenue_Estimate_Worksheet_for___________Charter_School</f>
        <v>Revenue Estimate Worksheet: Renaissance Charter School at Central Palm- 4051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Second'!$C$1:$C$65536,MATCH('4051'!$A$1,'[1]Detail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Second'!$D$1:$D$65536,MATCH('4051'!$A$1,'[1]Detail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110.48</v>
      </c>
      <c r="D12" s="411">
        <v>0</v>
      </c>
      <c r="E12" s="980">
        <f t="shared" ref="E12:E27" si="0">IF($D$28=0,C12*2,C12+D12)</f>
        <v>220.96</v>
      </c>
      <c r="F12" s="980"/>
      <c r="G12" s="981">
        <v>1.1080000000000001</v>
      </c>
      <c r="H12" s="981"/>
      <c r="I12" s="578">
        <f>ROUND(E12*G12,4)</f>
        <v>244.8237</v>
      </c>
      <c r="J12" s="579">
        <f t="shared" ref="J12:J27" si="1">ROUND(ROUND(ROUND(I12*$E$6,4)*($I$6),2)*(MAX($I$7,1)),2)</f>
        <v>1362034.37</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13.5</v>
      </c>
      <c r="D13" s="415">
        <v>0</v>
      </c>
      <c r="E13" s="967">
        <f t="shared" si="0"/>
        <v>27</v>
      </c>
      <c r="F13" s="967"/>
      <c r="G13" s="968">
        <v>1.1080000000000001</v>
      </c>
      <c r="H13" s="968"/>
      <c r="I13" s="578">
        <f t="shared" ref="I13:I27" si="2">ROUND(E13*G13,4)</f>
        <v>29.916</v>
      </c>
      <c r="J13" s="579">
        <f t="shared" si="1"/>
        <v>166432.5</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122.06</v>
      </c>
      <c r="D14" s="415">
        <v>0</v>
      </c>
      <c r="E14" s="967">
        <f t="shared" si="0"/>
        <v>244.12</v>
      </c>
      <c r="F14" s="967"/>
      <c r="G14" s="968">
        <v>1</v>
      </c>
      <c r="H14" s="968"/>
      <c r="I14" s="578">
        <f t="shared" si="2"/>
        <v>244.12</v>
      </c>
      <c r="J14" s="579">
        <f>ROUND(ROUND(ROUND(I14*$E$6,4)*($I$6),2)*(MAX($I$7,1)),2)</f>
        <v>1358119.46</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19.5</v>
      </c>
      <c r="D15" s="415">
        <v>0</v>
      </c>
      <c r="E15" s="967">
        <f t="shared" si="0"/>
        <v>39</v>
      </c>
      <c r="F15" s="967"/>
      <c r="G15" s="968">
        <v>1</v>
      </c>
      <c r="H15" s="968"/>
      <c r="I15" s="578">
        <f t="shared" si="2"/>
        <v>39</v>
      </c>
      <c r="J15" s="579">
        <f t="shared" si="1"/>
        <v>216969.76</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28.02</v>
      </c>
      <c r="D24" s="415">
        <v>0</v>
      </c>
      <c r="E24" s="967">
        <f t="shared" si="0"/>
        <v>56.04</v>
      </c>
      <c r="F24" s="967"/>
      <c r="G24" s="968">
        <v>1.165</v>
      </c>
      <c r="H24" s="968"/>
      <c r="I24" s="578">
        <f t="shared" si="2"/>
        <v>65.286600000000007</v>
      </c>
      <c r="J24" s="579">
        <f t="shared" si="1"/>
        <v>363210.72</v>
      </c>
      <c r="M24" s="2"/>
      <c r="R24" s="860" t="s">
        <v>32</v>
      </c>
      <c r="S24" s="860"/>
      <c r="T24" s="891">
        <f t="shared" si="3"/>
        <v>0</v>
      </c>
      <c r="U24" s="891"/>
      <c r="V24" s="896">
        <v>1</v>
      </c>
      <c r="W24" s="896"/>
      <c r="X24" s="156">
        <f t="shared" si="4"/>
        <v>0</v>
      </c>
      <c r="Y24" s="266">
        <f t="shared" si="6"/>
        <v>0</v>
      </c>
    </row>
    <row r="25" spans="1:25" x14ac:dyDescent="0.25">
      <c r="A25" s="861" t="s">
        <v>33</v>
      </c>
      <c r="B25" s="861"/>
      <c r="C25" s="415">
        <v>20.94</v>
      </c>
      <c r="D25" s="415">
        <v>0</v>
      </c>
      <c r="E25" s="967">
        <f t="shared" si="0"/>
        <v>41.88</v>
      </c>
      <c r="F25" s="967"/>
      <c r="G25" s="968">
        <v>1.165</v>
      </c>
      <c r="H25" s="968"/>
      <c r="I25" s="578">
        <f t="shared" si="2"/>
        <v>48.790199999999999</v>
      </c>
      <c r="J25" s="579">
        <f t="shared" si="1"/>
        <v>271435.84999999998</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26">
        <f>SUM(C12:C27)</f>
        <v>314.5</v>
      </c>
      <c r="D28" s="126">
        <f>SUM(D12:D27)</f>
        <v>0</v>
      </c>
      <c r="E28" s="966">
        <f>SUM(E12:E27)</f>
        <v>629</v>
      </c>
      <c r="F28" s="966"/>
      <c r="G28" s="961"/>
      <c r="H28" s="961"/>
      <c r="I28" s="23">
        <f>SUM(I12:I27)</f>
        <v>671.93650000000002</v>
      </c>
      <c r="J28" s="127">
        <f>SUM(J12:J27)</f>
        <v>3738202.6599999997</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671.93650000000002</v>
      </c>
      <c r="H33" s="961" t="s">
        <v>45</v>
      </c>
      <c r="I33" s="961"/>
      <c r="J33" s="32">
        <f>SUM(J32,J28)</f>
        <v>3738202.6599999997</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4529900.3100000005</v>
      </c>
      <c r="H36" s="223" t="s">
        <v>49</v>
      </c>
      <c r="I36" s="38">
        <v>6.6699999999999995E-2</v>
      </c>
      <c r="J36" s="131">
        <f>ROUND(G36*I36,2)</f>
        <v>302144.34999999998</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4529900.3100000005</v>
      </c>
      <c r="H37" s="223" t="s">
        <v>49</v>
      </c>
      <c r="I37" s="38">
        <v>5.4000000000000003E-3</v>
      </c>
      <c r="J37" s="131">
        <f>ROUND(G37*I37,2)</f>
        <v>24461.46</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326605.81</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12</v>
      </c>
      <c r="D41" s="415">
        <v>0</v>
      </c>
      <c r="E41" s="954">
        <f t="shared" ref="E41:E49" si="7">IF($D$50=0,C41*2,C41+D41)</f>
        <v>24</v>
      </c>
      <c r="F41" s="954"/>
      <c r="G41" s="223" t="s">
        <v>59</v>
      </c>
      <c r="H41" s="223">
        <v>251</v>
      </c>
      <c r="I41" s="136">
        <f>INDEX('[1]111-112-113 ADDITIONAL FUND'!D$1:D$65536,MATCH($A$1,'[1]111-112-113 ADDITIONAL FUND'!A$1:A$65536))</f>
        <v>1047</v>
      </c>
      <c r="J41" s="727">
        <f t="shared" ref="J41:J49" si="8">ROUND(E41*I41,2)</f>
        <v>25128</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1.5</v>
      </c>
      <c r="D42" s="415">
        <v>0</v>
      </c>
      <c r="E42" s="954">
        <f t="shared" si="7"/>
        <v>3</v>
      </c>
      <c r="F42" s="954"/>
      <c r="G42" s="223" t="s">
        <v>59</v>
      </c>
      <c r="H42" s="223">
        <v>252</v>
      </c>
      <c r="I42" s="136">
        <f>INDEX('[1]111-112-113 ADDITIONAL FUND'!E$1:E$65536,MATCH($A$1,'[1]111-112-113 ADDITIONAL FUND'!A$1:A$65536))</f>
        <v>3380</v>
      </c>
      <c r="J42" s="727">
        <f t="shared" si="8"/>
        <v>10140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16.34</v>
      </c>
      <c r="D44" s="415">
        <v>0</v>
      </c>
      <c r="E44" s="954">
        <f t="shared" si="7"/>
        <v>32.68</v>
      </c>
      <c r="F44" s="954"/>
      <c r="G44" s="47" t="s">
        <v>60</v>
      </c>
      <c r="H44" s="223">
        <v>251</v>
      </c>
      <c r="I44" s="136">
        <f>INDEX('[1]111-112-113 ADDITIONAL FUND'!G$1:G$65536,MATCH($A$1,'[1]111-112-113 ADDITIONAL FUND'!A$1:A$65536))</f>
        <v>1173</v>
      </c>
      <c r="J44" s="727">
        <f t="shared" si="8"/>
        <v>38333.64</v>
      </c>
      <c r="L44" s="3"/>
      <c r="M44" s="2"/>
      <c r="Q44" s="4"/>
      <c r="R44" s="903"/>
      <c r="S44" s="903"/>
      <c r="T44" s="905"/>
      <c r="U44" s="905"/>
      <c r="V44" s="182" t="s">
        <v>60</v>
      </c>
      <c r="W44" s="239">
        <v>251</v>
      </c>
      <c r="X44" s="134">
        <f t="shared" si="9"/>
        <v>1173</v>
      </c>
      <c r="Y44" s="269">
        <f t="shared" si="10"/>
        <v>0</v>
      </c>
    </row>
    <row r="45" spans="1:25" x14ac:dyDescent="0.25">
      <c r="A45" s="960"/>
      <c r="B45" s="960"/>
      <c r="C45" s="415">
        <v>3.16</v>
      </c>
      <c r="D45" s="415">
        <v>0</v>
      </c>
      <c r="E45" s="954">
        <f t="shared" si="7"/>
        <v>6.32</v>
      </c>
      <c r="F45" s="954"/>
      <c r="G45" s="47" t="s">
        <v>60</v>
      </c>
      <c r="H45" s="223">
        <v>252</v>
      </c>
      <c r="I45" s="136">
        <f>INDEX('[1]111-112-113 ADDITIONAL FUND'!H$1:H$65536,MATCH($A$1,'[1]111-112-113 ADDITIONAL FUND'!A$1:A$65536))</f>
        <v>3506</v>
      </c>
      <c r="J45" s="727">
        <f t="shared" si="8"/>
        <v>22157.919999999998</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33</v>
      </c>
      <c r="D50" s="585">
        <f>SUM(D41:D49)</f>
        <v>0</v>
      </c>
      <c r="E50" s="956">
        <f>SUM(E41:E49)</f>
        <v>66</v>
      </c>
      <c r="F50" s="956"/>
      <c r="G50" s="912" t="s">
        <v>63</v>
      </c>
      <c r="H50" s="912"/>
      <c r="I50" s="912"/>
      <c r="J50" s="276">
        <f>SUM(J41:J49)</f>
        <v>95759.56</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629</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3.0270000000000002E-3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671.93650000000002</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3.0379999999999999E-3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629</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3.5149999999999999E-3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629</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3.032E-3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629</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3.522E-3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3.032E-3</v>
      </c>
      <c r="J68" s="138">
        <f>ROUND(G68*I68,2)</f>
        <v>138348.93</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3.0270000000000002E-3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3.522E-3</v>
      </c>
      <c r="J71" s="138">
        <f>ROUND(G71*I71,2)</f>
        <v>66685.75</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3.5149999999999999E-3</v>
      </c>
      <c r="J72" s="138">
        <f>ROUND(G72*I72,2)</f>
        <v>39719.54</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3.0379999999999999E-3</v>
      </c>
      <c r="J85" s="138">
        <f>ROUND(G85*I85,2)</f>
        <v>816663.85</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3.0379999999999999E-3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3.0270000000000002E-3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340.02630000000005</v>
      </c>
      <c r="C90" s="245"/>
      <c r="D90" s="869">
        <f>I6</f>
        <v>1.0355000000000001</v>
      </c>
      <c r="E90" s="869"/>
      <c r="F90" s="869"/>
      <c r="G90" s="122">
        <f>'[1]Detail 2025-26 FEFP Second'!AB3</f>
        <v>958.42</v>
      </c>
      <c r="H90" s="47" t="s">
        <v>68</v>
      </c>
      <c r="I90" s="141">
        <f>ROUND(B90*D90*G90,2)</f>
        <v>337457.03</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331.91020000000003</v>
      </c>
      <c r="C91" s="245"/>
      <c r="D91" s="869">
        <f>I6</f>
        <v>1.0355000000000001</v>
      </c>
      <c r="E91" s="869"/>
      <c r="F91" s="869"/>
      <c r="G91" s="122">
        <f>'[1]Detail 2025-26 FEFP Second'!AC3</f>
        <v>915.09</v>
      </c>
      <c r="H91" s="47" t="s">
        <v>68</v>
      </c>
      <c r="I91" s="140">
        <f>ROUND(B91*D91*G91,2)</f>
        <v>314510.03999999998</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671.93650000000002</v>
      </c>
      <c r="C93" s="109"/>
      <c r="D93" s="109"/>
      <c r="E93" s="939" t="s">
        <v>112</v>
      </c>
      <c r="F93" s="939"/>
      <c r="G93" s="939"/>
      <c r="H93" s="939"/>
      <c r="I93" s="939"/>
      <c r="J93" s="127">
        <f>IF(A1=75,0,I92+I91+I90)</f>
        <v>651967.07000000007</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0</v>
      </c>
      <c r="D97" s="279">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5547347.3599999994</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5220741.55</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5220741.55</v>
      </c>
      <c r="J114" s="296">
        <f>ROUND(IF(E28=0,0,IF(E28&gt;250,-(((250/E28)*I114)*IF(H114="H",0.02,0.05)),IF(H114="H",-0.02*I114,-0.05*I114))),2)</f>
        <v>-103750.83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5443596.5299999993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Payments'!R112</f>
        <v>-3773268.5000000009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1670328.0299999984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334065.61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157286.25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566E-A4FB-4BCB-8538-59A1BF4ADCB9}">
  <dimension ref="A1:Z207"/>
  <sheetViews>
    <sheetView topLeftCell="A100"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469</v>
      </c>
      <c r="B2" s="102"/>
      <c r="C2" s="102"/>
      <c r="D2" s="102"/>
      <c r="E2" s="100"/>
      <c r="F2" s="100"/>
      <c r="G2" s="100"/>
      <c r="H2" s="100"/>
      <c r="I2" s="100"/>
      <c r="J2" s="100"/>
      <c r="K2" s="6"/>
      <c r="L2" s="6"/>
      <c r="M2" s="6"/>
      <c r="N2" s="6"/>
      <c r="O2" s="6"/>
      <c r="P2" s="6"/>
      <c r="Q2" s="6"/>
      <c r="R2" s="875" t="str">
        <f>Revenue_Estimate_Worksheet_for___________Charter_School</f>
        <v>Revenue Estimate Worksheet: Franklin Academy - Palm Beach Gardens - 4061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Second'!$C$1:$C$65536,MATCH('4061'!$A$1,'[1]Detail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164.78</v>
      </c>
      <c r="D12" s="411">
        <v>0</v>
      </c>
      <c r="E12" s="980">
        <f t="shared" ref="E12:E27" si="0">IF($D$28=0,C12*2,C12+D12)</f>
        <v>329.56</v>
      </c>
      <c r="F12" s="980"/>
      <c r="G12" s="981">
        <v>1.1080000000000001</v>
      </c>
      <c r="H12" s="981"/>
      <c r="I12" s="578">
        <f>ROUND(E12*G12,4)</f>
        <v>365.15249999999997</v>
      </c>
      <c r="J12" s="579">
        <f t="shared" ref="J12:J27" si="1">ROUND(ROUND(ROUND(I12*$E$6,4)*($I$6),2)*(MAX($I$7,1)),2)</f>
        <v>2031462.87</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14.5</v>
      </c>
      <c r="D13" s="415">
        <v>0</v>
      </c>
      <c r="E13" s="967">
        <f t="shared" si="0"/>
        <v>29</v>
      </c>
      <c r="F13" s="967"/>
      <c r="G13" s="968">
        <v>1.1080000000000001</v>
      </c>
      <c r="H13" s="968"/>
      <c r="I13" s="578">
        <f t="shared" ref="I13:I27" si="2">ROUND(E13*G13,4)</f>
        <v>32.131999999999998</v>
      </c>
      <c r="J13" s="579">
        <f t="shared" si="1"/>
        <v>178760.83</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235.27</v>
      </c>
      <c r="D14" s="415">
        <v>0</v>
      </c>
      <c r="E14" s="967">
        <f t="shared" si="0"/>
        <v>470.54</v>
      </c>
      <c r="F14" s="967"/>
      <c r="G14" s="968">
        <v>1</v>
      </c>
      <c r="H14" s="968"/>
      <c r="I14" s="578">
        <f t="shared" si="2"/>
        <v>470.54</v>
      </c>
      <c r="J14" s="579">
        <f>ROUND(ROUND(ROUND(I14*$E$6,4)*($I$6),2)*(MAX($I$7,1)),2)</f>
        <v>2617768.0299999998</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25</v>
      </c>
      <c r="D15" s="415">
        <v>0</v>
      </c>
      <c r="E15" s="967">
        <f t="shared" si="0"/>
        <v>50</v>
      </c>
      <c r="F15" s="967"/>
      <c r="G15" s="968">
        <v>1</v>
      </c>
      <c r="H15" s="968"/>
      <c r="I15" s="578">
        <f t="shared" si="2"/>
        <v>50</v>
      </c>
      <c r="J15" s="579">
        <f t="shared" si="1"/>
        <v>278166.37</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17.72</v>
      </c>
      <c r="D24" s="415">
        <v>0</v>
      </c>
      <c r="E24" s="967">
        <f t="shared" si="0"/>
        <v>35.44</v>
      </c>
      <c r="F24" s="967"/>
      <c r="G24" s="968">
        <v>1.165</v>
      </c>
      <c r="H24" s="968"/>
      <c r="I24" s="578">
        <f t="shared" si="2"/>
        <v>41.287599999999998</v>
      </c>
      <c r="J24" s="579">
        <f t="shared" si="1"/>
        <v>229696.43</v>
      </c>
      <c r="M24" s="2"/>
      <c r="R24" s="860" t="s">
        <v>32</v>
      </c>
      <c r="S24" s="860"/>
      <c r="T24" s="891">
        <f t="shared" si="3"/>
        <v>0</v>
      </c>
      <c r="U24" s="891"/>
      <c r="V24" s="896">
        <v>1</v>
      </c>
      <c r="W24" s="896"/>
      <c r="X24" s="156">
        <f t="shared" si="4"/>
        <v>0</v>
      </c>
      <c r="Y24" s="266">
        <f t="shared" si="6"/>
        <v>0</v>
      </c>
    </row>
    <row r="25" spans="1:25" x14ac:dyDescent="0.25">
      <c r="A25" s="861" t="s">
        <v>33</v>
      </c>
      <c r="B25" s="861"/>
      <c r="C25" s="415">
        <v>12.44</v>
      </c>
      <c r="D25" s="415">
        <v>0</v>
      </c>
      <c r="E25" s="967">
        <f t="shared" si="0"/>
        <v>24.88</v>
      </c>
      <c r="F25" s="967"/>
      <c r="G25" s="968">
        <v>1.165</v>
      </c>
      <c r="H25" s="968"/>
      <c r="I25" s="578">
        <f t="shared" si="2"/>
        <v>28.985199999999999</v>
      </c>
      <c r="J25" s="579">
        <f t="shared" si="1"/>
        <v>161254.15</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469.71</v>
      </c>
      <c r="D28" s="126">
        <f>SUM(D12:D27)</f>
        <v>0</v>
      </c>
      <c r="E28" s="966">
        <f>SUM(E12:E27)</f>
        <v>939.42</v>
      </c>
      <c r="F28" s="966"/>
      <c r="G28" s="961"/>
      <c r="H28" s="961"/>
      <c r="I28" s="23">
        <f>SUM(I12:I27)</f>
        <v>988.0972999999999</v>
      </c>
      <c r="J28" s="127">
        <f>SUM(J12:J27)</f>
        <v>5497108.6800000006</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988.0972999999999</v>
      </c>
      <c r="H33" s="961" t="s">
        <v>45</v>
      </c>
      <c r="I33" s="961"/>
      <c r="J33" s="32">
        <f>SUM(J32,J28)</f>
        <v>5497108.6800000006</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v>5637683.9499999993</v>
      </c>
      <c r="H36" s="223" t="s">
        <v>49</v>
      </c>
      <c r="I36" s="38">
        <v>6.6699999999999995E-2</v>
      </c>
      <c r="J36" s="131">
        <f>ROUND(G36*I36,2)</f>
        <v>376033.52</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v>5637683.9499999993</v>
      </c>
      <c r="H37" s="223" t="s">
        <v>49</v>
      </c>
      <c r="I37" s="38">
        <v>5.4000000000000003E-3</v>
      </c>
      <c r="J37" s="131">
        <f>ROUND(G37*I37,2)</f>
        <v>30443.49</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406477.01</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11.5</v>
      </c>
      <c r="D41" s="415">
        <v>0</v>
      </c>
      <c r="E41" s="954">
        <f t="shared" ref="E41:E49" si="7">IF($D$50=0,C41*2,C41+D41)</f>
        <v>23</v>
      </c>
      <c r="F41" s="954"/>
      <c r="G41" s="223" t="s">
        <v>59</v>
      </c>
      <c r="H41" s="223">
        <v>251</v>
      </c>
      <c r="I41" s="136">
        <f>INDEX('[1]111-112-113 ADDITIONAL FUND'!D$1:D$65536,MATCH($A$1,'[1]111-112-113 ADDITIONAL FUND'!A$1:A$65536))</f>
        <v>1047</v>
      </c>
      <c r="J41" s="46">
        <f t="shared" ref="J41:J49" si="8">ROUND(E41*I41,2)</f>
        <v>24081</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2.5</v>
      </c>
      <c r="D42" s="415">
        <v>0</v>
      </c>
      <c r="E42" s="954">
        <f t="shared" si="7"/>
        <v>5</v>
      </c>
      <c r="F42" s="954"/>
      <c r="G42" s="223" t="s">
        <v>59</v>
      </c>
      <c r="H42" s="223">
        <v>252</v>
      </c>
      <c r="I42" s="136">
        <f>INDEX('[1]111-112-113 ADDITIONAL FUND'!E$1:E$65536,MATCH($A$1,'[1]111-112-113 ADDITIONAL FUND'!A$1:A$65536))</f>
        <v>3380</v>
      </c>
      <c r="J42" s="46">
        <f t="shared" si="8"/>
        <v>16900</v>
      </c>
      <c r="M42" s="2"/>
      <c r="R42" s="903"/>
      <c r="S42" s="903"/>
      <c r="T42" s="904"/>
      <c r="U42" s="904"/>
      <c r="V42" s="239" t="s">
        <v>59</v>
      </c>
      <c r="W42" s="239">
        <v>252</v>
      </c>
      <c r="X42" s="134">
        <f t="shared" si="9"/>
        <v>3380</v>
      </c>
      <c r="Y42" s="269">
        <f t="shared" ref="Y42:Y49" si="10">ROUND(T42*X42,2)</f>
        <v>0</v>
      </c>
    </row>
    <row r="43" spans="1:25" x14ac:dyDescent="0.25">
      <c r="A43" s="960"/>
      <c r="B43" s="960"/>
      <c r="C43" s="415">
        <v>0.5</v>
      </c>
      <c r="D43" s="415">
        <v>0</v>
      </c>
      <c r="E43" s="954">
        <f t="shared" si="7"/>
        <v>1</v>
      </c>
      <c r="F43" s="954"/>
      <c r="G43" s="223" t="s">
        <v>59</v>
      </c>
      <c r="H43" s="223">
        <v>253</v>
      </c>
      <c r="I43" s="136">
        <f>INDEX('[1]111-112-113 ADDITIONAL FUND'!F$1:F$65536,MATCH($A$1,'[1]111-112-113 ADDITIONAL FUND'!A$1:A$65536))</f>
        <v>6896</v>
      </c>
      <c r="J43" s="46">
        <f t="shared" si="8"/>
        <v>6896</v>
      </c>
      <c r="M43" s="2"/>
      <c r="R43" s="903"/>
      <c r="S43" s="903"/>
      <c r="T43" s="905"/>
      <c r="U43" s="905"/>
      <c r="V43" s="239" t="s">
        <v>59</v>
      </c>
      <c r="W43" s="239">
        <v>253</v>
      </c>
      <c r="X43" s="134">
        <f t="shared" si="9"/>
        <v>6896</v>
      </c>
      <c r="Y43" s="269">
        <f t="shared" si="10"/>
        <v>0</v>
      </c>
    </row>
    <row r="44" spans="1:25" x14ac:dyDescent="0.25">
      <c r="A44" s="960"/>
      <c r="B44" s="960"/>
      <c r="C44" s="415">
        <v>19.440000000000001</v>
      </c>
      <c r="D44" s="415">
        <v>0</v>
      </c>
      <c r="E44" s="954">
        <f t="shared" si="7"/>
        <v>38.880000000000003</v>
      </c>
      <c r="F44" s="954"/>
      <c r="G44" s="47" t="s">
        <v>60</v>
      </c>
      <c r="H44" s="223">
        <v>251</v>
      </c>
      <c r="I44" s="136">
        <f>INDEX('[1]111-112-113 ADDITIONAL FUND'!G$1:G$65536,MATCH($A$1,'[1]111-112-113 ADDITIONAL FUND'!A$1:A$65536))</f>
        <v>1173</v>
      </c>
      <c r="J44" s="137">
        <f t="shared" si="8"/>
        <v>45606.239999999998</v>
      </c>
      <c r="L44" s="3"/>
      <c r="M44" s="2"/>
      <c r="Q44" s="4"/>
      <c r="R44" s="903"/>
      <c r="S44" s="903"/>
      <c r="T44" s="905"/>
      <c r="U44" s="905"/>
      <c r="V44" s="182" t="s">
        <v>60</v>
      </c>
      <c r="W44" s="239">
        <v>251</v>
      </c>
      <c r="X44" s="134">
        <f t="shared" si="9"/>
        <v>1173</v>
      </c>
      <c r="Y44" s="269">
        <f t="shared" si="10"/>
        <v>0</v>
      </c>
    </row>
    <row r="45" spans="1:25" x14ac:dyDescent="0.25">
      <c r="A45" s="960"/>
      <c r="B45" s="960"/>
      <c r="C45" s="415">
        <v>5.56</v>
      </c>
      <c r="D45" s="415">
        <v>0</v>
      </c>
      <c r="E45" s="954">
        <f t="shared" si="7"/>
        <v>11.12</v>
      </c>
      <c r="F45" s="954"/>
      <c r="G45" s="47" t="s">
        <v>60</v>
      </c>
      <c r="H45" s="223">
        <v>252</v>
      </c>
      <c r="I45" s="136">
        <f>INDEX('[1]111-112-113 ADDITIONAL FUND'!H$1:H$65536,MATCH($A$1,'[1]111-112-113 ADDITIONAL FUND'!A$1:A$65536))</f>
        <v>3506</v>
      </c>
      <c r="J45" s="46">
        <f t="shared" si="8"/>
        <v>38986.720000000001</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39.5</v>
      </c>
      <c r="D50" s="585">
        <f>SUM(D41:D49)</f>
        <v>0</v>
      </c>
      <c r="E50" s="956">
        <f>SUM(E41:E49)</f>
        <v>79</v>
      </c>
      <c r="F50" s="956"/>
      <c r="G50" s="912" t="s">
        <v>63</v>
      </c>
      <c r="H50" s="912"/>
      <c r="I50" s="912"/>
      <c r="J50" s="276">
        <f>SUM(J41:J49)</f>
        <v>132469.96</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939.42</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4.5209999999999998E-3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988.0972999999999</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4.4669999999999996E-3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939.42</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5.2500000000000003E-3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939.42</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4.5279999999999999E-3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939.42</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5.2599999999999999E-3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4.5279999999999999E-3</v>
      </c>
      <c r="J68" s="138">
        <f>ROUND(G68*I68,2)</f>
        <v>206610.8</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4.5209999999999998E-3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5.2599999999999999E-3</v>
      </c>
      <c r="J71" s="138">
        <f>ROUND(G71*I71,2)</f>
        <v>99593.15</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5.2500000000000003E-3</v>
      </c>
      <c r="J72" s="138">
        <f>ROUND(G72*I72,2)</f>
        <v>59325.06</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4.4669999999999996E-3</v>
      </c>
      <c r="J85" s="138">
        <f>ROUND(G85*I85,2)</f>
        <v>1200802.31</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4.4669999999999996E-3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4.5209999999999998E-3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438.57209999999998</v>
      </c>
      <c r="C90" s="245"/>
      <c r="D90" s="869">
        <f>I6</f>
        <v>1.0355000000000001</v>
      </c>
      <c r="E90" s="869"/>
      <c r="F90" s="869"/>
      <c r="G90" s="122">
        <f>'[1]Detail 2025-26 FEFP Second'!AB3</f>
        <v>958.42</v>
      </c>
      <c r="H90" s="47" t="s">
        <v>68</v>
      </c>
      <c r="I90" s="727">
        <f>ROUND(B90*D90*G90,2)</f>
        <v>435258.21</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549.52519999999993</v>
      </c>
      <c r="C91" s="245"/>
      <c r="D91" s="869">
        <f>I6</f>
        <v>1.0355000000000001</v>
      </c>
      <c r="E91" s="869"/>
      <c r="F91" s="869"/>
      <c r="G91" s="122">
        <f>'[1]Detail 2025-26 FEFP Second'!AC3</f>
        <v>915.09</v>
      </c>
      <c r="H91" s="47" t="s">
        <v>68</v>
      </c>
      <c r="I91" s="727">
        <f>ROUND(B91*D91*G91,2)</f>
        <v>520716.72</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727">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988.0972999999999</v>
      </c>
      <c r="C93" s="109"/>
      <c r="D93" s="109"/>
      <c r="E93" s="939" t="s">
        <v>112</v>
      </c>
      <c r="F93" s="939"/>
      <c r="G93" s="939"/>
      <c r="H93" s="939"/>
      <c r="I93" s="939"/>
      <c r="J93" s="127">
        <f>IF(A1=75,0,I92+I91+I90)</f>
        <v>955974.92999999993</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v>99</v>
      </c>
      <c r="D97" s="279">
        <v>0</v>
      </c>
      <c r="E97" s="988">
        <f>(C97+D97)</f>
        <v>99</v>
      </c>
      <c r="F97" s="942"/>
      <c r="G97" s="942"/>
      <c r="H97" s="224" t="s">
        <v>117</v>
      </c>
      <c r="I97" s="130">
        <f>'0040'!I97</f>
        <v>586</v>
      </c>
      <c r="J97" s="138">
        <f>ROUND(I97*E97,2)</f>
        <v>58014</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8209898.8900000006</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7803421.8800000008</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7803421.8800000008</v>
      </c>
      <c r="J114" s="296">
        <f>ROUND(IF(E28=0,0,IF(E28&gt;250,-(((250/E28)*I114)*IF(H114="H",0.02,0.05)),IF(H114="H",-0.02*I114,-0.05*I114))),2)</f>
        <v>-103832.98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8106065.9100000001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Payments'!R113</f>
        <v>-4872183.82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3233882.09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646776.42000000004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286338.11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390-C5FD-40CF-A876-5D97A1C58C40}">
  <dimension ref="A1:Z207"/>
  <sheetViews>
    <sheetView workbookViewId="0">
      <selection activeCell="I99" sqref="I9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470</v>
      </c>
      <c r="B2" s="102"/>
      <c r="C2" s="102"/>
      <c r="D2" s="102"/>
      <c r="E2" s="100"/>
      <c r="F2" s="100"/>
      <c r="G2" s="100"/>
      <c r="H2" s="100"/>
      <c r="I2" s="100"/>
      <c r="J2" s="100"/>
      <c r="K2" s="6"/>
      <c r="L2" s="6"/>
      <c r="M2" s="6"/>
      <c r="N2" s="6"/>
      <c r="O2" s="6"/>
      <c r="P2" s="6"/>
      <c r="Q2" s="6"/>
      <c r="R2" s="875" t="str">
        <f>Revenue_Estimate_Worksheet_for___________Charter_School</f>
        <v>Revenue Estimate Worksheet: University Prep Palm Beach - 4080</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t="s">
        <v>180</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Second'!$C$1:$C$65536,MATCH('4080'!$A$1,'[1]Detail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Second'!$D$1:$D$65536,MATCH('4080'!$A$1,'[1]Detail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v>
      </c>
      <c r="D15" s="415">
        <v>0</v>
      </c>
      <c r="E15" s="967">
        <f t="shared" si="0"/>
        <v>0</v>
      </c>
      <c r="F15" s="967"/>
      <c r="G15" s="968">
        <v>1</v>
      </c>
      <c r="H15" s="968"/>
      <c r="I15" s="578">
        <f t="shared" si="2"/>
        <v>0</v>
      </c>
      <c r="J15" s="579">
        <f t="shared" si="1"/>
        <v>0</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0</v>
      </c>
      <c r="D28" s="126">
        <f>SUM(D12:D27)</f>
        <v>0</v>
      </c>
      <c r="E28" s="966">
        <f>SUM(E12:E27)</f>
        <v>0</v>
      </c>
      <c r="F28" s="966"/>
      <c r="G28" s="961"/>
      <c r="H28" s="961"/>
      <c r="I28" s="23">
        <f>SUM(I12:I27)</f>
        <v>0</v>
      </c>
      <c r="J28" s="127">
        <f>SUM(J12:J27)</f>
        <v>0</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0</v>
      </c>
      <c r="H33" s="961" t="s">
        <v>45</v>
      </c>
      <c r="I33" s="961"/>
      <c r="J33" s="32">
        <f>SUM(J32,J28)</f>
        <v>0</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132"/>
      <c r="H36" s="223" t="s">
        <v>49</v>
      </c>
      <c r="I36" s="38">
        <v>6.6699999999999995E-2</v>
      </c>
      <c r="J36" s="131">
        <f>ROUND(G36*I36,2)</f>
        <v>0</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132"/>
      <c r="H37" s="223" t="s">
        <v>49</v>
      </c>
      <c r="I37" s="38">
        <v>5.4000000000000003E-3</v>
      </c>
      <c r="J37" s="131">
        <f>ROUND(G37*I37,2)</f>
        <v>0</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0</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x14ac:dyDescent="0.25">
      <c r="A44" s="960"/>
      <c r="B44" s="960"/>
      <c r="C44" s="415">
        <v>0</v>
      </c>
      <c r="D44" s="415">
        <v>0</v>
      </c>
      <c r="E44" s="954">
        <f t="shared" si="7"/>
        <v>0</v>
      </c>
      <c r="F44" s="954"/>
      <c r="G44" s="47" t="s">
        <v>60</v>
      </c>
      <c r="H44" s="223">
        <v>251</v>
      </c>
      <c r="I44" s="136">
        <f>INDEX('[1]111-112-113 ADDITIONAL FUND'!G$1:G$65536,MATCH($A$1,'[1]111-112-113 ADDITIONAL FUND'!A$1:A$65536))</f>
        <v>1173</v>
      </c>
      <c r="J44" s="13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46">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0</v>
      </c>
      <c r="D50" s="585">
        <f>SUM(D41:D49)</f>
        <v>0</v>
      </c>
      <c r="E50" s="956">
        <f>SUM(E41:E49)</f>
        <v>0</v>
      </c>
      <c r="F50" s="956"/>
      <c r="G50" s="912" t="s">
        <v>63</v>
      </c>
      <c r="H50" s="912"/>
      <c r="I50" s="912"/>
      <c r="J50" s="276">
        <f>SUM(J41:J49)</f>
        <v>0</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0</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0</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E56</f>
        <v>0</v>
      </c>
      <c r="U55" s="184" t="s">
        <v>66</v>
      </c>
      <c r="V55" s="185"/>
      <c r="W55" s="186" t="s">
        <v>71</v>
      </c>
      <c r="X55" s="919">
        <f>I56</f>
        <v>221179.83999999997</v>
      </c>
      <c r="Y55" s="919"/>
    </row>
    <row r="56" spans="1:25" ht="16.5" customHeight="1" x14ac:dyDescent="0.25">
      <c r="A56" s="899" t="s">
        <v>70</v>
      </c>
      <c r="B56" s="899"/>
      <c r="C56" s="237"/>
      <c r="D56" s="237"/>
      <c r="E56" s="48">
        <f>G33</f>
        <v>0</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0</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0</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0</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0</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0</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0</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0</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0</v>
      </c>
      <c r="J68" s="138">
        <f>ROUND(G68*I68,2)</f>
        <v>0</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0</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0</v>
      </c>
      <c r="J71" s="138">
        <f>ROUND(G71*I71,2)</f>
        <v>0</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0</v>
      </c>
      <c r="J72" s="138">
        <f>ROUND(G72*I72,2)</f>
        <v>0</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0</v>
      </c>
      <c r="J85" s="138">
        <f>ROUND(G85*I85,2)</f>
        <v>0</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0</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0</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141">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0</v>
      </c>
      <c r="C91" s="245"/>
      <c r="D91" s="869">
        <f>I6</f>
        <v>1.0355000000000001</v>
      </c>
      <c r="E91" s="869"/>
      <c r="F91" s="869"/>
      <c r="G91" s="122">
        <f>'[1]Detail 2025-26 FEFP Second'!AC3</f>
        <v>915.09</v>
      </c>
      <c r="H91" s="47" t="s">
        <v>68</v>
      </c>
      <c r="I91" s="140">
        <f>ROUND(B91*D91*G91,2)</f>
        <v>0</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0</v>
      </c>
      <c r="C93" s="109"/>
      <c r="D93" s="109"/>
      <c r="E93" s="939" t="s">
        <v>112</v>
      </c>
      <c r="F93" s="939"/>
      <c r="G93" s="939"/>
      <c r="H93" s="939"/>
      <c r="I93" s="939"/>
      <c r="J93" s="127">
        <f>IF(A1=75,0,I92+I91+I90)</f>
        <v>0</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279"/>
      <c r="D97" s="279"/>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0</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0</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Payments'!R114</f>
        <v>-166059.87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-166059.87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v>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FDD-3DB2-4968-836E-DA7169B00014}">
  <dimension ref="A1:Z207"/>
  <sheetViews>
    <sheetView topLeftCell="A106" workbookViewId="0">
      <selection activeCell="A56" sqref="A56:B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471</v>
      </c>
      <c r="B2" s="102"/>
      <c r="C2" s="102"/>
      <c r="D2" s="102"/>
      <c r="E2" s="100"/>
      <c r="F2" s="100"/>
      <c r="G2" s="100"/>
      <c r="H2" s="100"/>
      <c r="I2" s="100"/>
      <c r="J2" s="100"/>
      <c r="K2" s="6"/>
      <c r="L2" s="6"/>
      <c r="M2" s="6"/>
      <c r="N2" s="6"/>
      <c r="O2" s="6"/>
      <c r="P2" s="6"/>
      <c r="Q2" s="6"/>
      <c r="R2" s="875" t="str">
        <f>Revenue_Estimate_Worksheet_for___________Charter_School</f>
        <v>Revenue Estimate Worksheet: Florida Futures Academy - North Campus - 4081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Second'!$C$1:$C$65536,MATCH('4081'!$A$1,'[1]Detail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v>
      </c>
      <c r="D15" s="415">
        <v>0</v>
      </c>
      <c r="E15" s="967">
        <f t="shared" si="0"/>
        <v>0</v>
      </c>
      <c r="F15" s="967"/>
      <c r="G15" s="968">
        <v>1</v>
      </c>
      <c r="H15" s="968"/>
      <c r="I15" s="578">
        <f t="shared" si="2"/>
        <v>0</v>
      </c>
      <c r="J15" s="579">
        <f t="shared" si="1"/>
        <v>0</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44.61</v>
      </c>
      <c r="D16" s="415">
        <v>0</v>
      </c>
      <c r="E16" s="967">
        <f t="shared" si="0"/>
        <v>89.22</v>
      </c>
      <c r="F16" s="967"/>
      <c r="G16" s="968">
        <v>0.97199999999999998</v>
      </c>
      <c r="H16" s="968"/>
      <c r="I16" s="578">
        <f t="shared" si="2"/>
        <v>86.721800000000002</v>
      </c>
      <c r="J16" s="579">
        <f t="shared" si="1"/>
        <v>482461.76</v>
      </c>
      <c r="M16" s="2"/>
      <c r="R16" s="860" t="s">
        <v>24</v>
      </c>
      <c r="S16" s="860"/>
      <c r="T16" s="891">
        <f t="shared" si="3"/>
        <v>0</v>
      </c>
      <c r="U16" s="891"/>
      <c r="V16" s="896">
        <v>1</v>
      </c>
      <c r="W16" s="896"/>
      <c r="X16" s="156">
        <f t="shared" si="4"/>
        <v>0</v>
      </c>
      <c r="Y16" s="266">
        <f t="shared" si="6"/>
        <v>0</v>
      </c>
    </row>
    <row r="17" spans="1:25" x14ac:dyDescent="0.25">
      <c r="A17" s="861" t="s">
        <v>25</v>
      </c>
      <c r="B17" s="861"/>
      <c r="C17" s="415">
        <v>10.5</v>
      </c>
      <c r="D17" s="415">
        <v>0</v>
      </c>
      <c r="E17" s="967">
        <f t="shared" si="0"/>
        <v>21</v>
      </c>
      <c r="F17" s="967"/>
      <c r="G17" s="968">
        <v>0.97199999999999998</v>
      </c>
      <c r="H17" s="968"/>
      <c r="I17" s="578">
        <f t="shared" si="2"/>
        <v>20.411999999999999</v>
      </c>
      <c r="J17" s="579">
        <f t="shared" si="1"/>
        <v>113558.64</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4.72</v>
      </c>
      <c r="D26" s="415">
        <v>0</v>
      </c>
      <c r="E26" s="967">
        <f t="shared" si="0"/>
        <v>9.44</v>
      </c>
      <c r="F26" s="967"/>
      <c r="G26" s="968">
        <v>1.165</v>
      </c>
      <c r="H26" s="968"/>
      <c r="I26" s="578">
        <f t="shared" si="2"/>
        <v>10.9976</v>
      </c>
      <c r="J26" s="579">
        <f t="shared" si="1"/>
        <v>61183.25</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59.83</v>
      </c>
      <c r="D28" s="126">
        <f>SUM(D12:D27)</f>
        <v>0</v>
      </c>
      <c r="E28" s="966">
        <f>SUM(E12:E27)</f>
        <v>119.66</v>
      </c>
      <c r="F28" s="966"/>
      <c r="G28" s="961"/>
      <c r="H28" s="961"/>
      <c r="I28" s="23">
        <f>SUM(I12:I27)</f>
        <v>118.13140000000001</v>
      </c>
      <c r="J28" s="127">
        <f>SUM(J12:J27)</f>
        <v>657203.65</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118.13140000000001</v>
      </c>
      <c r="H33" s="961" t="s">
        <v>45</v>
      </c>
      <c r="I33" s="961"/>
      <c r="J33" s="32">
        <f>SUM(J32,J28)</f>
        <v>657203.65</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453">
        <v>702313.88</v>
      </c>
      <c r="H36" s="223" t="s">
        <v>49</v>
      </c>
      <c r="I36" s="38">
        <v>6.6699999999999995E-2</v>
      </c>
      <c r="J36" s="131">
        <f>ROUND(G36*I36,2)</f>
        <v>46844.34</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453">
        <v>702313.88</v>
      </c>
      <c r="H37" s="223" t="s">
        <v>49</v>
      </c>
      <c r="I37" s="38">
        <v>5.4000000000000003E-3</v>
      </c>
      <c r="J37" s="131">
        <f>ROUND(G37*I37,2)</f>
        <v>3792.49</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50636.829999999994</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727"/>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727">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727">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727">
        <f t="shared" si="8"/>
        <v>0</v>
      </c>
      <c r="M43" s="2"/>
      <c r="R43" s="903"/>
      <c r="S43" s="903"/>
      <c r="T43" s="905"/>
      <c r="U43" s="905"/>
      <c r="V43" s="239" t="s">
        <v>59</v>
      </c>
      <c r="W43" s="239">
        <v>253</v>
      </c>
      <c r="X43" s="134">
        <f t="shared" si="9"/>
        <v>6896</v>
      </c>
      <c r="Y43" s="269">
        <f t="shared" si="10"/>
        <v>0</v>
      </c>
    </row>
    <row r="44" spans="1:25" x14ac:dyDescent="0.25">
      <c r="A44" s="960"/>
      <c r="B44" s="960"/>
      <c r="C44" s="415">
        <v>0</v>
      </c>
      <c r="D44" s="415">
        <v>0</v>
      </c>
      <c r="E44" s="954">
        <f t="shared" si="7"/>
        <v>0</v>
      </c>
      <c r="F44" s="954"/>
      <c r="G44" s="47" t="s">
        <v>60</v>
      </c>
      <c r="H44" s="223">
        <v>251</v>
      </c>
      <c r="I44" s="136">
        <f>INDEX('[1]111-112-113 ADDITIONAL FUND'!G$1:G$65536,MATCH($A$1,'[1]111-112-113 ADDITIONAL FUND'!A$1:A$65536))</f>
        <v>1173</v>
      </c>
      <c r="J44" s="72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727">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727">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9</v>
      </c>
      <c r="D47" s="415">
        <v>0</v>
      </c>
      <c r="E47" s="954">
        <f t="shared" si="7"/>
        <v>18</v>
      </c>
      <c r="F47" s="954"/>
      <c r="G47" s="47" t="s">
        <v>61</v>
      </c>
      <c r="H47" s="223">
        <v>251</v>
      </c>
      <c r="I47" s="136">
        <f>INDEX('[1]111-112-113 ADDITIONAL FUND'!J$1:J$65536,MATCH($A$1,'[1]111-112-113 ADDITIONAL FUND'!A$1:A$65536))</f>
        <v>835</v>
      </c>
      <c r="J47" s="727">
        <f t="shared" si="8"/>
        <v>15030</v>
      </c>
      <c r="M47" s="2"/>
      <c r="R47" s="903"/>
      <c r="S47" s="903"/>
      <c r="T47" s="905"/>
      <c r="U47" s="905"/>
      <c r="V47" s="182" t="s">
        <v>61</v>
      </c>
      <c r="W47" s="239">
        <v>251</v>
      </c>
      <c r="X47" s="134">
        <f t="shared" si="9"/>
        <v>835</v>
      </c>
      <c r="Y47" s="269">
        <f t="shared" si="10"/>
        <v>0</v>
      </c>
    </row>
    <row r="48" spans="1:25" ht="15.75" customHeight="1" x14ac:dyDescent="0.25">
      <c r="A48" s="960"/>
      <c r="B48" s="960"/>
      <c r="C48" s="415">
        <v>1.5</v>
      </c>
      <c r="D48" s="415">
        <v>0</v>
      </c>
      <c r="E48" s="954">
        <f t="shared" si="7"/>
        <v>3</v>
      </c>
      <c r="F48" s="954"/>
      <c r="G48" s="47" t="s">
        <v>61</v>
      </c>
      <c r="H48" s="223">
        <v>252</v>
      </c>
      <c r="I48" s="136">
        <f>INDEX('[1]111-112-113 ADDITIONAL FUND'!K$1:K$65536,MATCH($A$1,'[1]111-112-113 ADDITIONAL FUND'!A$1:A$65536))</f>
        <v>3168</v>
      </c>
      <c r="J48" s="727">
        <f t="shared" si="8"/>
        <v>9504</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10.5</v>
      </c>
      <c r="D50" s="585">
        <f>SUM(D41:D49)</f>
        <v>0</v>
      </c>
      <c r="E50" s="956">
        <f>SUM(E41:E49)</f>
        <v>21</v>
      </c>
      <c r="F50" s="956"/>
      <c r="G50" s="912" t="s">
        <v>63</v>
      </c>
      <c r="H50" s="912"/>
      <c r="I50" s="912"/>
      <c r="J50" s="276">
        <f>SUM(J41:J49)</f>
        <v>24534</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119.66</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5.7600000000000001E-4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118.13140000000001</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5.3399999999999997E-4</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119.66</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6.69E-4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119.66</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5.7700000000000004E-4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119.66</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6.7000000000000002E-4</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5.7700000000000004E-4</v>
      </c>
      <c r="J68" s="138">
        <f>ROUND(G68*I68,2)</f>
        <v>26328.28</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INDEX('[1]Detail 2025-26 FEFP Second'!L$1:L$65536,MATCH(A1,'[1]Detail 2025-26 FEFP Second'!A$1:A$65536))</f>
        <v>0</v>
      </c>
      <c r="H70" s="223" t="s">
        <v>81</v>
      </c>
      <c r="I70" s="41">
        <f>I54</f>
        <v>5.7600000000000001E-4</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6.7000000000000002E-4</v>
      </c>
      <c r="J71" s="138">
        <f>ROUND(G71*I71,2)</f>
        <v>12685.82</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6.69E-4</v>
      </c>
      <c r="J72" s="138">
        <f>ROUND(G72*I72,2)</f>
        <v>7559.71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5.3399999999999997E-4</v>
      </c>
      <c r="J85" s="138">
        <f>ROUND(G85*I85,2)</f>
        <v>143547.89000000001</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5.3399999999999997E-4</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5.7600000000000001E-4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727">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0</v>
      </c>
      <c r="C91" s="245"/>
      <c r="D91" s="869">
        <f>I6</f>
        <v>1.0355000000000001</v>
      </c>
      <c r="E91" s="869"/>
      <c r="F91" s="869"/>
      <c r="G91" s="122">
        <f>'[1]Detail 2025-26 FEFP Second'!AC3</f>
        <v>915.09</v>
      </c>
      <c r="H91" s="47" t="s">
        <v>68</v>
      </c>
      <c r="I91" s="727">
        <f>ROUND(B91*D91*G91,2)</f>
        <v>0</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118.13140000000001</v>
      </c>
      <c r="C92" s="109"/>
      <c r="D92" s="869">
        <f>I6</f>
        <v>1.0355000000000001</v>
      </c>
      <c r="E92" s="869"/>
      <c r="F92" s="869"/>
      <c r="G92" s="122">
        <f>'[1]Detail 2025-26 FEFP Second'!AD3</f>
        <v>917.3</v>
      </c>
      <c r="H92" s="47" t="s">
        <v>68</v>
      </c>
      <c r="I92" s="727">
        <f>ROUND(B92*D92*G92,2)</f>
        <v>112208.78</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118.13140000000001</v>
      </c>
      <c r="C93" s="109"/>
      <c r="D93" s="109"/>
      <c r="E93" s="939" t="s">
        <v>112</v>
      </c>
      <c r="F93" s="939"/>
      <c r="G93" s="939"/>
      <c r="H93" s="939"/>
      <c r="I93" s="939"/>
      <c r="J93" s="127">
        <f>IF(A1=75,0,I92+I91+I90)</f>
        <v>112208.78</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415">
        <v>33</v>
      </c>
      <c r="D97" s="415">
        <v>0</v>
      </c>
      <c r="E97" s="988">
        <f>(C97+D97)</f>
        <v>33</v>
      </c>
      <c r="F97" s="942"/>
      <c r="G97" s="942"/>
      <c r="H97" s="224" t="s">
        <v>117</v>
      </c>
      <c r="I97" s="130">
        <f>'0040'!I97</f>
        <v>586</v>
      </c>
      <c r="J97" s="138">
        <f>ROUND(I97*E97,2)</f>
        <v>19338</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1003406.13</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952769.3</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952769.3</v>
      </c>
      <c r="J114" s="296">
        <f>ROUND(IF(E28=0,0,IF(E28&gt;250,-(((250/E28)*I114)*IF(H113="H",0.02,0.05)),IF(H113="H",-0.02*I114,-0.05*I114))),2)</f>
        <v>-47638.47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955767.66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Payments'!R115</f>
        <v>-597447.43999999994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358320.22000000009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71664.039999999994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89F0-6C06-4112-8D33-4BE842CC9078}">
  <dimension ref="A1:Z207"/>
  <sheetViews>
    <sheetView topLeftCell="A101"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472</v>
      </c>
      <c r="B2" s="102"/>
      <c r="C2" s="102"/>
      <c r="D2" s="102"/>
      <c r="E2" s="100"/>
      <c r="F2" s="100"/>
      <c r="G2" s="100"/>
      <c r="H2" s="100"/>
      <c r="I2" s="100"/>
      <c r="J2" s="100"/>
      <c r="K2" s="6"/>
      <c r="L2" s="6"/>
      <c r="M2" s="6"/>
      <c r="N2" s="6"/>
      <c r="O2" s="6"/>
      <c r="P2" s="6"/>
      <c r="Q2" s="6"/>
      <c r="R2" s="875" t="str">
        <f>Revenue_Estimate_Worksheet_for___________Charter_School</f>
        <v>Revenue Estimate Worksheet: Sports Leadership &amp; Management Middle School (SLAM) - 4090</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Second'!$C$1:$C$65536,MATCH('4090'!$A$1,'[1]Detail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Second'!$D$1:$D$65536,MATCH('4090'!$A$1,'[1]Detail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127.52</v>
      </c>
      <c r="D14" s="415">
        <v>0</v>
      </c>
      <c r="E14" s="967">
        <f t="shared" si="0"/>
        <v>255.04</v>
      </c>
      <c r="F14" s="967"/>
      <c r="G14" s="968">
        <v>1</v>
      </c>
      <c r="H14" s="968"/>
      <c r="I14" s="578">
        <f t="shared" si="2"/>
        <v>255.04</v>
      </c>
      <c r="J14" s="579">
        <f>ROUND(ROUND(ROUND(I14*$E$6,4)*($I$6),2)*(MAX($I$7,1)),2)</f>
        <v>1418870.99</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20</v>
      </c>
      <c r="D15" s="415">
        <v>0</v>
      </c>
      <c r="E15" s="967">
        <f t="shared" si="0"/>
        <v>40</v>
      </c>
      <c r="F15" s="967"/>
      <c r="G15" s="968">
        <v>1</v>
      </c>
      <c r="H15" s="968"/>
      <c r="I15" s="578">
        <f t="shared" si="2"/>
        <v>40</v>
      </c>
      <c r="J15" s="579">
        <f t="shared" si="1"/>
        <v>222533.09</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8.33</v>
      </c>
      <c r="D25" s="415">
        <v>0</v>
      </c>
      <c r="E25" s="967">
        <f t="shared" si="0"/>
        <v>16.66</v>
      </c>
      <c r="F25" s="967"/>
      <c r="G25" s="968">
        <v>1.165</v>
      </c>
      <c r="H25" s="968"/>
      <c r="I25" s="578">
        <f t="shared" si="2"/>
        <v>19.408899999999999</v>
      </c>
      <c r="J25" s="579">
        <f t="shared" si="1"/>
        <v>107978.06</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155.85</v>
      </c>
      <c r="D28" s="126">
        <f>SUM(D12:D27)</f>
        <v>0</v>
      </c>
      <c r="E28" s="966">
        <f>SUM(E12:E27)</f>
        <v>311.7</v>
      </c>
      <c r="F28" s="966"/>
      <c r="G28" s="961"/>
      <c r="H28" s="961"/>
      <c r="I28" s="23">
        <f>SUM(I12:I27)</f>
        <v>314.44889999999998</v>
      </c>
      <c r="J28" s="127">
        <f>SUM(J12:J27)</f>
        <v>1749382.1400000001</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314.44889999999998</v>
      </c>
      <c r="H33" s="961" t="s">
        <v>45</v>
      </c>
      <c r="I33" s="961"/>
      <c r="J33" s="32">
        <f>SUM(J32,J28)</f>
        <v>1749382.1400000001</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453">
        <v>1571629.39</v>
      </c>
      <c r="H36" s="223" t="s">
        <v>49</v>
      </c>
      <c r="I36" s="38">
        <v>6.6699999999999995E-2</v>
      </c>
      <c r="J36" s="131">
        <f>ROUND(G36*I36,2)</f>
        <v>104827.68</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453">
        <v>1571629.39</v>
      </c>
      <c r="H37" s="223" t="s">
        <v>49</v>
      </c>
      <c r="I37" s="38">
        <v>5.4000000000000003E-3</v>
      </c>
      <c r="J37" s="131">
        <f>ROUND(G37*I37,2)</f>
        <v>8486.7999999999993</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113314.48</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x14ac:dyDescent="0.25">
      <c r="A44" s="960"/>
      <c r="B44" s="960"/>
      <c r="C44" s="415">
        <v>18.46</v>
      </c>
      <c r="D44" s="415">
        <v>0</v>
      </c>
      <c r="E44" s="954">
        <f t="shared" si="7"/>
        <v>36.92</v>
      </c>
      <c r="F44" s="954"/>
      <c r="G44" s="47" t="s">
        <v>60</v>
      </c>
      <c r="H44" s="223">
        <v>251</v>
      </c>
      <c r="I44" s="136">
        <f>INDEX('[1]111-112-113 ADDITIONAL FUND'!G$1:G$65536,MATCH($A$1,'[1]111-112-113 ADDITIONAL FUND'!A$1:A$65536))</f>
        <v>1173</v>
      </c>
      <c r="J44" s="137">
        <f t="shared" si="8"/>
        <v>43307.16</v>
      </c>
      <c r="L44" s="3"/>
      <c r="M44" s="2"/>
      <c r="Q44" s="4"/>
      <c r="R44" s="903"/>
      <c r="S44" s="903"/>
      <c r="T44" s="905"/>
      <c r="U44" s="905"/>
      <c r="V44" s="182" t="s">
        <v>60</v>
      </c>
      <c r="W44" s="239">
        <v>251</v>
      </c>
      <c r="X44" s="134">
        <f t="shared" si="9"/>
        <v>1173</v>
      </c>
      <c r="Y44" s="269">
        <f t="shared" si="10"/>
        <v>0</v>
      </c>
    </row>
    <row r="45" spans="1:25" x14ac:dyDescent="0.25">
      <c r="A45" s="960"/>
      <c r="B45" s="960"/>
      <c r="C45" s="415">
        <v>1.54</v>
      </c>
      <c r="D45" s="415">
        <v>0</v>
      </c>
      <c r="E45" s="954">
        <f t="shared" si="7"/>
        <v>3.08</v>
      </c>
      <c r="F45" s="954"/>
      <c r="G45" s="47" t="s">
        <v>60</v>
      </c>
      <c r="H45" s="223">
        <v>252</v>
      </c>
      <c r="I45" s="136">
        <f>INDEX('[1]111-112-113 ADDITIONAL FUND'!H$1:H$65536,MATCH($A$1,'[1]111-112-113 ADDITIONAL FUND'!A$1:A$65536))</f>
        <v>3506</v>
      </c>
      <c r="J45" s="46">
        <f t="shared" si="8"/>
        <v>10798.48</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20</v>
      </c>
      <c r="D50" s="585">
        <f>SUM(D41:D49)</f>
        <v>0</v>
      </c>
      <c r="E50" s="956">
        <f>SUM(E41:E49)</f>
        <v>40</v>
      </c>
      <c r="F50" s="956"/>
      <c r="G50" s="912" t="s">
        <v>63</v>
      </c>
      <c r="H50" s="912"/>
      <c r="I50" s="912"/>
      <c r="J50" s="276">
        <f>SUM(J41:J49)</f>
        <v>54105.64</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311.7</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1.5E-3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314.44889999999998</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1.4220000000000001E-3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311.7</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1.7420000000000001E-3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311.7</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1.5020000000000001E-3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311.7</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1.745E-3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1.5020000000000001E-3</v>
      </c>
      <c r="J68" s="138">
        <f>ROUND(G68*I68,2)</f>
        <v>68535.649999999994</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1.5E-3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1.745E-3</v>
      </c>
      <c r="J71" s="138">
        <f>ROUND(G71*I71,2)</f>
        <v>33039.93</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1.7420000000000001E-3</v>
      </c>
      <c r="J72" s="138">
        <f>ROUND(G72*I72,2)</f>
        <v>19684.62</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1.4220000000000001E-3</v>
      </c>
      <c r="J85" s="138">
        <f>ROUND(G85*I85,2)</f>
        <v>382256.75</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1.4220000000000001E-3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1.5E-3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141">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314.44889999999998</v>
      </c>
      <c r="C91" s="245"/>
      <c r="D91" s="869">
        <f>I6</f>
        <v>1.0355000000000001</v>
      </c>
      <c r="E91" s="869"/>
      <c r="F91" s="869"/>
      <c r="G91" s="122">
        <f>'[1]Detail 2025-26 FEFP Second'!AC3</f>
        <v>915.09</v>
      </c>
      <c r="H91" s="47" t="s">
        <v>68</v>
      </c>
      <c r="I91" s="140">
        <f>ROUND(B91*D91*G91,2)</f>
        <v>297964.13</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314.44889999999998</v>
      </c>
      <c r="C93" s="109"/>
      <c r="D93" s="109"/>
      <c r="E93" s="939" t="s">
        <v>112</v>
      </c>
      <c r="F93" s="939"/>
      <c r="G93" s="939"/>
      <c r="H93" s="939"/>
      <c r="I93" s="939"/>
      <c r="J93" s="127">
        <f>IF(A1=75,0,I92+I91+I90)</f>
        <v>297964.13</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415">
        <v>0</v>
      </c>
      <c r="D97" s="415">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2604968.8600000003</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2491654.3800000004</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2491654.3800000004</v>
      </c>
      <c r="J114" s="296">
        <f>ROUND(IF(E28=0,0,IF(E28&gt;250,-(((250/E28)*I114)*IF(H114="H",0.02,0.05)),IF(H114="H",-0.02*I114,-0.05*I114))),2)</f>
        <v>-99921.98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2505046.8800000004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Payments'!R116</f>
        <v>-1391656.93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1113389.9500000004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222677.99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24660.74</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6831-2743-42C3-A705-931D6F2B5962}">
  <dimension ref="A1:Z207"/>
  <sheetViews>
    <sheetView topLeftCell="A107" workbookViewId="0">
      <selection activeCell="C41" sqref="C41:C4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473</v>
      </c>
      <c r="B2" s="102"/>
      <c r="C2" s="102"/>
      <c r="D2" s="102"/>
      <c r="E2" s="100"/>
      <c r="F2" s="100"/>
      <c r="G2" s="100"/>
      <c r="H2" s="100"/>
      <c r="I2" s="100"/>
      <c r="J2" s="100"/>
      <c r="K2" s="6"/>
      <c r="L2" s="6"/>
      <c r="M2" s="6"/>
      <c r="N2" s="6"/>
      <c r="O2" s="6"/>
      <c r="P2" s="6"/>
      <c r="Q2" s="6"/>
      <c r="R2" s="875" t="str">
        <f>Revenue_Estimate_Worksheet_for___________Charter_School</f>
        <v>Revenue Estimate Worksheet: Somerset Academy Lakes - 4091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Second'!$C$1:$C$65536,MATCH('4091'!$A$1,'[1]Detail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Second'!$D$1:$D$65536,MATCH('4091'!$A$1,'[1]Detail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80.650000000000006</v>
      </c>
      <c r="D12" s="411">
        <v>0</v>
      </c>
      <c r="E12" s="980">
        <f t="shared" ref="E12:E27" si="0">IF($D$28=0,C12*2,C12+D12)</f>
        <v>161.30000000000001</v>
      </c>
      <c r="F12" s="980"/>
      <c r="G12" s="981">
        <v>1.1080000000000001</v>
      </c>
      <c r="H12" s="981"/>
      <c r="I12" s="578">
        <f>ROUND(E12*G12,4)</f>
        <v>178.72040000000001</v>
      </c>
      <c r="J12" s="579">
        <f t="shared" ref="J12:J27" si="1">ROUND(ROUND(ROUND(I12*$E$6,4)*($I$6),2)*(MAX($I$7,1)),2)</f>
        <v>994280.08</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13</v>
      </c>
      <c r="D13" s="415">
        <v>0</v>
      </c>
      <c r="E13" s="967">
        <f t="shared" si="0"/>
        <v>26</v>
      </c>
      <c r="F13" s="967"/>
      <c r="G13" s="968">
        <v>1.1080000000000001</v>
      </c>
      <c r="H13" s="968"/>
      <c r="I13" s="578">
        <f t="shared" ref="I13:I27" si="2">ROUND(E13*G13,4)</f>
        <v>28.808</v>
      </c>
      <c r="J13" s="579">
        <f t="shared" si="1"/>
        <v>160268.32999999999</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41.06</v>
      </c>
      <c r="D14" s="415">
        <v>0</v>
      </c>
      <c r="E14" s="967">
        <f t="shared" si="0"/>
        <v>82.12</v>
      </c>
      <c r="F14" s="967"/>
      <c r="G14" s="968">
        <v>1</v>
      </c>
      <c r="H14" s="968"/>
      <c r="I14" s="578">
        <f t="shared" si="2"/>
        <v>82.12</v>
      </c>
      <c r="J14" s="579">
        <f>ROUND(ROUND(ROUND(I14*$E$6,4)*($I$6),2)*(MAX($I$7,1)),2)</f>
        <v>456860.44</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7</v>
      </c>
      <c r="D15" s="415">
        <v>0</v>
      </c>
      <c r="E15" s="967">
        <f t="shared" si="0"/>
        <v>14</v>
      </c>
      <c r="F15" s="967"/>
      <c r="G15" s="968">
        <v>1</v>
      </c>
      <c r="H15" s="968"/>
      <c r="I15" s="578">
        <f t="shared" si="2"/>
        <v>14</v>
      </c>
      <c r="J15" s="579">
        <f t="shared" si="1"/>
        <v>77886.58</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41.350000000000009</v>
      </c>
      <c r="D24" s="415">
        <v>0</v>
      </c>
      <c r="E24" s="967">
        <f t="shared" si="0"/>
        <v>82.700000000000017</v>
      </c>
      <c r="F24" s="967"/>
      <c r="G24" s="968">
        <v>1.165</v>
      </c>
      <c r="H24" s="968"/>
      <c r="I24" s="578">
        <f t="shared" si="2"/>
        <v>96.345500000000001</v>
      </c>
      <c r="J24" s="579">
        <f t="shared" si="1"/>
        <v>536001.55000000005</v>
      </c>
      <c r="M24" s="2"/>
      <c r="R24" s="860" t="s">
        <v>32</v>
      </c>
      <c r="S24" s="860"/>
      <c r="T24" s="891">
        <f t="shared" si="3"/>
        <v>0</v>
      </c>
      <c r="U24" s="891"/>
      <c r="V24" s="896">
        <v>1</v>
      </c>
      <c r="W24" s="896"/>
      <c r="X24" s="156">
        <f t="shared" si="4"/>
        <v>0</v>
      </c>
      <c r="Y24" s="266">
        <f t="shared" si="6"/>
        <v>0</v>
      </c>
    </row>
    <row r="25" spans="1:25" x14ac:dyDescent="0.25">
      <c r="A25" s="861" t="s">
        <v>33</v>
      </c>
      <c r="B25" s="861"/>
      <c r="C25" s="415">
        <v>12.44</v>
      </c>
      <c r="D25" s="415">
        <v>0</v>
      </c>
      <c r="E25" s="967">
        <f t="shared" si="0"/>
        <v>24.88</v>
      </c>
      <c r="F25" s="967"/>
      <c r="G25" s="968">
        <v>1.165</v>
      </c>
      <c r="H25" s="968"/>
      <c r="I25" s="578">
        <f t="shared" si="2"/>
        <v>28.985199999999999</v>
      </c>
      <c r="J25" s="579">
        <f t="shared" si="1"/>
        <v>161254.15</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195.5</v>
      </c>
      <c r="D28" s="126">
        <f>SUM(D12:D27)</f>
        <v>0</v>
      </c>
      <c r="E28" s="966">
        <f>SUM(E12:E27)</f>
        <v>391</v>
      </c>
      <c r="F28" s="966"/>
      <c r="G28" s="961"/>
      <c r="H28" s="961"/>
      <c r="I28" s="23">
        <f>SUM(I12:I27)</f>
        <v>428.97910000000007</v>
      </c>
      <c r="J28" s="127">
        <f>SUM(J12:J27)</f>
        <v>2386551.13</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428.97910000000007</v>
      </c>
      <c r="H33" s="961" t="s">
        <v>45</v>
      </c>
      <c r="I33" s="961"/>
      <c r="J33" s="32">
        <f>SUM(J32,J28)</f>
        <v>2386551.13</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453">
        <v>2428058.0100000002</v>
      </c>
      <c r="H36" s="223" t="s">
        <v>49</v>
      </c>
      <c r="I36" s="38">
        <v>6.6699999999999995E-2</v>
      </c>
      <c r="J36" s="131">
        <f>ROUND(G36*I36,2)</f>
        <v>161951.47</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453">
        <v>2428058.0100000002</v>
      </c>
      <c r="H37" s="223" t="s">
        <v>49</v>
      </c>
      <c r="I37" s="38">
        <v>5.4000000000000003E-3</v>
      </c>
      <c r="J37" s="131">
        <f>ROUND(G37*I37,2)</f>
        <v>13111.51</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175062.98</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8.5</v>
      </c>
      <c r="D41" s="415">
        <v>0</v>
      </c>
      <c r="E41" s="954">
        <f t="shared" ref="E41:E49" si="7">IF($D$50=0,C41*2,C41+D41)</f>
        <v>17</v>
      </c>
      <c r="F41" s="954"/>
      <c r="G41" s="223" t="s">
        <v>59</v>
      </c>
      <c r="H41" s="223">
        <v>251</v>
      </c>
      <c r="I41" s="136">
        <f>INDEX('[1]111-112-113 ADDITIONAL FUND'!D$1:D$65536,MATCH($A$1,'[1]111-112-113 ADDITIONAL FUND'!A$1:A$65536))</f>
        <v>1047</v>
      </c>
      <c r="J41" s="46">
        <f t="shared" ref="J41:J49" si="8">ROUND(E41*I41,2)</f>
        <v>17799</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4.5</v>
      </c>
      <c r="D42" s="415">
        <v>0</v>
      </c>
      <c r="E42" s="954">
        <f t="shared" si="7"/>
        <v>9</v>
      </c>
      <c r="F42" s="954"/>
      <c r="G42" s="223" t="s">
        <v>59</v>
      </c>
      <c r="H42" s="223">
        <v>252</v>
      </c>
      <c r="I42" s="136">
        <f>INDEX('[1]111-112-113 ADDITIONAL FUND'!E$1:E$65536,MATCH($A$1,'[1]111-112-113 ADDITIONAL FUND'!A$1:A$65536))</f>
        <v>3380</v>
      </c>
      <c r="J42" s="46">
        <f t="shared" si="8"/>
        <v>30420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x14ac:dyDescent="0.25">
      <c r="A44" s="960"/>
      <c r="B44" s="960"/>
      <c r="C44" s="415">
        <v>6.5</v>
      </c>
      <c r="D44" s="415">
        <v>0</v>
      </c>
      <c r="E44" s="954">
        <f t="shared" si="7"/>
        <v>13</v>
      </c>
      <c r="F44" s="954"/>
      <c r="G44" s="47" t="s">
        <v>60</v>
      </c>
      <c r="H44" s="223">
        <v>251</v>
      </c>
      <c r="I44" s="136">
        <f>INDEX('[1]111-112-113 ADDITIONAL FUND'!G$1:G$65536,MATCH($A$1,'[1]111-112-113 ADDITIONAL FUND'!A$1:A$65536))</f>
        <v>1173</v>
      </c>
      <c r="J44" s="137">
        <f t="shared" si="8"/>
        <v>15249</v>
      </c>
      <c r="L44" s="3"/>
      <c r="M44" s="2"/>
      <c r="Q44" s="4"/>
      <c r="R44" s="903"/>
      <c r="S44" s="903"/>
      <c r="T44" s="905"/>
      <c r="U44" s="905"/>
      <c r="V44" s="182" t="s">
        <v>60</v>
      </c>
      <c r="W44" s="239">
        <v>251</v>
      </c>
      <c r="X44" s="134">
        <f t="shared" si="9"/>
        <v>1173</v>
      </c>
      <c r="Y44" s="269">
        <f t="shared" si="10"/>
        <v>0</v>
      </c>
    </row>
    <row r="45" spans="1:25" x14ac:dyDescent="0.25">
      <c r="A45" s="960"/>
      <c r="B45" s="960"/>
      <c r="C45" s="415">
        <v>0.5</v>
      </c>
      <c r="D45" s="415">
        <v>0</v>
      </c>
      <c r="E45" s="954">
        <f t="shared" si="7"/>
        <v>1</v>
      </c>
      <c r="F45" s="954"/>
      <c r="G45" s="47" t="s">
        <v>60</v>
      </c>
      <c r="H45" s="223">
        <v>252</v>
      </c>
      <c r="I45" s="136">
        <f>INDEX('[1]111-112-113 ADDITIONAL FUND'!H$1:H$65536,MATCH($A$1,'[1]111-112-113 ADDITIONAL FUND'!A$1:A$65536))</f>
        <v>3506</v>
      </c>
      <c r="J45" s="46">
        <f t="shared" si="8"/>
        <v>3506</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20</v>
      </c>
      <c r="D50" s="585">
        <f>SUM(D41:D49)</f>
        <v>0</v>
      </c>
      <c r="E50" s="956">
        <f>SUM(E41:E49)</f>
        <v>40</v>
      </c>
      <c r="F50" s="956"/>
      <c r="G50" s="912" t="s">
        <v>63</v>
      </c>
      <c r="H50" s="912"/>
      <c r="I50" s="912"/>
      <c r="J50" s="276">
        <f>SUM(J41:J49)</f>
        <v>66974</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391</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1.882E-3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E54</f>
        <v>0</v>
      </c>
      <c r="U55" s="184" t="s">
        <v>66</v>
      </c>
      <c r="V55" s="185"/>
      <c r="W55" s="186" t="s">
        <v>71</v>
      </c>
      <c r="X55" s="919">
        <f>I56</f>
        <v>221179.83999999997</v>
      </c>
      <c r="Y55" s="919"/>
    </row>
    <row r="56" spans="1:25" ht="16.5" customHeight="1" x14ac:dyDescent="0.25">
      <c r="A56" s="899" t="s">
        <v>70</v>
      </c>
      <c r="B56" s="899"/>
      <c r="C56" s="237"/>
      <c r="D56" s="237"/>
      <c r="E56" s="48">
        <f>G33</f>
        <v>428.97910000000007</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1.9400000000000001E-3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391</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2.1849999999999999E-3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391</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1.885E-3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391</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2.189E-3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1.885E-3</v>
      </c>
      <c r="J68" s="138">
        <f>ROUND(G68*I68,2)</f>
        <v>86011.78</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1.882E-3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2.189E-3</v>
      </c>
      <c r="J71" s="138">
        <f>ROUND(G71*I71,2)</f>
        <v>41446.65</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2.1849999999999999E-3</v>
      </c>
      <c r="J72" s="138">
        <f>ROUND(G72*I72,2)</f>
        <v>24690.53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1.9400000000000001E-3</v>
      </c>
      <c r="J85" s="138">
        <f>ROUND(G85*I85,2)</f>
        <v>521503.58</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1.9400000000000001E-3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1.882E-3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303.87389999999999</v>
      </c>
      <c r="C90" s="245"/>
      <c r="D90" s="869">
        <f>I6</f>
        <v>1.0355000000000001</v>
      </c>
      <c r="E90" s="869"/>
      <c r="F90" s="869"/>
      <c r="G90" s="122">
        <f>'[1]Detail 2025-26 FEFP Second'!AB3</f>
        <v>958.42</v>
      </c>
      <c r="H90" s="47" t="s">
        <v>68</v>
      </c>
      <c r="I90" s="141">
        <f>ROUND(B90*D90*G90,2)</f>
        <v>301577.8</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125.1052</v>
      </c>
      <c r="C91" s="245"/>
      <c r="D91" s="869">
        <f>I6</f>
        <v>1.0355000000000001</v>
      </c>
      <c r="E91" s="869"/>
      <c r="F91" s="869"/>
      <c r="G91" s="122">
        <f>'[1]Detail 2025-26 FEFP Second'!AC3</f>
        <v>915.09</v>
      </c>
      <c r="H91" s="47" t="s">
        <v>68</v>
      </c>
      <c r="I91" s="140">
        <f>ROUND(B91*D91*G91,2)</f>
        <v>118546.65</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428.97910000000002</v>
      </c>
      <c r="C93" s="109"/>
      <c r="D93" s="109"/>
      <c r="E93" s="939" t="s">
        <v>112</v>
      </c>
      <c r="F93" s="939"/>
      <c r="G93" s="939"/>
      <c r="H93" s="939"/>
      <c r="I93" s="939"/>
      <c r="J93" s="127">
        <f>IF(A1=75,0,I92+I91+I90)</f>
        <v>420124.44999999995</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415">
        <v>0</v>
      </c>
      <c r="D97" s="415">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3547302.1199999996</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3372239.1399999997</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3372239.1399999997</v>
      </c>
      <c r="J114" s="296">
        <f>ROUND(IF(E28=0,0,IF(E28&gt;250,-(((250/E28)*I114)*IF(H114="H",0.02,0.05)),IF(H114="H",-0.02*I114,-0.05*I114))),2)</f>
        <v>-107808.16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3439493.9599999995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Payments'!R117</f>
        <v>-1999662.2199999997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1439831.7399999998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287966.34999999998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60803.8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00E-6A42-4D93-8257-16D5E4482675}">
  <dimension ref="A1:Z207"/>
  <sheetViews>
    <sheetView topLeftCell="A97" workbookViewId="0">
      <selection activeCell="J124" sqref="J12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474</v>
      </c>
      <c r="B2" s="102"/>
      <c r="C2" s="102"/>
      <c r="D2" s="102"/>
      <c r="E2" s="100"/>
      <c r="F2" s="100"/>
      <c r="G2" s="100"/>
      <c r="H2" s="100"/>
      <c r="I2" s="100"/>
      <c r="J2" s="100"/>
      <c r="K2" s="6"/>
      <c r="L2" s="6"/>
      <c r="M2" s="6"/>
      <c r="N2" s="6"/>
      <c r="O2" s="6"/>
      <c r="P2" s="6"/>
      <c r="Q2" s="6"/>
      <c r="R2" s="875" t="str">
        <f>Revenue_Estimate_Worksheet_for___________Charter_School</f>
        <v>Revenue Estimate Worksheet: Connections Education Center of the Palm Beaches - 4100</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Second'!$C$1:$C$65536,MATCH('4100'!$A$1,'[1]Detail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2.5</v>
      </c>
      <c r="D13" s="415">
        <v>0</v>
      </c>
      <c r="E13" s="967">
        <f t="shared" si="0"/>
        <v>5</v>
      </c>
      <c r="F13" s="967"/>
      <c r="G13" s="968">
        <v>1.1080000000000001</v>
      </c>
      <c r="H13" s="968"/>
      <c r="I13" s="578">
        <f t="shared" ref="I13:I27" si="2">ROUND(E13*G13,4)</f>
        <v>5.54</v>
      </c>
      <c r="J13" s="579">
        <f t="shared" si="1"/>
        <v>30820.83</v>
      </c>
      <c r="L13" s="21"/>
      <c r="M13" s="2"/>
      <c r="R13" s="860" t="s">
        <v>21</v>
      </c>
      <c r="S13" s="860"/>
      <c r="T13" s="891">
        <f t="shared" ref="T13:T27" si="3">IF($I$111=1,E13,0)</f>
        <v>5</v>
      </c>
      <c r="U13" s="891"/>
      <c r="V13" s="896">
        <v>1</v>
      </c>
      <c r="W13" s="896"/>
      <c r="X13" s="156">
        <f t="shared" ref="X13:X27" si="4">ROUND(T13*V13,4)</f>
        <v>5</v>
      </c>
      <c r="Y13" s="266">
        <f t="shared" ref="Y13" si="5">ROUND(ROUND(ROUND(X13*$E$6,4)*($I$6),2)*(MAX($I$7,1)),2)</f>
        <v>27816.639999999999</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1</v>
      </c>
      <c r="D15" s="415">
        <v>0</v>
      </c>
      <c r="E15" s="967">
        <f t="shared" si="0"/>
        <v>2</v>
      </c>
      <c r="F15" s="967"/>
      <c r="G15" s="968">
        <v>1</v>
      </c>
      <c r="H15" s="968"/>
      <c r="I15" s="578">
        <f t="shared" si="2"/>
        <v>2</v>
      </c>
      <c r="J15" s="579">
        <f t="shared" si="1"/>
        <v>11126.65</v>
      </c>
      <c r="M15" s="2"/>
      <c r="R15" s="860" t="s">
        <v>23</v>
      </c>
      <c r="S15" s="860"/>
      <c r="T15" s="891">
        <f t="shared" si="3"/>
        <v>2</v>
      </c>
      <c r="U15" s="891"/>
      <c r="V15" s="896">
        <v>1</v>
      </c>
      <c r="W15" s="896"/>
      <c r="X15" s="156">
        <f t="shared" si="4"/>
        <v>2</v>
      </c>
      <c r="Y15" s="266">
        <f t="shared" ref="Y15:Y27" si="6">ROUND(ROUND(ROUND(X15*$E$6,4)*($I$6),2)*(MAX($I$7,1)),2)</f>
        <v>11126.65</v>
      </c>
    </row>
    <row r="16" spans="1:25" x14ac:dyDescent="0.25">
      <c r="A16" s="861" t="s">
        <v>24</v>
      </c>
      <c r="B16" s="861"/>
      <c r="C16" s="415">
        <v>0</v>
      </c>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v>0</v>
      </c>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v>13</v>
      </c>
      <c r="D18" s="415">
        <v>0</v>
      </c>
      <c r="E18" s="967">
        <f t="shared" si="0"/>
        <v>26</v>
      </c>
      <c r="F18" s="967"/>
      <c r="G18" s="968">
        <v>3.609</v>
      </c>
      <c r="H18" s="968"/>
      <c r="I18" s="578">
        <f t="shared" si="2"/>
        <v>93.834000000000003</v>
      </c>
      <c r="J18" s="579">
        <f t="shared" si="1"/>
        <v>522029.25</v>
      </c>
      <c r="M18" s="2"/>
      <c r="R18" s="860" t="s">
        <v>26</v>
      </c>
      <c r="S18" s="860"/>
      <c r="T18" s="891">
        <f t="shared" si="3"/>
        <v>26</v>
      </c>
      <c r="U18" s="891"/>
      <c r="V18" s="896">
        <v>1</v>
      </c>
      <c r="W18" s="896"/>
      <c r="X18" s="156">
        <f t="shared" si="4"/>
        <v>26</v>
      </c>
      <c r="Y18" s="266">
        <f t="shared" si="6"/>
        <v>144646.51</v>
      </c>
    </row>
    <row r="19" spans="1:25" x14ac:dyDescent="0.25">
      <c r="A19" s="861" t="s">
        <v>27</v>
      </c>
      <c r="B19" s="861"/>
      <c r="C19" s="415">
        <v>4.5</v>
      </c>
      <c r="D19" s="415">
        <v>0</v>
      </c>
      <c r="E19" s="967">
        <f t="shared" si="0"/>
        <v>9</v>
      </c>
      <c r="F19" s="967"/>
      <c r="G19" s="968">
        <v>3.609</v>
      </c>
      <c r="H19" s="968"/>
      <c r="I19" s="578">
        <f t="shared" si="2"/>
        <v>32.481000000000002</v>
      </c>
      <c r="J19" s="579">
        <f t="shared" si="1"/>
        <v>180702.43</v>
      </c>
      <c r="M19" s="2"/>
      <c r="R19" s="860" t="s">
        <v>27</v>
      </c>
      <c r="S19" s="860"/>
      <c r="T19" s="891">
        <f t="shared" si="3"/>
        <v>9</v>
      </c>
      <c r="U19" s="891"/>
      <c r="V19" s="896">
        <v>1</v>
      </c>
      <c r="W19" s="896"/>
      <c r="X19" s="156">
        <f t="shared" si="4"/>
        <v>9</v>
      </c>
      <c r="Y19" s="266">
        <f t="shared" si="6"/>
        <v>50069.95</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14.5</v>
      </c>
      <c r="D21" s="415">
        <v>0</v>
      </c>
      <c r="E21" s="967">
        <f t="shared" si="0"/>
        <v>29</v>
      </c>
      <c r="F21" s="967"/>
      <c r="G21" s="968">
        <v>6.0640000000000001</v>
      </c>
      <c r="H21" s="968"/>
      <c r="I21" s="578">
        <f t="shared" si="2"/>
        <v>175.85599999999999</v>
      </c>
      <c r="J21" s="579">
        <f t="shared" si="1"/>
        <v>978344.49</v>
      </c>
      <c r="M21" s="2"/>
      <c r="R21" s="860" t="s">
        <v>29</v>
      </c>
      <c r="S21" s="860"/>
      <c r="T21" s="891">
        <f t="shared" si="3"/>
        <v>29</v>
      </c>
      <c r="U21" s="891"/>
      <c r="V21" s="896">
        <v>1</v>
      </c>
      <c r="W21" s="896"/>
      <c r="X21" s="156">
        <f t="shared" si="4"/>
        <v>29</v>
      </c>
      <c r="Y21" s="266">
        <f t="shared" si="6"/>
        <v>161336.49</v>
      </c>
    </row>
    <row r="22" spans="1:25" ht="15" customHeight="1" x14ac:dyDescent="0.25">
      <c r="A22" s="861" t="s">
        <v>30</v>
      </c>
      <c r="B22" s="861"/>
      <c r="C22" s="415">
        <v>15</v>
      </c>
      <c r="D22" s="415">
        <v>0</v>
      </c>
      <c r="E22" s="967">
        <f t="shared" si="0"/>
        <v>30</v>
      </c>
      <c r="F22" s="967"/>
      <c r="G22" s="968">
        <v>6.0640000000000001</v>
      </c>
      <c r="H22" s="968"/>
      <c r="I22" s="578">
        <f t="shared" si="2"/>
        <v>181.92</v>
      </c>
      <c r="J22" s="579">
        <f t="shared" si="1"/>
        <v>1012080.5</v>
      </c>
      <c r="M22" s="2"/>
      <c r="R22" s="860" t="s">
        <v>30</v>
      </c>
      <c r="S22" s="860"/>
      <c r="T22" s="891">
        <f t="shared" si="3"/>
        <v>30</v>
      </c>
      <c r="U22" s="891"/>
      <c r="V22" s="896">
        <v>1</v>
      </c>
      <c r="W22" s="896"/>
      <c r="X22" s="156">
        <f t="shared" si="4"/>
        <v>30</v>
      </c>
      <c r="Y22" s="266">
        <f t="shared" si="6"/>
        <v>166899.82</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0</v>
      </c>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26">
        <f>SUM(C12:C27)</f>
        <v>50.5</v>
      </c>
      <c r="D28" s="126">
        <f>SUM(D12:D27)</f>
        <v>0</v>
      </c>
      <c r="E28" s="966">
        <f>SUM(E12:E27)</f>
        <v>101</v>
      </c>
      <c r="F28" s="966"/>
      <c r="G28" s="961"/>
      <c r="H28" s="961"/>
      <c r="I28" s="23">
        <f>SUM(I12:I27)</f>
        <v>491.63099999999997</v>
      </c>
      <c r="J28" s="127">
        <f>SUM(J12:J27)</f>
        <v>2735104.15</v>
      </c>
      <c r="M28" s="2"/>
      <c r="R28" s="907" t="s">
        <v>36</v>
      </c>
      <c r="S28" s="907"/>
      <c r="T28" s="908">
        <f>SUM(T12:T27)</f>
        <v>101</v>
      </c>
      <c r="U28" s="908"/>
      <c r="V28" s="909"/>
      <c r="W28" s="909"/>
      <c r="X28" s="158">
        <f>SUM(X12:X27)</f>
        <v>101</v>
      </c>
      <c r="Y28" s="266">
        <f>SUM(Y12:Y27)</f>
        <v>561896.06000000006</v>
      </c>
    </row>
    <row r="29" spans="1:25" ht="36"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491.63099999999997</v>
      </c>
      <c r="H33" s="961" t="s">
        <v>45</v>
      </c>
      <c r="I33" s="961"/>
      <c r="J33" s="32">
        <f>SUM(J32,J28)</f>
        <v>2735104.15</v>
      </c>
      <c r="M33" s="2"/>
      <c r="R33" s="911" t="s">
        <v>44</v>
      </c>
      <c r="S33" s="911"/>
      <c r="T33" s="911"/>
      <c r="U33" s="911"/>
      <c r="V33" s="164">
        <f>X28</f>
        <v>101</v>
      </c>
      <c r="W33" s="909" t="s">
        <v>45</v>
      </c>
      <c r="X33" s="909"/>
      <c r="Y33" s="165">
        <f>SUM(Y32,Y28)</f>
        <v>561896.06000000006</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453">
        <v>2749273.96</v>
      </c>
      <c r="H36" s="223" t="s">
        <v>49</v>
      </c>
      <c r="I36" s="38">
        <v>6.6699999999999995E-2</v>
      </c>
      <c r="J36" s="131">
        <f>ROUND(G36*I36,2)</f>
        <v>183376.57</v>
      </c>
      <c r="K36" s="39"/>
      <c r="L36" s="233"/>
      <c r="M36" s="233"/>
      <c r="N36" s="233"/>
      <c r="O36" s="31"/>
      <c r="P36" s="232"/>
      <c r="Q36" s="232"/>
      <c r="R36" s="860" t="s">
        <v>47</v>
      </c>
      <c r="S36" s="860"/>
      <c r="T36" s="860"/>
      <c r="U36" s="253"/>
      <c r="V36" s="172">
        <v>561896.05000000005</v>
      </c>
      <c r="W36" s="239" t="s">
        <v>49</v>
      </c>
      <c r="X36" s="174">
        <v>6.6699999999999995E-2</v>
      </c>
      <c r="Y36" s="266">
        <f>J36</f>
        <v>183376.57</v>
      </c>
    </row>
    <row r="37" spans="1:25" ht="20.25" customHeight="1" x14ac:dyDescent="0.25">
      <c r="A37" s="861" t="s">
        <v>50</v>
      </c>
      <c r="B37" s="861"/>
      <c r="C37" s="861"/>
      <c r="D37" s="861"/>
      <c r="E37" s="861"/>
      <c r="F37" s="248" t="s">
        <v>48</v>
      </c>
      <c r="G37" s="453">
        <v>2749273.96</v>
      </c>
      <c r="H37" s="223" t="s">
        <v>49</v>
      </c>
      <c r="I37" s="38">
        <v>5.4000000000000003E-3</v>
      </c>
      <c r="J37" s="131">
        <f>ROUND(G37*I37,2)</f>
        <v>14846.08</v>
      </c>
      <c r="K37" s="39"/>
      <c r="L37" s="233"/>
      <c r="M37" s="233"/>
      <c r="N37" s="233"/>
      <c r="O37" s="31"/>
      <c r="P37" s="232"/>
      <c r="Q37" s="232"/>
      <c r="R37" s="860" t="s">
        <v>50</v>
      </c>
      <c r="S37" s="860"/>
      <c r="T37" s="860"/>
      <c r="U37" s="253"/>
      <c r="V37" s="172">
        <v>561896.05000000005</v>
      </c>
      <c r="W37" s="239" t="s">
        <v>49</v>
      </c>
      <c r="X37" s="174">
        <v>5.4000000000000003E-3</v>
      </c>
      <c r="Y37" s="266">
        <f>J37</f>
        <v>14846.08</v>
      </c>
    </row>
    <row r="38" spans="1:25" ht="20.25" customHeight="1" x14ac:dyDescent="0.25">
      <c r="A38" s="898" t="s">
        <v>51</v>
      </c>
      <c r="B38" s="898"/>
      <c r="C38" s="898"/>
      <c r="D38" s="898"/>
      <c r="E38" s="898"/>
      <c r="F38" s="248" t="s">
        <v>52</v>
      </c>
      <c r="G38" s="40"/>
      <c r="H38" s="223"/>
      <c r="I38" s="41"/>
      <c r="J38" s="131">
        <f>SUM(J36:J37)</f>
        <v>198222.65</v>
      </c>
      <c r="K38" s="39"/>
      <c r="L38" s="233"/>
      <c r="M38" s="233"/>
      <c r="N38" s="233"/>
      <c r="O38" s="31"/>
      <c r="P38" s="232"/>
      <c r="Q38" s="232"/>
      <c r="R38" s="862" t="s">
        <v>51</v>
      </c>
      <c r="S38" s="862"/>
      <c r="T38" s="862"/>
      <c r="U38" s="253" t="s">
        <v>52</v>
      </c>
      <c r="V38" s="175"/>
      <c r="W38" s="239"/>
      <c r="X38" s="176"/>
      <c r="Y38" s="157">
        <f>Y36+Y37</f>
        <v>198222.65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727">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727">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2.5</v>
      </c>
      <c r="D43" s="415">
        <v>0</v>
      </c>
      <c r="E43" s="954">
        <f t="shared" si="7"/>
        <v>5</v>
      </c>
      <c r="F43" s="954"/>
      <c r="G43" s="223" t="s">
        <v>59</v>
      </c>
      <c r="H43" s="223">
        <v>253</v>
      </c>
      <c r="I43" s="136">
        <f>INDEX('[1]111-112-113 ADDITIONAL FUND'!F$1:F$65536,MATCH($A$1,'[1]111-112-113 ADDITIONAL FUND'!A$1:A$65536))</f>
        <v>6896</v>
      </c>
      <c r="J43" s="727">
        <f t="shared" si="8"/>
        <v>34480</v>
      </c>
      <c r="M43" s="2"/>
      <c r="R43" s="903"/>
      <c r="S43" s="903"/>
      <c r="T43" s="905"/>
      <c r="U43" s="905"/>
      <c r="V43" s="239" t="s">
        <v>59</v>
      </c>
      <c r="W43" s="239">
        <v>253</v>
      </c>
      <c r="X43" s="134">
        <f t="shared" si="9"/>
        <v>6896</v>
      </c>
      <c r="Y43" s="269">
        <f t="shared" si="10"/>
        <v>0</v>
      </c>
    </row>
    <row r="44" spans="1:25" x14ac:dyDescent="0.25">
      <c r="A44" s="960"/>
      <c r="B44" s="960"/>
      <c r="C44" s="415">
        <v>0</v>
      </c>
      <c r="D44" s="415">
        <v>0</v>
      </c>
      <c r="E44" s="954">
        <f t="shared" si="7"/>
        <v>0</v>
      </c>
      <c r="F44" s="954"/>
      <c r="G44" s="47" t="s">
        <v>60</v>
      </c>
      <c r="H44" s="223">
        <v>251</v>
      </c>
      <c r="I44" s="136">
        <f>INDEX('[1]111-112-113 ADDITIONAL FUND'!G$1:G$65536,MATCH($A$1,'[1]111-112-113 ADDITIONAL FUND'!A$1:A$65536))</f>
        <v>1173</v>
      </c>
      <c r="J44" s="72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727">
        <f t="shared" si="8"/>
        <v>0</v>
      </c>
      <c r="M45" s="2"/>
      <c r="R45" s="903"/>
      <c r="S45" s="903"/>
      <c r="T45" s="905"/>
      <c r="U45" s="905"/>
      <c r="V45" s="182" t="s">
        <v>60</v>
      </c>
      <c r="W45" s="239">
        <v>252</v>
      </c>
      <c r="X45" s="134">
        <f t="shared" si="9"/>
        <v>3506</v>
      </c>
      <c r="Y45" s="269">
        <f t="shared" si="10"/>
        <v>0</v>
      </c>
    </row>
    <row r="46" spans="1:25" x14ac:dyDescent="0.25">
      <c r="A46" s="960"/>
      <c r="B46" s="960"/>
      <c r="C46" s="415">
        <v>1</v>
      </c>
      <c r="D46" s="415">
        <v>0</v>
      </c>
      <c r="E46" s="954">
        <f t="shared" si="7"/>
        <v>2</v>
      </c>
      <c r="F46" s="954"/>
      <c r="G46" s="47" t="s">
        <v>60</v>
      </c>
      <c r="H46" s="223">
        <v>253</v>
      </c>
      <c r="I46" s="136">
        <f>INDEX('[1]111-112-113 ADDITIONAL FUND'!I$1:I$65536,MATCH($A$1,'[1]111-112-113 ADDITIONAL FUND'!A$1:A$65536))</f>
        <v>7023</v>
      </c>
      <c r="J46" s="727">
        <f t="shared" si="8"/>
        <v>14046</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727">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727">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727">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3.5</v>
      </c>
      <c r="D50" s="585">
        <f>SUM(D41:D49)</f>
        <v>0</v>
      </c>
      <c r="E50" s="956">
        <f>SUM(E41:E49)</f>
        <v>7</v>
      </c>
      <c r="F50" s="956"/>
      <c r="G50" s="912" t="s">
        <v>63</v>
      </c>
      <c r="H50" s="912"/>
      <c r="I50" s="912"/>
      <c r="J50" s="276">
        <f>SUM(J41:J49)</f>
        <v>48526</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101</v>
      </c>
      <c r="U52" s="184" t="s">
        <v>66</v>
      </c>
      <c r="V52" s="185"/>
      <c r="W52" s="186" t="s">
        <v>67</v>
      </c>
      <c r="X52" s="919">
        <f>I53</f>
        <v>207782.75</v>
      </c>
      <c r="Y52" s="919"/>
    </row>
    <row r="53" spans="1:25" ht="16.5" customHeight="1" x14ac:dyDescent="0.25">
      <c r="A53" s="899" t="s">
        <v>65</v>
      </c>
      <c r="B53" s="899"/>
      <c r="C53" s="237"/>
      <c r="D53" s="237"/>
      <c r="E53" s="48">
        <f>E28</f>
        <v>101</v>
      </c>
      <c r="F53" s="49" t="s">
        <v>66</v>
      </c>
      <c r="G53" s="3"/>
      <c r="H53" s="50" t="s">
        <v>67</v>
      </c>
      <c r="I53" s="994">
        <f>'0040'!I53</f>
        <v>207782.75</v>
      </c>
      <c r="J53" s="994"/>
      <c r="M53" s="2"/>
      <c r="R53" s="255"/>
      <c r="S53" s="243"/>
      <c r="T53" s="170"/>
      <c r="U53" s="170"/>
      <c r="V53" s="170"/>
      <c r="W53" s="189" t="s">
        <v>68</v>
      </c>
      <c r="X53" s="920">
        <f>ROUND(T52/X52,6)</f>
        <v>4.86E-4</v>
      </c>
      <c r="Y53" s="920"/>
    </row>
    <row r="54" spans="1:25" ht="22.5" customHeight="1" x14ac:dyDescent="0.25">
      <c r="A54" s="237"/>
      <c r="B54" s="230"/>
      <c r="C54" s="230"/>
      <c r="D54" s="230"/>
      <c r="H54" s="53" t="s">
        <v>68</v>
      </c>
      <c r="I54" s="945">
        <f>IFERROR(ROUND(E53/I53,6),0)</f>
        <v>4.86E-4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T28</f>
        <v>101</v>
      </c>
      <c r="U55" s="184" t="s">
        <v>66</v>
      </c>
      <c r="V55" s="185"/>
      <c r="W55" s="186" t="s">
        <v>71</v>
      </c>
      <c r="X55" s="919">
        <f>I56</f>
        <v>221179.83999999997</v>
      </c>
      <c r="Y55" s="919"/>
    </row>
    <row r="56" spans="1:25" ht="16.5" customHeight="1" x14ac:dyDescent="0.25">
      <c r="A56" s="899" t="s">
        <v>70</v>
      </c>
      <c r="B56" s="899"/>
      <c r="C56" s="237"/>
      <c r="D56" s="237"/>
      <c r="E56" s="48">
        <f>G33</f>
        <v>491.63099999999997</v>
      </c>
      <c r="F56" s="49" t="s">
        <v>66</v>
      </c>
      <c r="G56" s="3"/>
      <c r="H56" s="50" t="s">
        <v>71</v>
      </c>
      <c r="I56" s="994">
        <f>'0040'!I56</f>
        <v>221179.83999999997</v>
      </c>
      <c r="J56" s="994"/>
      <c r="M56" s="2"/>
      <c r="R56" s="255"/>
      <c r="S56" s="170"/>
      <c r="T56" s="170"/>
      <c r="U56" s="170"/>
      <c r="V56" s="170"/>
      <c r="W56" s="189" t="s">
        <v>68</v>
      </c>
      <c r="X56" s="920">
        <f>ROUND(T55/X55,6)</f>
        <v>4.57E-4</v>
      </c>
      <c r="Y56" s="920"/>
    </row>
    <row r="57" spans="1:25" ht="18.75" customHeight="1" x14ac:dyDescent="0.25">
      <c r="A57" s="237"/>
      <c r="H57" s="53" t="s">
        <v>68</v>
      </c>
      <c r="I57" s="945">
        <f>IFERROR(ROUND(E56/I56,6),0)</f>
        <v>2.2230000000000001E-3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101</v>
      </c>
      <c r="U58" s="184" t="s">
        <v>66</v>
      </c>
      <c r="V58" s="918" t="s">
        <v>74</v>
      </c>
      <c r="W58" s="918"/>
      <c r="X58" s="919">
        <f>I59</f>
        <v>178931.75</v>
      </c>
      <c r="Y58" s="919"/>
    </row>
    <row r="59" spans="1:25" ht="18.75" customHeight="1" x14ac:dyDescent="0.25">
      <c r="A59" s="899" t="s">
        <v>73</v>
      </c>
      <c r="B59" s="899"/>
      <c r="C59" s="237"/>
      <c r="D59" s="237"/>
      <c r="E59" s="48">
        <f>E28</f>
        <v>101</v>
      </c>
      <c r="F59" s="49" t="s">
        <v>66</v>
      </c>
      <c r="G59" s="990" t="s">
        <v>74</v>
      </c>
      <c r="H59" s="990"/>
      <c r="I59" s="994">
        <f>'0040'!I59</f>
        <v>178931.75</v>
      </c>
      <c r="J59" s="994"/>
      <c r="M59" s="2"/>
      <c r="R59" s="255"/>
      <c r="S59" s="170"/>
      <c r="T59" s="170"/>
      <c r="U59" s="170"/>
      <c r="V59" s="170"/>
      <c r="W59" s="189" t="s">
        <v>68</v>
      </c>
      <c r="X59" s="920">
        <f>ROUND(T58/X58,6)</f>
        <v>5.6400000000000005E-4</v>
      </c>
      <c r="Y59" s="920"/>
    </row>
    <row r="60" spans="1:25" ht="18" customHeight="1" x14ac:dyDescent="0.25">
      <c r="A60" s="237"/>
      <c r="H60" s="53" t="s">
        <v>68</v>
      </c>
      <c r="I60" s="945">
        <f>IFERROR(ROUND(E59/I59,6),0)</f>
        <v>5.6400000000000005E-4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101</v>
      </c>
      <c r="U61" s="184" t="s">
        <v>66</v>
      </c>
      <c r="V61" s="918" t="s">
        <v>76</v>
      </c>
      <c r="W61" s="918"/>
      <c r="X61" s="919">
        <f>I62</f>
        <v>207463.82</v>
      </c>
      <c r="Y61" s="919"/>
    </row>
    <row r="62" spans="1:25" ht="30.75" customHeight="1" x14ac:dyDescent="0.25">
      <c r="A62" s="899" t="s">
        <v>73</v>
      </c>
      <c r="B62" s="899"/>
      <c r="C62" s="237"/>
      <c r="D62" s="237"/>
      <c r="E62" s="48">
        <f>E28</f>
        <v>101</v>
      </c>
      <c r="F62" s="49" t="s">
        <v>66</v>
      </c>
      <c r="G62" s="990" t="s">
        <v>76</v>
      </c>
      <c r="H62" s="990"/>
      <c r="I62" s="994">
        <f>'0040'!I62</f>
        <v>207463.82</v>
      </c>
      <c r="J62" s="994"/>
      <c r="M62" s="2"/>
      <c r="R62" s="255"/>
      <c r="S62" s="170"/>
      <c r="T62" s="170"/>
      <c r="U62" s="170"/>
      <c r="V62" s="170"/>
      <c r="W62" s="189" t="s">
        <v>68</v>
      </c>
      <c r="X62" s="920">
        <f>ROUND(T61/X61,6)</f>
        <v>4.8700000000000002E-4</v>
      </c>
      <c r="Y62" s="920"/>
    </row>
    <row r="63" spans="1:25" ht="19.5" customHeight="1" x14ac:dyDescent="0.25">
      <c r="A63" s="237"/>
      <c r="H63" s="53" t="s">
        <v>68</v>
      </c>
      <c r="I63" s="945">
        <f>IFERROR(ROUND(E62/I62,6),0)</f>
        <v>4.8700000000000002E-4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101</v>
      </c>
      <c r="U64" s="184" t="s">
        <v>66</v>
      </c>
      <c r="V64" s="918" t="s">
        <v>161</v>
      </c>
      <c r="W64" s="918"/>
      <c r="X64" s="919">
        <f>I65</f>
        <v>178612.82</v>
      </c>
      <c r="Y64" s="919"/>
    </row>
    <row r="65" spans="1:26" ht="49.5" customHeight="1" x14ac:dyDescent="0.25">
      <c r="A65" s="899" t="s">
        <v>73</v>
      </c>
      <c r="B65" s="899"/>
      <c r="C65" s="237"/>
      <c r="D65" s="237"/>
      <c r="E65" s="48">
        <f>E28</f>
        <v>101</v>
      </c>
      <c r="F65" s="49" t="s">
        <v>66</v>
      </c>
      <c r="G65" s="990" t="s">
        <v>78</v>
      </c>
      <c r="H65" s="990"/>
      <c r="I65" s="994">
        <f>'0040'!I65</f>
        <v>178612.82</v>
      </c>
      <c r="J65" s="994"/>
      <c r="M65" s="2"/>
      <c r="R65" s="190"/>
      <c r="S65" s="170"/>
      <c r="T65" s="170"/>
      <c r="U65" s="170"/>
      <c r="V65" s="170"/>
      <c r="W65" s="189" t="s">
        <v>68</v>
      </c>
      <c r="X65" s="920">
        <f>ROUND(T64/X64,6)</f>
        <v>5.6499999999999996E-4</v>
      </c>
      <c r="Y65" s="920"/>
    </row>
    <row r="66" spans="1:26" ht="19.5" customHeight="1" x14ac:dyDescent="0.25">
      <c r="A66" s="237"/>
      <c r="H66" s="53" t="s">
        <v>68</v>
      </c>
      <c r="I66" s="945">
        <f>IFERROR(ROUND(E65/I65,6),0)</f>
        <v>5.6499999999999996E-4</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4.8700000000000002E-4</v>
      </c>
      <c r="Y67" s="271">
        <f>ROUND(V67*X67,2)</f>
        <v>22221.61</v>
      </c>
    </row>
    <row r="68" spans="1:26" ht="30.75" customHeight="1" x14ac:dyDescent="0.25">
      <c r="A68" s="946" t="s">
        <v>79</v>
      </c>
      <c r="B68" s="946"/>
      <c r="C68" s="946"/>
      <c r="D68" s="946"/>
      <c r="E68" s="946"/>
      <c r="F68" s="248" t="s">
        <v>80</v>
      </c>
      <c r="G68" s="277">
        <f>'0040'!G68</f>
        <v>45629593</v>
      </c>
      <c r="H68" s="223" t="s">
        <v>81</v>
      </c>
      <c r="I68" s="41">
        <f>I63</f>
        <v>4.8700000000000002E-4</v>
      </c>
      <c r="J68" s="138">
        <f>ROUND(G68*I68,2)</f>
        <v>22221.61</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4.86E-4</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4.86E-4</v>
      </c>
      <c r="J70" s="138">
        <f>ROUND(G70*I70,2)</f>
        <v>0</v>
      </c>
      <c r="M70" s="2"/>
      <c r="R70" s="862" t="s">
        <v>163</v>
      </c>
      <c r="S70" s="862"/>
      <c r="T70" s="862"/>
      <c r="U70" s="253"/>
      <c r="V70" s="193">
        <f>G71</f>
        <v>18934058</v>
      </c>
      <c r="W70" s="239" t="s">
        <v>81</v>
      </c>
      <c r="X70" s="176">
        <f>X65</f>
        <v>5.6499999999999996E-4</v>
      </c>
      <c r="Y70" s="266">
        <f t="shared" si="11"/>
        <v>10697.74</v>
      </c>
    </row>
    <row r="71" spans="1:26" ht="19.5" customHeight="1" x14ac:dyDescent="0.25">
      <c r="A71" s="898" t="s">
        <v>85</v>
      </c>
      <c r="B71" s="898"/>
      <c r="C71" s="898"/>
      <c r="D71" s="898"/>
      <c r="E71" s="898"/>
      <c r="F71" s="248" t="s">
        <v>86</v>
      </c>
      <c r="G71" s="277">
        <f>'0040'!G71</f>
        <v>18934058</v>
      </c>
      <c r="H71" s="223" t="s">
        <v>81</v>
      </c>
      <c r="I71" s="41">
        <f>I66</f>
        <v>5.6499999999999996E-4</v>
      </c>
      <c r="J71" s="138">
        <f>ROUND(G71*I71,2)</f>
        <v>10697.74</v>
      </c>
      <c r="M71" s="2"/>
      <c r="R71" s="240" t="s">
        <v>164</v>
      </c>
      <c r="S71" s="240"/>
      <c r="T71" s="240"/>
      <c r="U71" s="253"/>
      <c r="V71" s="171">
        <f>G72</f>
        <v>11300012</v>
      </c>
      <c r="W71" s="239" t="s">
        <v>81</v>
      </c>
      <c r="X71" s="176">
        <f>X59</f>
        <v>5.6400000000000005E-4</v>
      </c>
      <c r="Y71" s="266">
        <f t="shared" si="11"/>
        <v>6373.21</v>
      </c>
    </row>
    <row r="72" spans="1:26" ht="19.5" customHeight="1" x14ac:dyDescent="0.25">
      <c r="A72" s="235" t="s">
        <v>87</v>
      </c>
      <c r="B72" s="235"/>
      <c r="C72" s="235"/>
      <c r="D72" s="235"/>
      <c r="E72" s="235"/>
      <c r="F72" s="248" t="s">
        <v>88</v>
      </c>
      <c r="G72" s="277">
        <f>'0040'!G72</f>
        <v>11300012</v>
      </c>
      <c r="H72" s="223" t="s">
        <v>81</v>
      </c>
      <c r="I72" s="41">
        <f>I60</f>
        <v>5.6400000000000005E-4</v>
      </c>
      <c r="J72" s="138">
        <f>ROUND(G72*I72,2)</f>
        <v>6373.21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2.2230000000000001E-3</v>
      </c>
      <c r="J85" s="138">
        <f>ROUND(G85*I85,2)</f>
        <v>597578.59</v>
      </c>
      <c r="K85" s="70"/>
      <c r="L85" s="70"/>
      <c r="M85" s="71"/>
      <c r="N85" s="70"/>
      <c r="O85" s="70"/>
      <c r="P85" s="70"/>
      <c r="Q85" s="70"/>
      <c r="R85" s="862" t="s">
        <v>168</v>
      </c>
      <c r="S85" s="862"/>
      <c r="T85" s="862"/>
      <c r="U85" s="253"/>
      <c r="V85" s="171">
        <f>G85</f>
        <v>268816278</v>
      </c>
      <c r="W85" s="239" t="s">
        <v>81</v>
      </c>
      <c r="X85" s="176">
        <f>X56</f>
        <v>4.57E-4</v>
      </c>
      <c r="Y85" s="266">
        <f t="shared" ref="Y85:Y87" si="12">ROUND(V85*X85,2)</f>
        <v>122849.04</v>
      </c>
    </row>
    <row r="86" spans="1:26" ht="14.25" customHeight="1" x14ac:dyDescent="0.25">
      <c r="A86" s="898" t="s">
        <v>104</v>
      </c>
      <c r="B86" s="898"/>
      <c r="C86" s="898"/>
      <c r="D86" s="898"/>
      <c r="E86" s="898"/>
      <c r="F86" s="248" t="s">
        <v>103</v>
      </c>
      <c r="G86" s="139">
        <v>0</v>
      </c>
      <c r="H86" s="223" t="s">
        <v>81</v>
      </c>
      <c r="I86" s="41">
        <f>I57</f>
        <v>2.2230000000000001E-3</v>
      </c>
      <c r="J86" s="138">
        <f>ROUND(G86*I86,2)</f>
        <v>0</v>
      </c>
      <c r="K86" s="70"/>
      <c r="L86" s="71"/>
      <c r="M86" s="76"/>
      <c r="N86" s="76"/>
      <c r="O86" s="76"/>
      <c r="P86" s="76"/>
      <c r="Q86" s="70"/>
      <c r="R86" s="862" t="s">
        <v>169</v>
      </c>
      <c r="S86" s="862"/>
      <c r="T86" s="862"/>
      <c r="U86" s="253"/>
      <c r="V86" s="203">
        <f>G86</f>
        <v>0</v>
      </c>
      <c r="W86" s="239" t="s">
        <v>81</v>
      </c>
      <c r="X86" s="176">
        <f>X56</f>
        <v>4.57E-4</v>
      </c>
      <c r="Y86" s="266">
        <f t="shared" si="12"/>
        <v>0</v>
      </c>
    </row>
    <row r="87" spans="1:26" ht="18" customHeight="1" x14ac:dyDescent="0.25">
      <c r="A87" s="898" t="s">
        <v>105</v>
      </c>
      <c r="B87" s="898"/>
      <c r="C87" s="898"/>
      <c r="D87" s="898"/>
      <c r="E87" s="898"/>
      <c r="F87" s="248" t="s">
        <v>84</v>
      </c>
      <c r="G87" s="139">
        <v>0</v>
      </c>
      <c r="H87" s="223" t="s">
        <v>81</v>
      </c>
      <c r="I87" s="41">
        <f>I54</f>
        <v>4.86E-4</v>
      </c>
      <c r="J87" s="62">
        <f>ROUND(G87*I87,2)</f>
        <v>0</v>
      </c>
      <c r="K87" s="77"/>
      <c r="L87" s="70"/>
      <c r="M87" s="71"/>
      <c r="N87" s="70"/>
      <c r="O87" s="70"/>
      <c r="P87" s="70"/>
      <c r="Q87" s="70"/>
      <c r="R87" s="240" t="s">
        <v>170</v>
      </c>
      <c r="S87" s="240"/>
      <c r="T87" s="240"/>
      <c r="U87" s="253"/>
      <c r="V87" s="203">
        <f>G87</f>
        <v>0</v>
      </c>
      <c r="W87" s="239" t="s">
        <v>81</v>
      </c>
      <c r="X87" s="176">
        <f>X53</f>
        <v>4.86E-4</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275.23</v>
      </c>
      <c r="C90" s="245"/>
      <c r="D90" s="869">
        <f>I6</f>
        <v>1.0355000000000001</v>
      </c>
      <c r="E90" s="869"/>
      <c r="F90" s="869"/>
      <c r="G90" s="122">
        <f>'[1]Detail 2025-26 FEFP Second'!AB3</f>
        <v>958.42</v>
      </c>
      <c r="H90" s="47" t="s">
        <v>68</v>
      </c>
      <c r="I90" s="141">
        <f>ROUND(B90*D90*G90,2)</f>
        <v>273150.34000000003</v>
      </c>
      <c r="J90" s="81"/>
      <c r="K90" s="70"/>
      <c r="L90" s="70"/>
      <c r="M90" s="71"/>
      <c r="N90" s="70"/>
      <c r="O90" s="70"/>
      <c r="P90" s="70"/>
      <c r="Q90" s="70"/>
      <c r="R90" s="238" t="s">
        <v>110</v>
      </c>
      <c r="S90" s="251">
        <f>X12+X13+X18+X21+X24</f>
        <v>60</v>
      </c>
      <c r="T90" s="924">
        <f>X6</f>
        <v>1.0355000000000001</v>
      </c>
      <c r="U90" s="924"/>
      <c r="V90" s="122">
        <f>G90</f>
        <v>958.42</v>
      </c>
      <c r="W90" s="182" t="s">
        <v>68</v>
      </c>
      <c r="X90" s="272">
        <f>ROUND(S90*T90*V90,2)</f>
        <v>59546.63</v>
      </c>
      <c r="Y90" s="205"/>
    </row>
    <row r="91" spans="1:26" ht="21" customHeight="1" x14ac:dyDescent="0.25">
      <c r="A91" s="82" t="s">
        <v>60</v>
      </c>
      <c r="B91" s="245">
        <f>I14+I15+I19+I22+I25</f>
        <v>216.40099999999998</v>
      </c>
      <c r="C91" s="245"/>
      <c r="D91" s="869">
        <f>I6</f>
        <v>1.0355000000000001</v>
      </c>
      <c r="E91" s="869"/>
      <c r="F91" s="869"/>
      <c r="G91" s="122">
        <f>'[1]Detail 2025-26 FEFP Second'!AC3</f>
        <v>915.09</v>
      </c>
      <c r="H91" s="47" t="s">
        <v>68</v>
      </c>
      <c r="I91" s="140">
        <f>ROUND(B91*D91*G91,2)</f>
        <v>205056.33</v>
      </c>
      <c r="K91" s="70"/>
      <c r="L91" s="70"/>
      <c r="M91" s="71"/>
      <c r="N91" s="70"/>
      <c r="O91" s="70"/>
      <c r="P91" s="70"/>
      <c r="Q91" s="70"/>
      <c r="R91" s="206" t="s">
        <v>60</v>
      </c>
      <c r="S91" s="251">
        <f>X14+X15+X19+X22+X25</f>
        <v>41</v>
      </c>
      <c r="T91" s="924">
        <f>X6</f>
        <v>1.0355000000000001</v>
      </c>
      <c r="U91" s="924"/>
      <c r="V91" s="122">
        <f>G91</f>
        <v>915.09</v>
      </c>
      <c r="W91" s="182" t="s">
        <v>68</v>
      </c>
      <c r="X91" s="272">
        <f>ROUND(S91*T91*V91,2)</f>
        <v>38850.6</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491.63099999999997</v>
      </c>
      <c r="C93" s="109"/>
      <c r="D93" s="109"/>
      <c r="E93" s="939" t="s">
        <v>112</v>
      </c>
      <c r="F93" s="939"/>
      <c r="G93" s="939"/>
      <c r="H93" s="939"/>
      <c r="I93" s="939"/>
      <c r="J93" s="127">
        <f>IF(A1=75,0,I92+I91+I90)</f>
        <v>478206.67000000004</v>
      </c>
      <c r="K93" s="70"/>
      <c r="L93" s="70"/>
      <c r="M93" s="71"/>
      <c r="N93" s="70"/>
      <c r="O93" s="70"/>
      <c r="P93" s="70"/>
      <c r="Q93" s="70"/>
      <c r="R93" s="252" t="s">
        <v>111</v>
      </c>
      <c r="S93" s="210">
        <f>SUM(S90:S92)</f>
        <v>101</v>
      </c>
      <c r="T93" s="925" t="s">
        <v>112</v>
      </c>
      <c r="U93" s="926"/>
      <c r="V93" s="926"/>
      <c r="W93" s="926"/>
      <c r="X93" s="926"/>
      <c r="Y93" s="266">
        <f>IF(R1=75,0,X92+X91+X90)</f>
        <v>98397.23</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5</v>
      </c>
      <c r="U96" s="930"/>
      <c r="V96" s="930"/>
      <c r="W96" s="261" t="s">
        <v>117</v>
      </c>
      <c r="X96" s="212">
        <f>I97</f>
        <v>586</v>
      </c>
      <c r="Y96" s="266">
        <f>ROUND(X96*T96,2)</f>
        <v>2930</v>
      </c>
    </row>
    <row r="97" spans="1:25" ht="17.25" customHeight="1" x14ac:dyDescent="0.25">
      <c r="A97" s="912" t="s">
        <v>116</v>
      </c>
      <c r="B97" s="912"/>
      <c r="C97" s="415">
        <v>5</v>
      </c>
      <c r="D97" s="415">
        <v>0</v>
      </c>
      <c r="E97" s="988">
        <f>(C97+D97)</f>
        <v>5</v>
      </c>
      <c r="F97" s="942"/>
      <c r="G97" s="942"/>
      <c r="H97" s="224" t="s">
        <v>117</v>
      </c>
      <c r="I97" s="130">
        <f>'0040'!I97</f>
        <v>586</v>
      </c>
      <c r="J97" s="138">
        <f>ROUND(I97*E97,2)</f>
        <v>2930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3901637.9699999997</v>
      </c>
      <c r="L107" s="576"/>
      <c r="R107" s="862" t="s">
        <v>125</v>
      </c>
      <c r="S107" s="862"/>
      <c r="T107" s="862"/>
      <c r="U107" s="862"/>
      <c r="V107" s="862"/>
      <c r="W107" s="862"/>
      <c r="X107" s="862"/>
      <c r="Y107" s="723">
        <f>SUM(Y106,Y105,Y97,Y96,Y93,Y86,Y85,Y84,Y70,Y69,Y67,Y33,Y71,Y50,Y87,Y83)</f>
        <v>825364.89</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3703415.32</v>
      </c>
      <c r="R109" s="170" t="s">
        <v>176</v>
      </c>
      <c r="S109" s="170"/>
      <c r="T109" s="170"/>
      <c r="U109" s="170"/>
      <c r="V109" s="170"/>
      <c r="W109" s="170"/>
      <c r="X109" s="170"/>
      <c r="Y109" s="724">
        <f>Y107-Y38</f>
        <v>627142.24</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v>1</v>
      </c>
      <c r="J111" s="137">
        <f>Y109</f>
        <v>627142.24</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627142.24</v>
      </c>
      <c r="J114" s="296">
        <f>ROUND(IF(E28=0,0,IF(E28&gt;250,-(((250/E28)*I114)*IF(H114="H",0.02,0.05)),IF(H114="H",-0.02*I114,-0.05*I114))),2)</f>
        <v>-31357.11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3870280.86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Payments'!R118</f>
        <v>-2241914.5239999997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1628366.3360000001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325673.27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BD71-9CD4-4C3B-9E05-F48F4DB4F35C}">
  <dimension ref="A1:Z207"/>
  <sheetViews>
    <sheetView topLeftCell="A103"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475</v>
      </c>
      <c r="B2" s="102"/>
      <c r="C2" s="102"/>
      <c r="D2" s="102"/>
      <c r="E2" s="100"/>
      <c r="F2" s="100"/>
      <c r="G2" s="100"/>
      <c r="H2" s="100"/>
      <c r="I2" s="100"/>
      <c r="J2" s="100"/>
      <c r="K2" s="6"/>
      <c r="L2" s="6"/>
      <c r="M2" s="6"/>
      <c r="N2" s="6"/>
      <c r="O2" s="6"/>
      <c r="P2" s="6"/>
      <c r="Q2" s="6"/>
      <c r="R2" s="875" t="str">
        <f>Revenue_Estimate_Worksheet_for___________Charter_School</f>
        <v>Revenue Estimate Worksheet: BridgePrep Academy of PB - 4102</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Second'!$C$1:$C$65536,MATCH('4102'!$A$1,'[1]Detail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Second'!$D$1:$D$65536,MATCH('4102'!$A$1,'[1]Detail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44.38</v>
      </c>
      <c r="D12" s="411">
        <v>0</v>
      </c>
      <c r="E12" s="980">
        <f t="shared" ref="E12:E27" si="0">IF($D$28=0,C12*2,C12+D12)</f>
        <v>88.76</v>
      </c>
      <c r="F12" s="980"/>
      <c r="G12" s="981">
        <v>1.1080000000000001</v>
      </c>
      <c r="H12" s="981"/>
      <c r="I12" s="578">
        <f>ROUND(E12*G12,4)</f>
        <v>98.346100000000007</v>
      </c>
      <c r="J12" s="579">
        <f t="shared" ref="J12:J27" si="1">ROUND(ROUND(ROUND(I12*$E$6,4)*($I$6),2)*(MAX($I$7,1)),2)</f>
        <v>547131.54</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4</v>
      </c>
      <c r="D13" s="415">
        <v>0</v>
      </c>
      <c r="E13" s="967">
        <f t="shared" si="0"/>
        <v>8</v>
      </c>
      <c r="F13" s="967"/>
      <c r="G13" s="968">
        <v>1.1080000000000001</v>
      </c>
      <c r="H13" s="968"/>
      <c r="I13" s="578">
        <f t="shared" ref="I13:I27" si="2">ROUND(E13*G13,4)</f>
        <v>8.8640000000000008</v>
      </c>
      <c r="J13" s="579">
        <f t="shared" si="1"/>
        <v>49313.33</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24.67</v>
      </c>
      <c r="D14" s="415">
        <v>0</v>
      </c>
      <c r="E14" s="967">
        <f t="shared" si="0"/>
        <v>49.34</v>
      </c>
      <c r="F14" s="967"/>
      <c r="G14" s="968">
        <v>1</v>
      </c>
      <c r="H14" s="968"/>
      <c r="I14" s="578">
        <f t="shared" si="2"/>
        <v>49.34</v>
      </c>
      <c r="J14" s="579">
        <f>ROUND(ROUND(ROUND(I14*$E$6,4)*($I$6),2)*(MAX($I$7,1)),2)</f>
        <v>274494.57</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5.31</v>
      </c>
      <c r="D15" s="415">
        <v>0</v>
      </c>
      <c r="E15" s="967">
        <f t="shared" si="0"/>
        <v>10.62</v>
      </c>
      <c r="F15" s="967"/>
      <c r="G15" s="968">
        <v>1</v>
      </c>
      <c r="H15" s="968"/>
      <c r="I15" s="578">
        <f t="shared" si="2"/>
        <v>10.62</v>
      </c>
      <c r="J15" s="579">
        <f t="shared" si="1"/>
        <v>59082.54</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c r="D16" s="415">
        <v>0</v>
      </c>
      <c r="E16" s="967">
        <f t="shared" si="0"/>
        <v>0</v>
      </c>
      <c r="F16" s="967"/>
      <c r="G16" s="968">
        <v>0.97199999999999998</v>
      </c>
      <c r="H16" s="968"/>
      <c r="I16" s="578">
        <f t="shared" si="2"/>
        <v>0</v>
      </c>
      <c r="J16" s="579">
        <f t="shared" si="1"/>
        <v>0</v>
      </c>
      <c r="M16" s="2"/>
      <c r="R16" s="860" t="s">
        <v>24</v>
      </c>
      <c r="S16" s="860"/>
      <c r="T16" s="891">
        <f t="shared" si="3"/>
        <v>0</v>
      </c>
      <c r="U16" s="891"/>
      <c r="V16" s="896">
        <v>1</v>
      </c>
      <c r="W16" s="896"/>
      <c r="X16" s="156">
        <f t="shared" si="4"/>
        <v>0</v>
      </c>
      <c r="Y16" s="266">
        <f t="shared" si="6"/>
        <v>0</v>
      </c>
    </row>
    <row r="17" spans="1:25" x14ac:dyDescent="0.25">
      <c r="A17" s="861" t="s">
        <v>25</v>
      </c>
      <c r="B17" s="861"/>
      <c r="C17" s="415"/>
      <c r="D17" s="415">
        <v>0</v>
      </c>
      <c r="E17" s="967">
        <f t="shared" si="0"/>
        <v>0</v>
      </c>
      <c r="F17" s="967"/>
      <c r="G17" s="968">
        <v>0.97199999999999998</v>
      </c>
      <c r="H17" s="968"/>
      <c r="I17" s="578">
        <f t="shared" si="2"/>
        <v>0</v>
      </c>
      <c r="J17" s="579">
        <f t="shared" si="1"/>
        <v>0</v>
      </c>
      <c r="M17" s="2"/>
      <c r="R17" s="860" t="s">
        <v>25</v>
      </c>
      <c r="S17" s="860"/>
      <c r="T17" s="891">
        <f t="shared" si="3"/>
        <v>0</v>
      </c>
      <c r="U17" s="891"/>
      <c r="V17" s="896">
        <v>1</v>
      </c>
      <c r="W17" s="896"/>
      <c r="X17" s="156">
        <f t="shared" si="4"/>
        <v>0</v>
      </c>
      <c r="Y17" s="266">
        <f t="shared" si="6"/>
        <v>0</v>
      </c>
    </row>
    <row r="18" spans="1:25" x14ac:dyDescent="0.25">
      <c r="A18" s="861" t="s">
        <v>26</v>
      </c>
      <c r="B18" s="861"/>
      <c r="C18" s="415"/>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12.120000000000001</v>
      </c>
      <c r="D24" s="415">
        <v>0</v>
      </c>
      <c r="E24" s="967">
        <f t="shared" si="0"/>
        <v>24.240000000000002</v>
      </c>
      <c r="F24" s="967"/>
      <c r="G24" s="968">
        <v>1.165</v>
      </c>
      <c r="H24" s="968"/>
      <c r="I24" s="578">
        <f t="shared" si="2"/>
        <v>28.239599999999999</v>
      </c>
      <c r="J24" s="579">
        <f t="shared" si="1"/>
        <v>157106.14000000001</v>
      </c>
      <c r="M24" s="2"/>
      <c r="R24" s="860" t="s">
        <v>32</v>
      </c>
      <c r="S24" s="860"/>
      <c r="T24" s="891">
        <f t="shared" si="3"/>
        <v>0</v>
      </c>
      <c r="U24" s="891"/>
      <c r="V24" s="896">
        <v>1</v>
      </c>
      <c r="W24" s="896"/>
      <c r="X24" s="156">
        <f t="shared" si="4"/>
        <v>0</v>
      </c>
      <c r="Y24" s="266">
        <f t="shared" si="6"/>
        <v>0</v>
      </c>
    </row>
    <row r="25" spans="1:25" x14ac:dyDescent="0.25">
      <c r="A25" s="861" t="s">
        <v>33</v>
      </c>
      <c r="B25" s="861"/>
      <c r="C25" s="415">
        <v>1.23</v>
      </c>
      <c r="D25" s="415">
        <v>0</v>
      </c>
      <c r="E25" s="967">
        <f t="shared" si="0"/>
        <v>2.46</v>
      </c>
      <c r="F25" s="967"/>
      <c r="G25" s="968">
        <v>1.165</v>
      </c>
      <c r="H25" s="968"/>
      <c r="I25" s="578">
        <f t="shared" si="2"/>
        <v>2.8658999999999999</v>
      </c>
      <c r="J25" s="579">
        <f t="shared" si="1"/>
        <v>15943.94</v>
      </c>
      <c r="M25" s="2"/>
      <c r="R25" s="860" t="s">
        <v>33</v>
      </c>
      <c r="S25" s="860"/>
      <c r="T25" s="891">
        <f t="shared" si="3"/>
        <v>0</v>
      </c>
      <c r="U25" s="891"/>
      <c r="V25" s="896">
        <v>1</v>
      </c>
      <c r="W25" s="896"/>
      <c r="X25" s="156">
        <f t="shared" si="4"/>
        <v>0</v>
      </c>
      <c r="Y25" s="266">
        <f t="shared" si="6"/>
        <v>0</v>
      </c>
    </row>
    <row r="26" spans="1:25" x14ac:dyDescent="0.25">
      <c r="A26" s="861" t="s">
        <v>34</v>
      </c>
      <c r="B26" s="861"/>
      <c r="C26" s="415"/>
      <c r="D26" s="415">
        <v>0</v>
      </c>
      <c r="E26" s="967">
        <f t="shared" si="0"/>
        <v>0</v>
      </c>
      <c r="F26" s="967"/>
      <c r="G26" s="968">
        <v>1.165</v>
      </c>
      <c r="H26" s="968"/>
      <c r="I26" s="578">
        <f t="shared" si="2"/>
        <v>0</v>
      </c>
      <c r="J26" s="579">
        <f t="shared" si="1"/>
        <v>0</v>
      </c>
      <c r="M26" s="2"/>
      <c r="R26" s="860" t="s">
        <v>34</v>
      </c>
      <c r="S26" s="860"/>
      <c r="T26" s="891">
        <f t="shared" si="3"/>
        <v>0</v>
      </c>
      <c r="U26" s="891"/>
      <c r="V26" s="896">
        <v>1</v>
      </c>
      <c r="W26" s="896"/>
      <c r="X26" s="156">
        <f t="shared" si="4"/>
        <v>0</v>
      </c>
      <c r="Y26" s="266">
        <f t="shared" si="6"/>
        <v>0</v>
      </c>
    </row>
    <row r="27" spans="1:25" x14ac:dyDescent="0.25">
      <c r="A27" s="866" t="s">
        <v>35</v>
      </c>
      <c r="B27" s="866"/>
      <c r="C27" s="416">
        <v>0</v>
      </c>
      <c r="D27" s="416">
        <v>0</v>
      </c>
      <c r="E27" s="963">
        <f t="shared" si="0"/>
        <v>0</v>
      </c>
      <c r="F27" s="963"/>
      <c r="G27" s="964">
        <v>1.081</v>
      </c>
      <c r="H27" s="964"/>
      <c r="I27" s="22">
        <f t="shared" si="2"/>
        <v>0</v>
      </c>
      <c r="J27" s="127">
        <f t="shared" si="1"/>
        <v>0</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26">
        <f>SUM(C12:C27)</f>
        <v>91.710000000000022</v>
      </c>
      <c r="D28" s="126">
        <f>SUM(D12:D27)</f>
        <v>0</v>
      </c>
      <c r="E28" s="966">
        <f>SUM(E12:E27)</f>
        <v>183.42000000000004</v>
      </c>
      <c r="F28" s="966"/>
      <c r="G28" s="961"/>
      <c r="H28" s="961"/>
      <c r="I28" s="23">
        <f>SUM(I12:I27)</f>
        <v>198.27560000000003</v>
      </c>
      <c r="J28" s="127">
        <f>SUM(J12:J27)</f>
        <v>1103072.06</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198.27560000000003</v>
      </c>
      <c r="H33" s="961" t="s">
        <v>45</v>
      </c>
      <c r="I33" s="961"/>
      <c r="J33" s="32">
        <f>SUM(J32,J28)</f>
        <v>1103072.06</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453">
        <v>845581.24</v>
      </c>
      <c r="H36" s="223" t="s">
        <v>49</v>
      </c>
      <c r="I36" s="38">
        <v>6.6699999999999995E-2</v>
      </c>
      <c r="J36" s="131">
        <f>ROUND(G36*I36,2)</f>
        <v>56400.27</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453">
        <v>845581.24</v>
      </c>
      <c r="H37" s="223" t="s">
        <v>49</v>
      </c>
      <c r="I37" s="38">
        <v>5.4000000000000003E-3</v>
      </c>
      <c r="J37" s="131">
        <f>ROUND(G37*I37,2)</f>
        <v>4566.1400000000003</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60966.409999999996</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2.5</v>
      </c>
      <c r="D41" s="415">
        <v>0</v>
      </c>
      <c r="E41" s="954">
        <f t="shared" ref="E41:E49" si="7">IF($D$50=0,C41*2,C41+D41)</f>
        <v>5</v>
      </c>
      <c r="F41" s="954"/>
      <c r="G41" s="223" t="s">
        <v>59</v>
      </c>
      <c r="H41" s="223">
        <v>251</v>
      </c>
      <c r="I41" s="136">
        <f>INDEX('[1]111-112-113 ADDITIONAL FUND'!D$1:D$65536,MATCH($A$1,'[1]111-112-113 ADDITIONAL FUND'!A$1:A$65536))</f>
        <v>1047</v>
      </c>
      <c r="J41" s="46">
        <f t="shared" ref="J41:J49" si="8">ROUND(E41*I41,2)</f>
        <v>5235</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1.5</v>
      </c>
      <c r="D42" s="415">
        <v>0</v>
      </c>
      <c r="E42" s="954">
        <f t="shared" si="7"/>
        <v>3</v>
      </c>
      <c r="F42" s="954"/>
      <c r="G42" s="223" t="s">
        <v>59</v>
      </c>
      <c r="H42" s="223">
        <v>252</v>
      </c>
      <c r="I42" s="136">
        <f>INDEX('[1]111-112-113 ADDITIONAL FUND'!E$1:E$65536,MATCH($A$1,'[1]111-112-113 ADDITIONAL FUND'!A$1:A$65536))</f>
        <v>3380</v>
      </c>
      <c r="J42" s="46">
        <f t="shared" si="8"/>
        <v>10140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x14ac:dyDescent="0.25">
      <c r="A44" s="960"/>
      <c r="B44" s="960"/>
      <c r="C44" s="415">
        <v>3.65</v>
      </c>
      <c r="D44" s="415">
        <v>0</v>
      </c>
      <c r="E44" s="954">
        <f t="shared" si="7"/>
        <v>7.3</v>
      </c>
      <c r="F44" s="954"/>
      <c r="G44" s="47" t="s">
        <v>60</v>
      </c>
      <c r="H44" s="223">
        <v>251</v>
      </c>
      <c r="I44" s="136">
        <f>INDEX('[1]111-112-113 ADDITIONAL FUND'!G$1:G$65536,MATCH($A$1,'[1]111-112-113 ADDITIONAL FUND'!A$1:A$65536))</f>
        <v>1173</v>
      </c>
      <c r="J44" s="137">
        <f t="shared" si="8"/>
        <v>8562.9</v>
      </c>
      <c r="L44" s="3"/>
      <c r="M44" s="2"/>
      <c r="Q44" s="4"/>
      <c r="R44" s="903"/>
      <c r="S44" s="903"/>
      <c r="T44" s="905"/>
      <c r="U44" s="905"/>
      <c r="V44" s="182" t="s">
        <v>60</v>
      </c>
      <c r="W44" s="239">
        <v>251</v>
      </c>
      <c r="X44" s="134">
        <f t="shared" si="9"/>
        <v>1173</v>
      </c>
      <c r="Y44" s="269">
        <f t="shared" si="10"/>
        <v>0</v>
      </c>
    </row>
    <row r="45" spans="1:25" x14ac:dyDescent="0.25">
      <c r="A45" s="960"/>
      <c r="B45" s="960"/>
      <c r="C45" s="415">
        <v>1.66</v>
      </c>
      <c r="D45" s="415">
        <v>0</v>
      </c>
      <c r="E45" s="954">
        <f t="shared" si="7"/>
        <v>3.32</v>
      </c>
      <c r="F45" s="954"/>
      <c r="G45" s="47" t="s">
        <v>60</v>
      </c>
      <c r="H45" s="223">
        <v>252</v>
      </c>
      <c r="I45" s="136">
        <f>INDEX('[1]111-112-113 ADDITIONAL FUND'!H$1:H$65536,MATCH($A$1,'[1]111-112-113 ADDITIONAL FUND'!A$1:A$65536))</f>
        <v>3506</v>
      </c>
      <c r="J45" s="46">
        <f t="shared" si="8"/>
        <v>11639.92</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0</v>
      </c>
      <c r="D47" s="415">
        <v>0</v>
      </c>
      <c r="E47" s="954">
        <f t="shared" si="7"/>
        <v>0</v>
      </c>
      <c r="F47" s="954"/>
      <c r="G47" s="47" t="s">
        <v>61</v>
      </c>
      <c r="H47" s="223">
        <v>251</v>
      </c>
      <c r="I47" s="136">
        <f>INDEX('[1]111-112-113 ADDITIONAL FUND'!J$1:J$65536,MATCH($A$1,'[1]111-112-113 ADDITIONAL FUND'!A$1:A$65536))</f>
        <v>835</v>
      </c>
      <c r="J47" s="46">
        <f t="shared" si="8"/>
        <v>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9.31</v>
      </c>
      <c r="D50" s="585">
        <f>SUM(D41:D49)</f>
        <v>0</v>
      </c>
      <c r="E50" s="956">
        <f>SUM(E41:E49)</f>
        <v>18.62</v>
      </c>
      <c r="F50" s="956"/>
      <c r="G50" s="912" t="s">
        <v>63</v>
      </c>
      <c r="H50" s="912"/>
      <c r="I50" s="912"/>
      <c r="J50" s="276">
        <f>SUM(J41:J49)</f>
        <v>35577.82</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183.42000000000004</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8.83E-4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198.27560000000003</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8.9599999999999999E-4</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183.42000000000004</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1.0250000000000001E-3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183.42000000000004</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8.8400000000000002E-4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183.42000000000004</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1.0269999999999999E-3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8.8400000000000002E-4</v>
      </c>
      <c r="J68" s="138">
        <f>ROUND(G68*I68,2)</f>
        <v>40336.559999999998</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8.83E-4</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1.0269999999999999E-3</v>
      </c>
      <c r="J71" s="138">
        <f>ROUND(G71*I71,2)</f>
        <v>19445.28</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1.0250000000000001E-3</v>
      </c>
      <c r="J72" s="138">
        <f>ROUND(G72*I72,2)</f>
        <v>11582.51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0</v>
      </c>
      <c r="J84" s="62">
        <f>ROUND(G84*I84,2)</f>
        <v>0</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8.9599999999999999E-4</v>
      </c>
      <c r="J85" s="138">
        <f>ROUND(G85*I85,2)</f>
        <v>240859.39</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8.9599999999999999E-4</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8.83E-4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135.44970000000001</v>
      </c>
      <c r="C90" s="245"/>
      <c r="D90" s="869">
        <f>I6</f>
        <v>1.0355000000000001</v>
      </c>
      <c r="E90" s="869"/>
      <c r="F90" s="869"/>
      <c r="G90" s="122">
        <f>'[1]Detail 2025-26 FEFP Second'!AB3</f>
        <v>958.42</v>
      </c>
      <c r="H90" s="47" t="s">
        <v>68</v>
      </c>
      <c r="I90" s="141">
        <f>ROUND(B90*D90*G90,2)</f>
        <v>134426.23000000001</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62.825900000000004</v>
      </c>
      <c r="C91" s="245"/>
      <c r="D91" s="869">
        <f>I6</f>
        <v>1.0355000000000001</v>
      </c>
      <c r="E91" s="869"/>
      <c r="F91" s="869"/>
      <c r="G91" s="122">
        <f>'[1]Detail 2025-26 FEFP Second'!AC3</f>
        <v>915.09</v>
      </c>
      <c r="H91" s="47" t="s">
        <v>68</v>
      </c>
      <c r="I91" s="140">
        <f>ROUND(B91*D91*G91,2)</f>
        <v>59532.3</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0</v>
      </c>
      <c r="C92" s="109"/>
      <c r="D92" s="869">
        <f>I6</f>
        <v>1.0355000000000001</v>
      </c>
      <c r="E92" s="869"/>
      <c r="F92" s="869"/>
      <c r="G92" s="122">
        <f>'[1]Detail 2025-26 FEFP Second'!AD3</f>
        <v>917.3</v>
      </c>
      <c r="H92" s="47" t="s">
        <v>68</v>
      </c>
      <c r="I92" s="575">
        <f>ROUND(B92*D92*G92,2)</f>
        <v>0</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198.2756</v>
      </c>
      <c r="C93" s="109"/>
      <c r="D93" s="109"/>
      <c r="E93" s="939" t="s">
        <v>112</v>
      </c>
      <c r="F93" s="939"/>
      <c r="G93" s="939"/>
      <c r="H93" s="939"/>
      <c r="I93" s="939"/>
      <c r="J93" s="127">
        <f>IF(A1=75,0,I92+I91+I90)</f>
        <v>193958.53000000003</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415">
        <v>0</v>
      </c>
      <c r="D97" s="415">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1644832.1500000001</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1583865.7400000002</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v>0</v>
      </c>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1583865.7400000002</v>
      </c>
      <c r="J114" s="296">
        <f>ROUND(IF(E28=0,0,IF(E28&gt;250,-(((250/E28)*I114)*IF(H114="H",0.02,0.05)),IF(H114="H",-0.02*I114,-0.05*I114))),2)</f>
        <v>-79193.289999999994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1565638.86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Payments'!R119</f>
        <v>-842480.2300000001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723158.63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144631.73000000001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2FD9-020C-4DC7-8DE3-10CC80BC2BB8}">
  <dimension ref="A1:Z207"/>
  <sheetViews>
    <sheetView topLeftCell="A118"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476</v>
      </c>
      <c r="B2" s="102"/>
      <c r="C2" s="102"/>
      <c r="D2" s="102"/>
      <c r="E2" s="100"/>
      <c r="F2" s="100"/>
      <c r="G2" s="100"/>
      <c r="H2" s="100"/>
      <c r="I2" s="100"/>
      <c r="J2" s="100"/>
      <c r="K2" s="6"/>
      <c r="L2" s="6"/>
      <c r="M2" s="6"/>
      <c r="N2" s="6"/>
      <c r="O2" s="6"/>
      <c r="P2" s="6"/>
      <c r="Q2" s="6"/>
      <c r="R2" s="875" t="str">
        <f>Revenue_Estimate_Worksheet_for___________Charter_School</f>
        <v>Revenue Estimate Worksheet: Sports Leadership &amp; Management (SLAM) MHS (Boca) - 4103</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Second'!$C$1:$C$65536,MATCH('4103'!$A$1,'[1]Detail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Second'!$D$1:$D$65536,MATCH('4103'!$A$1,'[1]Detail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150.22999999999999</v>
      </c>
      <c r="D14" s="415">
        <v>0</v>
      </c>
      <c r="E14" s="967">
        <f t="shared" si="0"/>
        <v>300.45999999999998</v>
      </c>
      <c r="F14" s="967"/>
      <c r="G14" s="968">
        <v>1</v>
      </c>
      <c r="H14" s="968"/>
      <c r="I14" s="578">
        <f t="shared" si="2"/>
        <v>300.45999999999998</v>
      </c>
      <c r="J14" s="579">
        <f>ROUND(ROUND(ROUND(I14*$E$6,4)*($I$6),2)*(MAX($I$7,1)),2)</f>
        <v>1671557.32</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24.54</v>
      </c>
      <c r="D15" s="415">
        <v>0</v>
      </c>
      <c r="E15" s="967">
        <f t="shared" si="0"/>
        <v>49.08</v>
      </c>
      <c r="F15" s="967"/>
      <c r="G15" s="968">
        <v>1</v>
      </c>
      <c r="H15" s="968"/>
      <c r="I15" s="578">
        <f t="shared" si="2"/>
        <v>49.08</v>
      </c>
      <c r="J15" s="579">
        <f t="shared" si="1"/>
        <v>273048.09999999998</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181.55</v>
      </c>
      <c r="D16" s="415">
        <v>0</v>
      </c>
      <c r="E16" s="967">
        <f t="shared" si="0"/>
        <v>363.1</v>
      </c>
      <c r="F16" s="967"/>
      <c r="G16" s="968">
        <v>0.97199999999999998</v>
      </c>
      <c r="H16" s="968"/>
      <c r="I16" s="578">
        <f t="shared" si="2"/>
        <v>352.9332</v>
      </c>
      <c r="J16" s="579">
        <f t="shared" si="1"/>
        <v>1963482.91</v>
      </c>
      <c r="M16" s="2"/>
      <c r="R16" s="860" t="s">
        <v>24</v>
      </c>
      <c r="S16" s="860"/>
      <c r="T16" s="891">
        <f t="shared" si="3"/>
        <v>0</v>
      </c>
      <c r="U16" s="891"/>
      <c r="V16" s="896">
        <v>1</v>
      </c>
      <c r="W16" s="896"/>
      <c r="X16" s="156">
        <f t="shared" si="4"/>
        <v>0</v>
      </c>
      <c r="Y16" s="266">
        <f t="shared" si="6"/>
        <v>0</v>
      </c>
    </row>
    <row r="17" spans="1:25" x14ac:dyDescent="0.25">
      <c r="A17" s="861" t="s">
        <v>25</v>
      </c>
      <c r="B17" s="861"/>
      <c r="C17" s="415">
        <v>31.36</v>
      </c>
      <c r="D17" s="415">
        <v>0</v>
      </c>
      <c r="E17" s="967">
        <f t="shared" si="0"/>
        <v>62.72</v>
      </c>
      <c r="F17" s="967"/>
      <c r="G17" s="968">
        <v>0.97199999999999998</v>
      </c>
      <c r="H17" s="968"/>
      <c r="I17" s="578">
        <f t="shared" si="2"/>
        <v>60.963799999999999</v>
      </c>
      <c r="J17" s="579">
        <f t="shared" si="1"/>
        <v>339161.57</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28.340000000000003</v>
      </c>
      <c r="D25" s="415">
        <v>0</v>
      </c>
      <c r="E25" s="967">
        <f t="shared" si="0"/>
        <v>56.680000000000007</v>
      </c>
      <c r="F25" s="967"/>
      <c r="G25" s="968">
        <v>1.165</v>
      </c>
      <c r="H25" s="968"/>
      <c r="I25" s="578">
        <f t="shared" si="2"/>
        <v>66.032200000000003</v>
      </c>
      <c r="J25" s="579">
        <f t="shared" si="1"/>
        <v>367358.74</v>
      </c>
      <c r="M25" s="2"/>
      <c r="R25" s="860" t="s">
        <v>33</v>
      </c>
      <c r="S25" s="860"/>
      <c r="T25" s="891">
        <f t="shared" si="3"/>
        <v>0</v>
      </c>
      <c r="U25" s="891"/>
      <c r="V25" s="896">
        <v>1</v>
      </c>
      <c r="W25" s="896"/>
      <c r="X25" s="156">
        <f t="shared" si="4"/>
        <v>0</v>
      </c>
      <c r="Y25" s="266">
        <f t="shared" si="6"/>
        <v>0</v>
      </c>
    </row>
    <row r="26" spans="1:25" x14ac:dyDescent="0.25">
      <c r="A26" s="861" t="s">
        <v>34</v>
      </c>
      <c r="B26" s="861"/>
      <c r="C26" s="415">
        <v>44.14</v>
      </c>
      <c r="D26" s="415">
        <v>0</v>
      </c>
      <c r="E26" s="967">
        <f t="shared" si="0"/>
        <v>88.28</v>
      </c>
      <c r="F26" s="967"/>
      <c r="G26" s="968">
        <v>1.165</v>
      </c>
      <c r="H26" s="968"/>
      <c r="I26" s="578">
        <f t="shared" si="2"/>
        <v>102.8462</v>
      </c>
      <c r="J26" s="579">
        <f t="shared" si="1"/>
        <v>572167.06999999995</v>
      </c>
      <c r="M26" s="2"/>
      <c r="R26" s="860" t="s">
        <v>34</v>
      </c>
      <c r="S26" s="860"/>
      <c r="T26" s="891">
        <f t="shared" si="3"/>
        <v>0</v>
      </c>
      <c r="U26" s="891"/>
      <c r="V26" s="896">
        <v>1</v>
      </c>
      <c r="W26" s="896"/>
      <c r="X26" s="156">
        <f t="shared" si="4"/>
        <v>0</v>
      </c>
      <c r="Y26" s="266">
        <f t="shared" si="6"/>
        <v>0</v>
      </c>
    </row>
    <row r="27" spans="1:25" x14ac:dyDescent="0.25">
      <c r="A27" s="866" t="s">
        <v>35</v>
      </c>
      <c r="B27" s="866"/>
      <c r="C27" s="416">
        <v>21.86</v>
      </c>
      <c r="D27" s="416">
        <v>0</v>
      </c>
      <c r="E27" s="963">
        <f t="shared" si="0"/>
        <v>43.72</v>
      </c>
      <c r="F27" s="963"/>
      <c r="G27" s="964">
        <v>1.081</v>
      </c>
      <c r="H27" s="964"/>
      <c r="I27" s="22">
        <f t="shared" si="2"/>
        <v>47.261299999999999</v>
      </c>
      <c r="J27" s="127">
        <f t="shared" si="1"/>
        <v>262930.08</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705">
        <f>SUM(C12:C27)</f>
        <v>482.02</v>
      </c>
      <c r="D28" s="126">
        <f>SUM(D12:D27)</f>
        <v>0</v>
      </c>
      <c r="E28" s="966">
        <f>SUM(E12:E27)</f>
        <v>964.04</v>
      </c>
      <c r="F28" s="966"/>
      <c r="G28" s="961"/>
      <c r="H28" s="961"/>
      <c r="I28" s="23">
        <f>SUM(I12:I27)</f>
        <v>979.57669999999985</v>
      </c>
      <c r="J28" s="127">
        <f>SUM(J12:J27)</f>
        <v>5449705.790000001</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979.57669999999985</v>
      </c>
      <c r="H33" s="961" t="s">
        <v>45</v>
      </c>
      <c r="I33" s="961"/>
      <c r="J33" s="32">
        <f>SUM(J32,J28)</f>
        <v>5449705.790000001</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453">
        <v>5509576.6600000001</v>
      </c>
      <c r="H36" s="223" t="s">
        <v>49</v>
      </c>
      <c r="I36" s="38">
        <v>6.6699999999999995E-2</v>
      </c>
      <c r="J36" s="131">
        <f>ROUND(G36*I36,2)</f>
        <v>367488.76</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453">
        <v>5509576.6600000001</v>
      </c>
      <c r="H37" s="223" t="s">
        <v>49</v>
      </c>
      <c r="I37" s="38">
        <v>5.4000000000000003E-3</v>
      </c>
      <c r="J37" s="131">
        <f>ROUND(G37*I37,2)</f>
        <v>29751.71</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397240.47000000003</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x14ac:dyDescent="0.25">
      <c r="A44" s="960"/>
      <c r="B44" s="960"/>
      <c r="C44" s="415">
        <v>17.03</v>
      </c>
      <c r="D44" s="415">
        <v>0</v>
      </c>
      <c r="E44" s="954">
        <f t="shared" si="7"/>
        <v>34.06</v>
      </c>
      <c r="F44" s="954"/>
      <c r="G44" s="47" t="s">
        <v>60</v>
      </c>
      <c r="H44" s="223">
        <v>251</v>
      </c>
      <c r="I44" s="136">
        <f>INDEX('[1]111-112-113 ADDITIONAL FUND'!G$1:G$65536,MATCH($A$1,'[1]111-112-113 ADDITIONAL FUND'!A$1:A$65536))</f>
        <v>1173</v>
      </c>
      <c r="J44" s="137">
        <f t="shared" si="8"/>
        <v>39952.379999999997</v>
      </c>
      <c r="L44" s="3"/>
      <c r="M44" s="2"/>
      <c r="Q44" s="4"/>
      <c r="R44" s="903"/>
      <c r="S44" s="903"/>
      <c r="T44" s="905"/>
      <c r="U44" s="905"/>
      <c r="V44" s="182" t="s">
        <v>60</v>
      </c>
      <c r="W44" s="239">
        <v>251</v>
      </c>
      <c r="X44" s="134">
        <f t="shared" si="9"/>
        <v>1173</v>
      </c>
      <c r="Y44" s="269">
        <f t="shared" si="10"/>
        <v>0</v>
      </c>
    </row>
    <row r="45" spans="1:25" x14ac:dyDescent="0.25">
      <c r="A45" s="960"/>
      <c r="B45" s="960"/>
      <c r="C45" s="415">
        <v>7.51</v>
      </c>
      <c r="D45" s="415">
        <v>0</v>
      </c>
      <c r="E45" s="954">
        <f t="shared" si="7"/>
        <v>15.02</v>
      </c>
      <c r="F45" s="954"/>
      <c r="G45" s="47" t="s">
        <v>60</v>
      </c>
      <c r="H45" s="223">
        <v>252</v>
      </c>
      <c r="I45" s="136">
        <f>INDEX('[1]111-112-113 ADDITIONAL FUND'!H$1:H$65536,MATCH($A$1,'[1]111-112-113 ADDITIONAL FUND'!A$1:A$65536))</f>
        <v>3506</v>
      </c>
      <c r="J45" s="46">
        <f t="shared" si="8"/>
        <v>52660.12</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22.37</v>
      </c>
      <c r="D47" s="415">
        <v>0</v>
      </c>
      <c r="E47" s="954">
        <f t="shared" si="7"/>
        <v>44.74</v>
      </c>
      <c r="F47" s="954"/>
      <c r="G47" s="47" t="s">
        <v>61</v>
      </c>
      <c r="H47" s="223">
        <v>251</v>
      </c>
      <c r="I47" s="136">
        <f>INDEX('[1]111-112-113 ADDITIONAL FUND'!J$1:J$65536,MATCH($A$1,'[1]111-112-113 ADDITIONAL FUND'!A$1:A$65536))</f>
        <v>835</v>
      </c>
      <c r="J47" s="46">
        <f t="shared" si="8"/>
        <v>37357.9</v>
      </c>
      <c r="M47" s="2"/>
      <c r="R47" s="903"/>
      <c r="S47" s="903"/>
      <c r="T47" s="905"/>
      <c r="U47" s="905"/>
      <c r="V47" s="182" t="s">
        <v>61</v>
      </c>
      <c r="W47" s="239">
        <v>251</v>
      </c>
      <c r="X47" s="134">
        <f t="shared" si="9"/>
        <v>835</v>
      </c>
      <c r="Y47" s="269">
        <f t="shared" si="10"/>
        <v>0</v>
      </c>
    </row>
    <row r="48" spans="1:25" ht="15.75" customHeight="1" x14ac:dyDescent="0.25">
      <c r="A48" s="960"/>
      <c r="B48" s="960"/>
      <c r="C48" s="415">
        <v>8.99</v>
      </c>
      <c r="D48" s="415">
        <v>0</v>
      </c>
      <c r="E48" s="954">
        <f t="shared" si="7"/>
        <v>17.98</v>
      </c>
      <c r="F48" s="954"/>
      <c r="G48" s="47" t="s">
        <v>61</v>
      </c>
      <c r="H48" s="223">
        <v>252</v>
      </c>
      <c r="I48" s="136">
        <f>INDEX('[1]111-112-113 ADDITIONAL FUND'!K$1:K$65536,MATCH($A$1,'[1]111-112-113 ADDITIONAL FUND'!A$1:A$65536))</f>
        <v>3168</v>
      </c>
      <c r="J48" s="46">
        <f t="shared" si="8"/>
        <v>56960.639999999999</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55.9</v>
      </c>
      <c r="D50" s="585">
        <f>SUM(D41:D49)</f>
        <v>0</v>
      </c>
      <c r="E50" s="956">
        <f>SUM(E41:E49)</f>
        <v>111.8</v>
      </c>
      <c r="F50" s="956"/>
      <c r="G50" s="912" t="s">
        <v>63</v>
      </c>
      <c r="H50" s="912"/>
      <c r="I50" s="912"/>
      <c r="J50" s="276">
        <f>SUM(J41:J49)</f>
        <v>186931.03999999998</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964.04</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4.64E-3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979.57669999999985</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4.4289999999999998E-3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964.04</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5.3880000000000004E-3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964.04</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4.6470000000000001E-3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964.04</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5.3969999999999999E-3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4.6470000000000001E-3</v>
      </c>
      <c r="J68" s="138">
        <f>ROUND(G68*I68,2)</f>
        <v>212040.72</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4.64E-3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5.3969999999999999E-3</v>
      </c>
      <c r="J71" s="138">
        <f>ROUND(G71*I71,2)</f>
        <v>102187.11</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5.3880000000000004E-3</v>
      </c>
      <c r="J72" s="138">
        <f>ROUND(G72*I72,2)</f>
        <v>60884.46</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v>17.440000000000001</v>
      </c>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v>15.52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28.9</v>
      </c>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v>1</v>
      </c>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v>10.4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73.260000000000005</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5.6779999999999999E-3</v>
      </c>
      <c r="J84" s="62">
        <f>ROUND(G84*I84,2)</f>
        <v>332178.84000000003</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4.4289999999999998E-3</v>
      </c>
      <c r="J85" s="138">
        <f>ROUND(G85*I85,2)</f>
        <v>1190587.3</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4.4289999999999998E-3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4.64E-3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141">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415.57219999999995</v>
      </c>
      <c r="C91" s="245"/>
      <c r="D91" s="869">
        <f>I6</f>
        <v>1.0355000000000001</v>
      </c>
      <c r="E91" s="869"/>
      <c r="F91" s="869"/>
      <c r="G91" s="122">
        <f>'[1]Detail 2025-26 FEFP Second'!AC3</f>
        <v>915.09</v>
      </c>
      <c r="H91" s="47" t="s">
        <v>68</v>
      </c>
      <c r="I91" s="140">
        <f>ROUND(B91*D91*G91,2)</f>
        <v>393786.12</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564.00450000000001</v>
      </c>
      <c r="C92" s="109"/>
      <c r="D92" s="869">
        <f>I6</f>
        <v>1.0355000000000001</v>
      </c>
      <c r="E92" s="869"/>
      <c r="F92" s="869"/>
      <c r="G92" s="122">
        <f>'[1]Detail 2025-26 FEFP Second'!AD3</f>
        <v>917.3</v>
      </c>
      <c r="H92" s="47" t="s">
        <v>68</v>
      </c>
      <c r="I92" s="575">
        <f>ROUND(B92*D92*G92,2)</f>
        <v>535727.65</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979.57669999999996</v>
      </c>
      <c r="C93" s="109"/>
      <c r="D93" s="109"/>
      <c r="E93" s="939" t="s">
        <v>112</v>
      </c>
      <c r="F93" s="939"/>
      <c r="G93" s="939"/>
      <c r="H93" s="939"/>
      <c r="I93" s="939"/>
      <c r="J93" s="127">
        <f>IF(A1=75,0,I92+I91+I90)</f>
        <v>929513.77</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415">
        <v>0</v>
      </c>
      <c r="D97" s="415">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8464029.0300000012</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8066788.5600000015</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v>0</v>
      </c>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8066788.5600000015</v>
      </c>
      <c r="J114" s="296">
        <f>ROUND(IF(E28=0,0,IF(E28&gt;250,-(((250/E28)*I114)*IF(H113="H",0.02,0.05)),IF(H113="H",-0.02*I114,-0.05*I114))),2)</f>
        <v>-104596.13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8359432.9000000013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Payments'!R120</f>
        <v>-4828295.3999999994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3531137.5000000019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706227.5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298743.3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6FFD-A0D9-46D3-80B6-7B6479F21159}">
  <dimension ref="A1:Z207"/>
  <sheetViews>
    <sheetView topLeftCell="A103"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477</v>
      </c>
      <c r="B2" s="102"/>
      <c r="C2" s="102"/>
      <c r="D2" s="102"/>
      <c r="E2" s="100"/>
      <c r="F2" s="100"/>
      <c r="G2" s="100"/>
      <c r="H2" s="100"/>
      <c r="I2" s="100"/>
      <c r="J2" s="100"/>
      <c r="K2" s="6"/>
      <c r="L2" s="6"/>
      <c r="M2" s="6"/>
      <c r="N2" s="6"/>
      <c r="O2" s="6"/>
      <c r="P2" s="6"/>
      <c r="Q2" s="6"/>
      <c r="R2" s="875" t="str">
        <f>Revenue_Estimate_Worksheet_for___________Charter_School</f>
        <v>Revenue Estimate Worksheet: Sports Leadership &amp; Management (SLAM) Academy High School - 4111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Second'!$C$1:$C$65536,MATCH('4111'!$A$1,'[1]Detail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Second'!$D$1:$D$65536,MATCH('4111'!$A$1,'[1]Detail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v>
      </c>
      <c r="D15" s="415">
        <v>0</v>
      </c>
      <c r="E15" s="967">
        <f t="shared" si="0"/>
        <v>0</v>
      </c>
      <c r="F15" s="967"/>
      <c r="G15" s="968">
        <v>1</v>
      </c>
      <c r="H15" s="968"/>
      <c r="I15" s="578">
        <f t="shared" si="2"/>
        <v>0</v>
      </c>
      <c r="J15" s="579">
        <f t="shared" si="1"/>
        <v>0</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111.85</v>
      </c>
      <c r="D16" s="415">
        <v>0</v>
      </c>
      <c r="E16" s="967">
        <f t="shared" si="0"/>
        <v>223.7</v>
      </c>
      <c r="F16" s="967"/>
      <c r="G16" s="968">
        <v>0.97199999999999998</v>
      </c>
      <c r="H16" s="968"/>
      <c r="I16" s="578">
        <f t="shared" si="2"/>
        <v>217.43639999999999</v>
      </c>
      <c r="J16" s="579">
        <f t="shared" si="1"/>
        <v>1209669.8600000001</v>
      </c>
      <c r="M16" s="2"/>
      <c r="R16" s="860" t="s">
        <v>24</v>
      </c>
      <c r="S16" s="860"/>
      <c r="T16" s="891">
        <f t="shared" si="3"/>
        <v>0</v>
      </c>
      <c r="U16" s="891"/>
      <c r="V16" s="896">
        <v>1</v>
      </c>
      <c r="W16" s="896"/>
      <c r="X16" s="156">
        <f t="shared" si="4"/>
        <v>0</v>
      </c>
      <c r="Y16" s="266">
        <f t="shared" si="6"/>
        <v>0</v>
      </c>
    </row>
    <row r="17" spans="1:25" x14ac:dyDescent="0.25">
      <c r="A17" s="861" t="s">
        <v>25</v>
      </c>
      <c r="B17" s="861"/>
      <c r="C17" s="415">
        <v>18.5</v>
      </c>
      <c r="D17" s="415">
        <v>0</v>
      </c>
      <c r="E17" s="967">
        <f t="shared" si="0"/>
        <v>37</v>
      </c>
      <c r="F17" s="967"/>
      <c r="G17" s="968">
        <v>0.97199999999999998</v>
      </c>
      <c r="H17" s="968"/>
      <c r="I17" s="578">
        <f t="shared" si="2"/>
        <v>35.963999999999999</v>
      </c>
      <c r="J17" s="579">
        <f t="shared" si="1"/>
        <v>200079.5</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19.57</v>
      </c>
      <c r="D26" s="415">
        <v>0</v>
      </c>
      <c r="E26" s="967">
        <f t="shared" si="0"/>
        <v>39.14</v>
      </c>
      <c r="F26" s="967"/>
      <c r="G26" s="968">
        <v>1.165</v>
      </c>
      <c r="H26" s="968"/>
      <c r="I26" s="578">
        <f t="shared" si="2"/>
        <v>45.598100000000002</v>
      </c>
      <c r="J26" s="579">
        <f t="shared" si="1"/>
        <v>253677.15</v>
      </c>
      <c r="M26" s="2"/>
      <c r="R26" s="860" t="s">
        <v>34</v>
      </c>
      <c r="S26" s="860"/>
      <c r="T26" s="891">
        <f t="shared" si="3"/>
        <v>0</v>
      </c>
      <c r="U26" s="891"/>
      <c r="V26" s="896">
        <v>1</v>
      </c>
      <c r="W26" s="896"/>
      <c r="X26" s="156">
        <f t="shared" si="4"/>
        <v>0</v>
      </c>
      <c r="Y26" s="266">
        <f t="shared" si="6"/>
        <v>0</v>
      </c>
    </row>
    <row r="27" spans="1:25" x14ac:dyDescent="0.25">
      <c r="A27" s="866" t="s">
        <v>35</v>
      </c>
      <c r="B27" s="866"/>
      <c r="C27" s="416">
        <v>12.51</v>
      </c>
      <c r="D27" s="416">
        <v>0</v>
      </c>
      <c r="E27" s="963">
        <f t="shared" si="0"/>
        <v>25.02</v>
      </c>
      <c r="F27" s="963"/>
      <c r="G27" s="964">
        <v>1.081</v>
      </c>
      <c r="H27" s="964"/>
      <c r="I27" s="22">
        <f t="shared" si="2"/>
        <v>27.046600000000002</v>
      </c>
      <c r="J27" s="127">
        <f t="shared" si="1"/>
        <v>150469.09</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162.42999999999998</v>
      </c>
      <c r="D28" s="126">
        <f>SUM(D12:D27)</f>
        <v>0</v>
      </c>
      <c r="E28" s="966">
        <f>SUM(E12:E27)</f>
        <v>324.85999999999996</v>
      </c>
      <c r="F28" s="966"/>
      <c r="G28" s="961"/>
      <c r="H28" s="961"/>
      <c r="I28" s="23">
        <f>SUM(I12:I27)</f>
        <v>326.04509999999999</v>
      </c>
      <c r="J28" s="127">
        <f>SUM(J12:J27)</f>
        <v>1813895.6</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326.04509999999999</v>
      </c>
      <c r="H33" s="961" t="s">
        <v>45</v>
      </c>
      <c r="I33" s="961"/>
      <c r="J33" s="32">
        <f>SUM(J32,J28)</f>
        <v>1813895.6</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453">
        <v>1721880.3900000001</v>
      </c>
      <c r="H36" s="223" t="s">
        <v>49</v>
      </c>
      <c r="I36" s="38">
        <v>6.6699999999999995E-2</v>
      </c>
      <c r="J36" s="131">
        <f>ROUND(G36*I36,2)</f>
        <v>114849.42</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453">
        <v>1721880.3900000001</v>
      </c>
      <c r="H37" s="223" t="s">
        <v>49</v>
      </c>
      <c r="I37" s="38">
        <v>5.4000000000000003E-3</v>
      </c>
      <c r="J37" s="131">
        <f>ROUND(G37*I37,2)</f>
        <v>9298.15</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124147.56999999999</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x14ac:dyDescent="0.25">
      <c r="A44" s="960"/>
      <c r="B44" s="960"/>
      <c r="C44" s="415">
        <v>0</v>
      </c>
      <c r="D44" s="415">
        <v>0</v>
      </c>
      <c r="E44" s="954">
        <f t="shared" si="7"/>
        <v>0</v>
      </c>
      <c r="F44" s="954"/>
      <c r="G44" s="47" t="s">
        <v>60</v>
      </c>
      <c r="H44" s="223">
        <v>251</v>
      </c>
      <c r="I44" s="136">
        <f>INDEX('[1]111-112-113 ADDITIONAL FUND'!G$1:G$65536,MATCH($A$1,'[1]111-112-113 ADDITIONAL FUND'!A$1:A$65536))</f>
        <v>1173</v>
      </c>
      <c r="J44" s="13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46">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18.5</v>
      </c>
      <c r="D47" s="415">
        <v>0</v>
      </c>
      <c r="E47" s="954">
        <f t="shared" si="7"/>
        <v>37</v>
      </c>
      <c r="F47" s="954"/>
      <c r="G47" s="47" t="s">
        <v>61</v>
      </c>
      <c r="H47" s="223">
        <v>251</v>
      </c>
      <c r="I47" s="136">
        <f>INDEX('[1]111-112-113 ADDITIONAL FUND'!J$1:J$65536,MATCH($A$1,'[1]111-112-113 ADDITIONAL FUND'!A$1:A$65536))</f>
        <v>835</v>
      </c>
      <c r="J47" s="46">
        <f t="shared" si="8"/>
        <v>30895</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18.5</v>
      </c>
      <c r="D50" s="585">
        <f>SUM(D41:D49)</f>
        <v>0</v>
      </c>
      <c r="E50" s="956">
        <f>SUM(E41:E49)</f>
        <v>37</v>
      </c>
      <c r="F50" s="956"/>
      <c r="G50" s="912" t="s">
        <v>63</v>
      </c>
      <c r="H50" s="912"/>
      <c r="I50" s="912"/>
      <c r="J50" s="276">
        <f>SUM(J41:J49)</f>
        <v>30895</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324.85999999999996</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1.5629999999999999E-3</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326.04509999999999</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1.474E-3</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324.85999999999996</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1.8159999999999999E-3</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324.85999999999996</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1.5659999999999999E-3</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324.85999999999996</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1.8190000000000001E-3</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1.5659999999999999E-3</v>
      </c>
      <c r="J68" s="138">
        <f>ROUND(G68*I68,2)</f>
        <v>71455.94</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1.5629999999999999E-3</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1.8190000000000001E-3</v>
      </c>
      <c r="J71" s="138">
        <f>ROUND(G71*I71,2)</f>
        <v>34441.050000000003</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1.8159999999999999E-3</v>
      </c>
      <c r="J72" s="138">
        <f>ROUND(G72*I72,2)</f>
        <v>20520.82</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v>2.88</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v>0.5</v>
      </c>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v>1.36</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4.74</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3.6699999999999998E-4</v>
      </c>
      <c r="J84" s="62">
        <f>ROUND(G84*I84,2)</f>
        <v>21470.52</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1.474E-3</v>
      </c>
      <c r="J85" s="138">
        <f>ROUND(G85*I85,2)</f>
        <v>396235.19</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1.474E-3</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1.5629999999999999E-3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141">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0</v>
      </c>
      <c r="C91" s="245"/>
      <c r="D91" s="869">
        <f>I6</f>
        <v>1.0355000000000001</v>
      </c>
      <c r="E91" s="869"/>
      <c r="F91" s="869"/>
      <c r="G91" s="122">
        <f>'[1]Detail 2025-26 FEFP Second'!AC3</f>
        <v>915.09</v>
      </c>
      <c r="H91" s="47" t="s">
        <v>68</v>
      </c>
      <c r="I91" s="140">
        <f>ROUND(B91*D91*G91,2)</f>
        <v>0</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326.04509999999999</v>
      </c>
      <c r="C92" s="109"/>
      <c r="D92" s="869">
        <f>I6</f>
        <v>1.0355000000000001</v>
      </c>
      <c r="E92" s="869"/>
      <c r="F92" s="869"/>
      <c r="G92" s="122">
        <f>'[1]Detail 2025-26 FEFP Second'!AD3</f>
        <v>917.3</v>
      </c>
      <c r="H92" s="47" t="s">
        <v>68</v>
      </c>
      <c r="I92" s="575">
        <f>ROUND(B92*D92*G92,2)</f>
        <v>309698.55</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326.04509999999999</v>
      </c>
      <c r="C93" s="109"/>
      <c r="D93" s="109"/>
      <c r="E93" s="939" t="s">
        <v>112</v>
      </c>
      <c r="F93" s="939"/>
      <c r="G93" s="939"/>
      <c r="H93" s="939"/>
      <c r="I93" s="939"/>
      <c r="J93" s="127">
        <f>IF(A1=75,0,I92+I91+I90)</f>
        <v>309698.55</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415">
        <v>0</v>
      </c>
      <c r="D97" s="415">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2698612.67</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2574465.1</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2574465.1</v>
      </c>
      <c r="J114" s="296">
        <f>ROUND(IF(E28=0,0,IF(E28&gt;250,-(((250/E28)*I114)*IF(H113="H",0.02,0.05)),IF(H113="H",-0.02*I114,-0.05*I114))),2)</f>
        <v>-99060.56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2599552.11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Payments'!R121</f>
        <v>-1429644.5000000002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1169907.6099999996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233981.52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29662.7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9111-E801-4F91-9AE4-B755BFDD8FCA}">
  <dimension ref="A1:Z207"/>
  <sheetViews>
    <sheetView topLeftCell="A104" workbookViewId="0">
      <selection activeCell="J78" sqref="J78"/>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1" t="s">
        <v>0</v>
      </c>
      <c r="C1" s="972"/>
      <c r="D1" s="972"/>
      <c r="E1" s="973"/>
      <c r="F1" s="973"/>
      <c r="G1" s="973"/>
      <c r="H1" s="973"/>
      <c r="I1" s="973"/>
      <c r="J1" s="973"/>
      <c r="L1" s="3"/>
      <c r="M1" s="2"/>
      <c r="Q1" s="4"/>
      <c r="R1" s="142">
        <v>50</v>
      </c>
      <c r="S1" s="873" t="s">
        <v>0</v>
      </c>
      <c r="T1" s="874"/>
      <c r="U1" s="874"/>
      <c r="V1" s="874"/>
      <c r="W1" s="874"/>
      <c r="X1" s="874"/>
      <c r="Y1" s="874"/>
    </row>
    <row r="2" spans="1:25" ht="21.75" customHeight="1" x14ac:dyDescent="0.35">
      <c r="A2" s="577" t="s">
        <v>478</v>
      </c>
      <c r="B2" s="102"/>
      <c r="C2" s="102"/>
      <c r="D2" s="102"/>
      <c r="E2" s="100"/>
      <c r="F2" s="100"/>
      <c r="G2" s="100"/>
      <c r="H2" s="100"/>
      <c r="I2" s="100"/>
      <c r="J2" s="100"/>
      <c r="K2" s="6"/>
      <c r="L2" s="6"/>
      <c r="M2" s="6"/>
      <c r="N2" s="6"/>
      <c r="O2" s="6"/>
      <c r="P2" s="6"/>
      <c r="Q2" s="6"/>
      <c r="R2" s="875" t="str">
        <f>Revenue_Estimate_Worksheet_for___________Charter_School</f>
        <v>Revenue Estimate Worksheet: Somerset Academy Wellington HS - 4131</v>
      </c>
      <c r="S2" s="875"/>
      <c r="T2" s="875"/>
      <c r="U2" s="875"/>
      <c r="V2" s="875"/>
      <c r="W2" s="875"/>
      <c r="X2" s="875"/>
      <c r="Y2" s="875"/>
    </row>
    <row r="3" spans="1:25" ht="18.75" x14ac:dyDescent="0.3">
      <c r="A3" s="822" t="s">
        <v>576</v>
      </c>
      <c r="B3" s="822"/>
      <c r="C3" s="822"/>
      <c r="D3" s="822"/>
      <c r="E3" s="822"/>
      <c r="F3" s="822"/>
      <c r="G3" s="822"/>
      <c r="H3" s="822"/>
      <c r="I3" s="822"/>
      <c r="J3" s="822"/>
      <c r="K3" s="7"/>
      <c r="L3" s="7"/>
      <c r="M3" s="7"/>
      <c r="N3" s="7"/>
      <c r="O3" s="7"/>
      <c r="P3" s="7"/>
      <c r="Q3" s="7"/>
      <c r="R3" s="876" t="s">
        <v>1</v>
      </c>
      <c r="S3" s="876"/>
      <c r="T3" s="876"/>
      <c r="U3" s="876"/>
      <c r="V3" s="876"/>
      <c r="W3" s="876"/>
      <c r="X3" s="876"/>
      <c r="Y3" s="876"/>
    </row>
    <row r="4" spans="1:25" ht="18.75" customHeight="1" x14ac:dyDescent="0.25">
      <c r="A4" s="974" t="s">
        <v>2</v>
      </c>
      <c r="B4" s="974"/>
      <c r="C4" s="224"/>
      <c r="D4" s="225" t="s">
        <v>179</v>
      </c>
      <c r="E4" s="225"/>
      <c r="H4" s="281">
        <f>'0040'!H4</f>
        <v>46054</v>
      </c>
      <c r="I4" s="282"/>
      <c r="J4" s="8"/>
      <c r="K4" s="4"/>
      <c r="L4" s="4"/>
      <c r="M4" s="4"/>
      <c r="N4" s="4"/>
      <c r="O4" s="4"/>
      <c r="P4" s="4"/>
      <c r="Q4" s="4"/>
      <c r="R4" s="877" t="s">
        <v>2</v>
      </c>
      <c r="S4" s="877"/>
      <c r="T4" s="878" t="s">
        <v>179</v>
      </c>
      <c r="U4" s="878"/>
      <c r="V4" s="143"/>
      <c r="W4" s="143"/>
      <c r="X4" s="143"/>
      <c r="Y4" s="143"/>
    </row>
    <row r="5" spans="1:25" ht="21" customHeight="1" x14ac:dyDescent="0.25">
      <c r="A5" s="975" t="s">
        <v>3</v>
      </c>
      <c r="B5" s="975"/>
      <c r="C5" s="975"/>
      <c r="D5" s="975"/>
      <c r="E5" s="975"/>
      <c r="F5" s="975"/>
      <c r="G5" s="975"/>
      <c r="H5" s="975"/>
      <c r="I5" s="975"/>
      <c r="J5" s="975"/>
      <c r="K5" s="4"/>
      <c r="L5" s="4"/>
      <c r="M5" s="4"/>
      <c r="N5" s="4"/>
      <c r="O5" s="4"/>
      <c r="P5" s="4"/>
      <c r="Q5" s="4"/>
      <c r="R5" s="879" t="s">
        <v>3</v>
      </c>
      <c r="S5" s="879"/>
      <c r="T5" s="879"/>
      <c r="U5" s="879"/>
      <c r="V5" s="879"/>
      <c r="W5" s="879"/>
      <c r="X5" s="879"/>
      <c r="Y5" s="879"/>
    </row>
    <row r="6" spans="1:25" ht="18" customHeight="1" x14ac:dyDescent="0.25">
      <c r="A6" s="982" t="s">
        <v>4</v>
      </c>
      <c r="B6" s="982"/>
      <c r="C6" s="226"/>
      <c r="D6" s="226"/>
      <c r="E6" s="983">
        <v>5372.6</v>
      </c>
      <c r="F6" s="983"/>
      <c r="G6" s="984" t="s">
        <v>5</v>
      </c>
      <c r="H6" s="984"/>
      <c r="I6" s="283">
        <f>INDEX('[1]Detail 2025-26 FEFP Second'!$C$1:$C$65536,MATCH('4131'!$A$1,'[1]Detail 2025-26 FEFP Second'!$A$1:$A$65536,0))</f>
        <v>1.0355000000000001</v>
      </c>
      <c r="J6" s="103"/>
      <c r="M6" s="2"/>
      <c r="R6" s="880" t="s">
        <v>4</v>
      </c>
      <c r="S6" s="880"/>
      <c r="T6" s="881">
        <f>E6</f>
        <v>5372.6</v>
      </c>
      <c r="U6" s="881"/>
      <c r="V6" s="882" t="s">
        <v>5</v>
      </c>
      <c r="W6" s="882"/>
      <c r="X6" s="883">
        <v>1.0355000000000001</v>
      </c>
      <c r="Y6" s="883"/>
    </row>
    <row r="7" spans="1:25" ht="18" customHeight="1" x14ac:dyDescent="0.25">
      <c r="A7" s="226"/>
      <c r="B7" s="226"/>
      <c r="C7" s="226"/>
      <c r="D7" s="226"/>
      <c r="E7" s="227"/>
      <c r="F7" s="227"/>
      <c r="G7" s="228" t="s">
        <v>6</v>
      </c>
      <c r="H7" s="228"/>
      <c r="I7" s="283">
        <f>INDEX('[1]Detail 2025-26 FEFP Second'!$D$1:$D$65536,MATCH('4131'!$A$1,'[1]Detail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570</v>
      </c>
      <c r="D9" s="112" t="s">
        <v>571</v>
      </c>
      <c r="E9" s="13"/>
      <c r="F9" s="13"/>
      <c r="G9" s="985" t="s">
        <v>8</v>
      </c>
      <c r="H9" s="985"/>
      <c r="I9" s="15" t="s">
        <v>9</v>
      </c>
      <c r="J9" s="16" t="s">
        <v>10</v>
      </c>
      <c r="M9" s="2"/>
      <c r="R9" s="262"/>
      <c r="S9" s="262"/>
      <c r="T9" s="148"/>
      <c r="U9" s="148"/>
      <c r="V9" s="884" t="s">
        <v>8</v>
      </c>
      <c r="W9" s="884"/>
      <c r="X9" s="150" t="s">
        <v>9</v>
      </c>
      <c r="Y9" s="151" t="s">
        <v>10</v>
      </c>
    </row>
    <row r="10" spans="1:25" ht="15.75" customHeight="1" x14ac:dyDescent="0.25">
      <c r="A10" s="856" t="s">
        <v>8</v>
      </c>
      <c r="B10" s="856"/>
      <c r="C10" s="113" t="s">
        <v>54</v>
      </c>
      <c r="D10" s="113" t="s">
        <v>54</v>
      </c>
      <c r="E10" s="986" t="s">
        <v>156</v>
      </c>
      <c r="F10" s="986"/>
      <c r="G10" s="987" t="s">
        <v>12</v>
      </c>
      <c r="H10" s="987"/>
      <c r="I10" s="17" t="s">
        <v>13</v>
      </c>
      <c r="J10" s="18" t="s">
        <v>14</v>
      </c>
      <c r="M10" s="2"/>
      <c r="R10" s="853" t="s">
        <v>8</v>
      </c>
      <c r="S10" s="853"/>
      <c r="T10" s="885" t="s">
        <v>11</v>
      </c>
      <c r="U10" s="885"/>
      <c r="V10" s="886" t="s">
        <v>12</v>
      </c>
      <c r="W10" s="886"/>
      <c r="X10" s="152" t="s">
        <v>13</v>
      </c>
      <c r="Y10" s="153" t="s">
        <v>14</v>
      </c>
    </row>
    <row r="11" spans="1:25" ht="14.25" customHeight="1" x14ac:dyDescent="0.25">
      <c r="A11" s="976" t="s">
        <v>15</v>
      </c>
      <c r="B11" s="976"/>
      <c r="C11" s="114"/>
      <c r="D11" s="114"/>
      <c r="E11" s="977" t="s">
        <v>16</v>
      </c>
      <c r="F11" s="977"/>
      <c r="G11" s="978" t="s">
        <v>17</v>
      </c>
      <c r="H11" s="978"/>
      <c r="I11" s="19" t="s">
        <v>18</v>
      </c>
      <c r="J11" s="20" t="s">
        <v>19</v>
      </c>
      <c r="L11" s="21"/>
      <c r="M11" s="2"/>
      <c r="R11" s="887" t="s">
        <v>15</v>
      </c>
      <c r="S11" s="887"/>
      <c r="T11" s="888" t="s">
        <v>16</v>
      </c>
      <c r="U11" s="888"/>
      <c r="V11" s="889" t="s">
        <v>17</v>
      </c>
      <c r="W11" s="889"/>
      <c r="X11" s="154" t="s">
        <v>18</v>
      </c>
      <c r="Y11" s="155" t="s">
        <v>19</v>
      </c>
    </row>
    <row r="12" spans="1:25" x14ac:dyDescent="0.25">
      <c r="A12" s="979" t="s">
        <v>20</v>
      </c>
      <c r="B12" s="979"/>
      <c r="C12" s="415">
        <v>0</v>
      </c>
      <c r="D12" s="411">
        <v>0</v>
      </c>
      <c r="E12" s="980">
        <f t="shared" ref="E12:E27" si="0">IF($D$28=0,C12*2,C12+D12)</f>
        <v>0</v>
      </c>
      <c r="F12" s="980"/>
      <c r="G12" s="981">
        <v>1.1080000000000001</v>
      </c>
      <c r="H12" s="981"/>
      <c r="I12" s="578">
        <f>ROUND(E12*G12,4)</f>
        <v>0</v>
      </c>
      <c r="J12" s="579">
        <f t="shared" ref="J12:J27" si="1">ROUND(ROUND(ROUND(I12*$E$6,4)*($I$6),2)*(MAX($I$7,1)),2)</f>
        <v>0</v>
      </c>
      <c r="L12" s="21"/>
      <c r="M12" s="2"/>
      <c r="R12" s="890" t="s">
        <v>20</v>
      </c>
      <c r="S12" s="890"/>
      <c r="T12" s="891">
        <f>IF($I$111=1,E12,0)</f>
        <v>0</v>
      </c>
      <c r="U12" s="891"/>
      <c r="V12" s="892">
        <v>1</v>
      </c>
      <c r="W12" s="892"/>
      <c r="X12" s="156">
        <f>ROUND(T12*V12,4)</f>
        <v>0</v>
      </c>
      <c r="Y12" s="266">
        <f>ROUND(ROUND(ROUND(X12*$E$6,4)*($I$6),2)*(MAX($I$7,1)),2)</f>
        <v>0</v>
      </c>
    </row>
    <row r="13" spans="1:25" x14ac:dyDescent="0.25">
      <c r="A13" s="861" t="s">
        <v>21</v>
      </c>
      <c r="B13" s="861"/>
      <c r="C13" s="415">
        <v>0</v>
      </c>
      <c r="D13" s="415">
        <v>0</v>
      </c>
      <c r="E13" s="967">
        <f t="shared" si="0"/>
        <v>0</v>
      </c>
      <c r="F13" s="967"/>
      <c r="G13" s="968">
        <v>1.1080000000000001</v>
      </c>
      <c r="H13" s="968"/>
      <c r="I13" s="578">
        <f t="shared" ref="I13:I27" si="2">ROUND(E13*G13,4)</f>
        <v>0</v>
      </c>
      <c r="J13" s="579">
        <f t="shared" si="1"/>
        <v>0</v>
      </c>
      <c r="L13" s="21"/>
      <c r="M13" s="2"/>
      <c r="R13" s="860" t="s">
        <v>21</v>
      </c>
      <c r="S13" s="860"/>
      <c r="T13" s="891">
        <f t="shared" ref="T13:T27" si="3">IF($I$111=1,E13,0)</f>
        <v>0</v>
      </c>
      <c r="U13" s="891"/>
      <c r="V13" s="896">
        <v>1</v>
      </c>
      <c r="W13" s="896"/>
      <c r="X13" s="156">
        <f t="shared" ref="X13:X27" si="4">ROUND(T13*V13,4)</f>
        <v>0</v>
      </c>
      <c r="Y13" s="266">
        <f t="shared" ref="Y13" si="5">ROUND(ROUND(ROUND(X13*$E$6,4)*($I$6),2)*(MAX($I$7,1)),2)</f>
        <v>0</v>
      </c>
    </row>
    <row r="14" spans="1:25" x14ac:dyDescent="0.25">
      <c r="A14" s="861" t="s">
        <v>22</v>
      </c>
      <c r="B14" s="861"/>
      <c r="C14" s="415">
        <v>0</v>
      </c>
      <c r="D14" s="415">
        <v>0</v>
      </c>
      <c r="E14" s="967">
        <f t="shared" si="0"/>
        <v>0</v>
      </c>
      <c r="F14" s="967"/>
      <c r="G14" s="968">
        <v>1</v>
      </c>
      <c r="H14" s="968"/>
      <c r="I14" s="578">
        <f t="shared" si="2"/>
        <v>0</v>
      </c>
      <c r="J14" s="579">
        <f>ROUND(ROUND(ROUND(I14*$E$6,4)*($I$6),2)*(MAX($I$7,1)),2)</f>
        <v>0</v>
      </c>
      <c r="L14" s="21"/>
      <c r="M14" s="2"/>
      <c r="R14" s="860" t="s">
        <v>22</v>
      </c>
      <c r="S14" s="860"/>
      <c r="T14" s="891">
        <f t="shared" si="3"/>
        <v>0</v>
      </c>
      <c r="U14" s="891"/>
      <c r="V14" s="896">
        <v>1</v>
      </c>
      <c r="W14" s="896"/>
      <c r="X14" s="156">
        <f t="shared" si="4"/>
        <v>0</v>
      </c>
      <c r="Y14" s="266">
        <f>ROUND(ROUND(ROUND(X14*$E$6,4)*($I$6),2)*(MAX($I$7,1)),2)</f>
        <v>0</v>
      </c>
    </row>
    <row r="15" spans="1:25" x14ac:dyDescent="0.25">
      <c r="A15" s="861" t="s">
        <v>23</v>
      </c>
      <c r="B15" s="861"/>
      <c r="C15" s="415">
        <v>0</v>
      </c>
      <c r="D15" s="415">
        <v>0</v>
      </c>
      <c r="E15" s="967">
        <f t="shared" si="0"/>
        <v>0</v>
      </c>
      <c r="F15" s="967"/>
      <c r="G15" s="968">
        <v>1</v>
      </c>
      <c r="H15" s="968"/>
      <c r="I15" s="578">
        <f t="shared" si="2"/>
        <v>0</v>
      </c>
      <c r="J15" s="579">
        <f t="shared" si="1"/>
        <v>0</v>
      </c>
      <c r="M15" s="2"/>
      <c r="R15" s="860" t="s">
        <v>23</v>
      </c>
      <c r="S15" s="860"/>
      <c r="T15" s="891">
        <f t="shared" si="3"/>
        <v>0</v>
      </c>
      <c r="U15" s="891"/>
      <c r="V15" s="896">
        <v>1</v>
      </c>
      <c r="W15" s="896"/>
      <c r="X15" s="156">
        <f t="shared" si="4"/>
        <v>0</v>
      </c>
      <c r="Y15" s="266">
        <f t="shared" ref="Y15:Y27" si="6">ROUND(ROUND(ROUND(X15*$E$6,4)*($I$6),2)*(MAX($I$7,1)),2)</f>
        <v>0</v>
      </c>
    </row>
    <row r="16" spans="1:25" x14ac:dyDescent="0.25">
      <c r="A16" s="861" t="s">
        <v>24</v>
      </c>
      <c r="B16" s="861"/>
      <c r="C16" s="415">
        <v>44.49</v>
      </c>
      <c r="D16" s="415">
        <v>0</v>
      </c>
      <c r="E16" s="967">
        <f t="shared" si="0"/>
        <v>88.98</v>
      </c>
      <c r="F16" s="967"/>
      <c r="G16" s="968">
        <v>0.97199999999999998</v>
      </c>
      <c r="H16" s="968"/>
      <c r="I16" s="578">
        <f t="shared" si="2"/>
        <v>86.488600000000005</v>
      </c>
      <c r="J16" s="579">
        <f t="shared" si="1"/>
        <v>481164.39</v>
      </c>
      <c r="M16" s="2"/>
      <c r="R16" s="860" t="s">
        <v>24</v>
      </c>
      <c r="S16" s="860"/>
      <c r="T16" s="891">
        <f t="shared" si="3"/>
        <v>0</v>
      </c>
      <c r="U16" s="891"/>
      <c r="V16" s="896">
        <v>1</v>
      </c>
      <c r="W16" s="896"/>
      <c r="X16" s="156">
        <f t="shared" si="4"/>
        <v>0</v>
      </c>
      <c r="Y16" s="266">
        <f t="shared" si="6"/>
        <v>0</v>
      </c>
    </row>
    <row r="17" spans="1:25" x14ac:dyDescent="0.25">
      <c r="A17" s="861" t="s">
        <v>25</v>
      </c>
      <c r="B17" s="861"/>
      <c r="C17" s="415">
        <v>7</v>
      </c>
      <c r="D17" s="415">
        <v>0</v>
      </c>
      <c r="E17" s="967">
        <f t="shared" si="0"/>
        <v>14</v>
      </c>
      <c r="F17" s="967"/>
      <c r="G17" s="968">
        <v>0.97199999999999998</v>
      </c>
      <c r="H17" s="968"/>
      <c r="I17" s="578">
        <f t="shared" si="2"/>
        <v>13.608000000000001</v>
      </c>
      <c r="J17" s="579">
        <f t="shared" si="1"/>
        <v>75705.759999999995</v>
      </c>
      <c r="M17" s="2"/>
      <c r="R17" s="860" t="s">
        <v>25</v>
      </c>
      <c r="S17" s="860"/>
      <c r="T17" s="891">
        <f t="shared" si="3"/>
        <v>0</v>
      </c>
      <c r="U17" s="891"/>
      <c r="V17" s="896">
        <v>1</v>
      </c>
      <c r="W17" s="896"/>
      <c r="X17" s="156">
        <f t="shared" si="4"/>
        <v>0</v>
      </c>
      <c r="Y17" s="266">
        <f t="shared" si="6"/>
        <v>0</v>
      </c>
    </row>
    <row r="18" spans="1:25" x14ac:dyDescent="0.25">
      <c r="A18" s="861" t="s">
        <v>26</v>
      </c>
      <c r="B18" s="861"/>
      <c r="C18" s="415">
        <v>0</v>
      </c>
      <c r="D18" s="415">
        <v>0</v>
      </c>
      <c r="E18" s="967">
        <f t="shared" si="0"/>
        <v>0</v>
      </c>
      <c r="F18" s="967"/>
      <c r="G18" s="968">
        <v>3.609</v>
      </c>
      <c r="H18" s="968"/>
      <c r="I18" s="578">
        <f t="shared" si="2"/>
        <v>0</v>
      </c>
      <c r="J18" s="579">
        <f t="shared" si="1"/>
        <v>0</v>
      </c>
      <c r="M18" s="2"/>
      <c r="R18" s="860" t="s">
        <v>26</v>
      </c>
      <c r="S18" s="860"/>
      <c r="T18" s="891">
        <f t="shared" si="3"/>
        <v>0</v>
      </c>
      <c r="U18" s="891"/>
      <c r="V18" s="896">
        <v>1</v>
      </c>
      <c r="W18" s="896"/>
      <c r="X18" s="156">
        <f t="shared" si="4"/>
        <v>0</v>
      </c>
      <c r="Y18" s="266">
        <f t="shared" si="6"/>
        <v>0</v>
      </c>
    </row>
    <row r="19" spans="1:25" x14ac:dyDescent="0.25">
      <c r="A19" s="861" t="s">
        <v>27</v>
      </c>
      <c r="B19" s="861"/>
      <c r="C19" s="415">
        <v>0</v>
      </c>
      <c r="D19" s="415">
        <v>0</v>
      </c>
      <c r="E19" s="967">
        <f t="shared" si="0"/>
        <v>0</v>
      </c>
      <c r="F19" s="967"/>
      <c r="G19" s="968">
        <v>3.609</v>
      </c>
      <c r="H19" s="968"/>
      <c r="I19" s="578">
        <f t="shared" si="2"/>
        <v>0</v>
      </c>
      <c r="J19" s="579">
        <f t="shared" si="1"/>
        <v>0</v>
      </c>
      <c r="M19" s="2"/>
      <c r="R19" s="860" t="s">
        <v>27</v>
      </c>
      <c r="S19" s="860"/>
      <c r="T19" s="891">
        <f t="shared" si="3"/>
        <v>0</v>
      </c>
      <c r="U19" s="891"/>
      <c r="V19" s="896">
        <v>1</v>
      </c>
      <c r="W19" s="896"/>
      <c r="X19" s="156">
        <f t="shared" si="4"/>
        <v>0</v>
      </c>
      <c r="Y19" s="266">
        <f t="shared" si="6"/>
        <v>0</v>
      </c>
    </row>
    <row r="20" spans="1:25" x14ac:dyDescent="0.25">
      <c r="A20" s="861" t="s">
        <v>28</v>
      </c>
      <c r="B20" s="861"/>
      <c r="C20" s="415">
        <v>0</v>
      </c>
      <c r="D20" s="415">
        <v>0</v>
      </c>
      <c r="E20" s="967">
        <f t="shared" si="0"/>
        <v>0</v>
      </c>
      <c r="F20" s="967"/>
      <c r="G20" s="968">
        <v>3.609</v>
      </c>
      <c r="H20" s="968"/>
      <c r="I20" s="578">
        <f t="shared" si="2"/>
        <v>0</v>
      </c>
      <c r="J20" s="579">
        <f t="shared" si="1"/>
        <v>0</v>
      </c>
      <c r="M20" s="2"/>
      <c r="R20" s="860" t="s">
        <v>28</v>
      </c>
      <c r="S20" s="860"/>
      <c r="T20" s="891">
        <f t="shared" si="3"/>
        <v>0</v>
      </c>
      <c r="U20" s="891"/>
      <c r="V20" s="896">
        <v>1</v>
      </c>
      <c r="W20" s="896"/>
      <c r="X20" s="156">
        <f t="shared" si="4"/>
        <v>0</v>
      </c>
      <c r="Y20" s="266">
        <f t="shared" si="6"/>
        <v>0</v>
      </c>
    </row>
    <row r="21" spans="1:25" ht="15" customHeight="1" x14ac:dyDescent="0.25">
      <c r="A21" s="861" t="s">
        <v>29</v>
      </c>
      <c r="B21" s="861"/>
      <c r="C21" s="415">
        <v>0</v>
      </c>
      <c r="D21" s="415">
        <v>0</v>
      </c>
      <c r="E21" s="967">
        <f t="shared" si="0"/>
        <v>0</v>
      </c>
      <c r="F21" s="967"/>
      <c r="G21" s="968">
        <v>6.0640000000000001</v>
      </c>
      <c r="H21" s="968"/>
      <c r="I21" s="578">
        <f t="shared" si="2"/>
        <v>0</v>
      </c>
      <c r="J21" s="579">
        <f t="shared" si="1"/>
        <v>0</v>
      </c>
      <c r="M21" s="2"/>
      <c r="R21" s="860" t="s">
        <v>29</v>
      </c>
      <c r="S21" s="860"/>
      <c r="T21" s="891">
        <f t="shared" si="3"/>
        <v>0</v>
      </c>
      <c r="U21" s="891"/>
      <c r="V21" s="896">
        <v>1</v>
      </c>
      <c r="W21" s="896"/>
      <c r="X21" s="156">
        <f t="shared" si="4"/>
        <v>0</v>
      </c>
      <c r="Y21" s="266">
        <f t="shared" si="6"/>
        <v>0</v>
      </c>
    </row>
    <row r="22" spans="1:25" ht="15" customHeight="1" x14ac:dyDescent="0.25">
      <c r="A22" s="861" t="s">
        <v>30</v>
      </c>
      <c r="B22" s="861"/>
      <c r="C22" s="415">
        <v>0</v>
      </c>
      <c r="D22" s="415">
        <v>0</v>
      </c>
      <c r="E22" s="967">
        <f t="shared" si="0"/>
        <v>0</v>
      </c>
      <c r="F22" s="967"/>
      <c r="G22" s="968">
        <v>6.0640000000000001</v>
      </c>
      <c r="H22" s="968"/>
      <c r="I22" s="578">
        <f t="shared" si="2"/>
        <v>0</v>
      </c>
      <c r="J22" s="579">
        <f t="shared" si="1"/>
        <v>0</v>
      </c>
      <c r="M22" s="2"/>
      <c r="R22" s="860" t="s">
        <v>30</v>
      </c>
      <c r="S22" s="860"/>
      <c r="T22" s="891">
        <f t="shared" si="3"/>
        <v>0</v>
      </c>
      <c r="U22" s="891"/>
      <c r="V22" s="896">
        <v>1</v>
      </c>
      <c r="W22" s="896"/>
      <c r="X22" s="156">
        <f t="shared" si="4"/>
        <v>0</v>
      </c>
      <c r="Y22" s="266">
        <f t="shared" si="6"/>
        <v>0</v>
      </c>
    </row>
    <row r="23" spans="1:25" ht="15" customHeight="1" x14ac:dyDescent="0.25">
      <c r="A23" s="861" t="s">
        <v>31</v>
      </c>
      <c r="B23" s="861"/>
      <c r="C23" s="415">
        <v>0</v>
      </c>
      <c r="D23" s="415">
        <v>0</v>
      </c>
      <c r="E23" s="967">
        <f t="shared" si="0"/>
        <v>0</v>
      </c>
      <c r="F23" s="967"/>
      <c r="G23" s="968">
        <v>6.0640000000000001</v>
      </c>
      <c r="H23" s="968"/>
      <c r="I23" s="578">
        <f t="shared" si="2"/>
        <v>0</v>
      </c>
      <c r="J23" s="579">
        <f t="shared" si="1"/>
        <v>0</v>
      </c>
      <c r="M23" s="2"/>
      <c r="R23" s="860" t="s">
        <v>31</v>
      </c>
      <c r="S23" s="860"/>
      <c r="T23" s="891">
        <f t="shared" si="3"/>
        <v>0</v>
      </c>
      <c r="U23" s="891"/>
      <c r="V23" s="896">
        <v>1</v>
      </c>
      <c r="W23" s="896"/>
      <c r="X23" s="156">
        <f t="shared" si="4"/>
        <v>0</v>
      </c>
      <c r="Y23" s="266">
        <f t="shared" si="6"/>
        <v>0</v>
      </c>
    </row>
    <row r="24" spans="1:25" x14ac:dyDescent="0.25">
      <c r="A24" s="861" t="s">
        <v>32</v>
      </c>
      <c r="B24" s="861"/>
      <c r="C24" s="415">
        <v>0</v>
      </c>
      <c r="D24" s="415">
        <v>0</v>
      </c>
      <c r="E24" s="967">
        <f t="shared" si="0"/>
        <v>0</v>
      </c>
      <c r="F24" s="967"/>
      <c r="G24" s="968">
        <v>1.165</v>
      </c>
      <c r="H24" s="968"/>
      <c r="I24" s="578">
        <f t="shared" si="2"/>
        <v>0</v>
      </c>
      <c r="J24" s="579">
        <f t="shared" si="1"/>
        <v>0</v>
      </c>
      <c r="M24" s="2"/>
      <c r="R24" s="860" t="s">
        <v>32</v>
      </c>
      <c r="S24" s="860"/>
      <c r="T24" s="891">
        <f t="shared" si="3"/>
        <v>0</v>
      </c>
      <c r="U24" s="891"/>
      <c r="V24" s="896">
        <v>1</v>
      </c>
      <c r="W24" s="896"/>
      <c r="X24" s="156">
        <f t="shared" si="4"/>
        <v>0</v>
      </c>
      <c r="Y24" s="266">
        <f t="shared" si="6"/>
        <v>0</v>
      </c>
    </row>
    <row r="25" spans="1:25" x14ac:dyDescent="0.25">
      <c r="A25" s="861" t="s">
        <v>33</v>
      </c>
      <c r="B25" s="861"/>
      <c r="C25" s="415">
        <v>0</v>
      </c>
      <c r="D25" s="415">
        <v>0</v>
      </c>
      <c r="E25" s="967">
        <f t="shared" si="0"/>
        <v>0</v>
      </c>
      <c r="F25" s="967"/>
      <c r="G25" s="968">
        <v>1.165</v>
      </c>
      <c r="H25" s="968"/>
      <c r="I25" s="578">
        <f t="shared" si="2"/>
        <v>0</v>
      </c>
      <c r="J25" s="579">
        <f t="shared" si="1"/>
        <v>0</v>
      </c>
      <c r="M25" s="2"/>
      <c r="R25" s="860" t="s">
        <v>33</v>
      </c>
      <c r="S25" s="860"/>
      <c r="T25" s="891">
        <f t="shared" si="3"/>
        <v>0</v>
      </c>
      <c r="U25" s="891"/>
      <c r="V25" s="896">
        <v>1</v>
      </c>
      <c r="W25" s="896"/>
      <c r="X25" s="156">
        <f t="shared" si="4"/>
        <v>0</v>
      </c>
      <c r="Y25" s="266">
        <f t="shared" si="6"/>
        <v>0</v>
      </c>
    </row>
    <row r="26" spans="1:25" x14ac:dyDescent="0.25">
      <c r="A26" s="861" t="s">
        <v>34</v>
      </c>
      <c r="B26" s="861"/>
      <c r="C26" s="415">
        <v>7.92</v>
      </c>
      <c r="D26" s="415">
        <v>0</v>
      </c>
      <c r="E26" s="967">
        <f t="shared" si="0"/>
        <v>15.84</v>
      </c>
      <c r="F26" s="967"/>
      <c r="G26" s="968">
        <v>1.165</v>
      </c>
      <c r="H26" s="968"/>
      <c r="I26" s="578">
        <f t="shared" si="2"/>
        <v>18.453600000000002</v>
      </c>
      <c r="J26" s="579">
        <f t="shared" si="1"/>
        <v>102663.42</v>
      </c>
      <c r="M26" s="2"/>
      <c r="R26" s="860" t="s">
        <v>34</v>
      </c>
      <c r="S26" s="860"/>
      <c r="T26" s="891">
        <f t="shared" si="3"/>
        <v>0</v>
      </c>
      <c r="U26" s="891"/>
      <c r="V26" s="896">
        <v>1</v>
      </c>
      <c r="W26" s="896"/>
      <c r="X26" s="156">
        <f t="shared" si="4"/>
        <v>0</v>
      </c>
      <c r="Y26" s="266">
        <f t="shared" si="6"/>
        <v>0</v>
      </c>
    </row>
    <row r="27" spans="1:25" x14ac:dyDescent="0.25">
      <c r="A27" s="866" t="s">
        <v>35</v>
      </c>
      <c r="B27" s="866"/>
      <c r="C27" s="416">
        <v>3.87</v>
      </c>
      <c r="D27" s="416">
        <v>0</v>
      </c>
      <c r="E27" s="963">
        <f t="shared" si="0"/>
        <v>7.74</v>
      </c>
      <c r="F27" s="963"/>
      <c r="G27" s="964">
        <v>1.081</v>
      </c>
      <c r="H27" s="964"/>
      <c r="I27" s="22">
        <f t="shared" si="2"/>
        <v>8.3668999999999993</v>
      </c>
      <c r="J27" s="127">
        <f t="shared" si="1"/>
        <v>46547.8</v>
      </c>
      <c r="M27" s="2"/>
      <c r="R27" s="865" t="s">
        <v>35</v>
      </c>
      <c r="S27" s="865"/>
      <c r="T27" s="891">
        <f t="shared" si="3"/>
        <v>0</v>
      </c>
      <c r="U27" s="891"/>
      <c r="V27" s="906">
        <v>1</v>
      </c>
      <c r="W27" s="906"/>
      <c r="X27" s="156">
        <f t="shared" si="4"/>
        <v>0</v>
      </c>
      <c r="Y27" s="266">
        <f t="shared" si="6"/>
        <v>0</v>
      </c>
    </row>
    <row r="28" spans="1:25" ht="20.25" customHeight="1" x14ac:dyDescent="0.25">
      <c r="A28" s="965" t="s">
        <v>36</v>
      </c>
      <c r="B28" s="965"/>
      <c r="C28" s="106">
        <f>SUM(C12:C27)</f>
        <v>63.28</v>
      </c>
      <c r="D28" s="126">
        <f>SUM(D12:D27)</f>
        <v>0</v>
      </c>
      <c r="E28" s="966">
        <f>SUM(E12:E27)</f>
        <v>126.56</v>
      </c>
      <c r="F28" s="966"/>
      <c r="G28" s="961"/>
      <c r="H28" s="961"/>
      <c r="I28" s="23">
        <f>SUM(I12:I27)</f>
        <v>126.91710000000002</v>
      </c>
      <c r="J28" s="127">
        <f>SUM(J12:J27)</f>
        <v>706081.37000000011</v>
      </c>
      <c r="M28" s="2"/>
      <c r="R28" s="907" t="s">
        <v>36</v>
      </c>
      <c r="S28" s="907"/>
      <c r="T28" s="908">
        <f>SUM(T12:T27)</f>
        <v>0</v>
      </c>
      <c r="U28" s="908"/>
      <c r="V28" s="909"/>
      <c r="W28" s="909"/>
      <c r="X28" s="158">
        <f>SUM(X12:X27)</f>
        <v>0</v>
      </c>
      <c r="Y28" s="266">
        <f>SUM(Y12:Y27)</f>
        <v>0</v>
      </c>
    </row>
    <row r="29" spans="1:25" ht="36" hidden="1" customHeight="1" x14ac:dyDescent="0.25">
      <c r="A29" s="868" t="s">
        <v>37</v>
      </c>
      <c r="B29" s="868"/>
      <c r="C29" s="868"/>
      <c r="D29" s="868"/>
      <c r="E29" s="868"/>
      <c r="F29" s="868"/>
      <c r="G29" s="868"/>
      <c r="H29" s="868"/>
      <c r="I29" s="868"/>
      <c r="J29" s="24"/>
      <c r="M29" s="2"/>
      <c r="R29" s="876" t="s">
        <v>37</v>
      </c>
      <c r="S29" s="876"/>
      <c r="T29" s="876"/>
      <c r="U29" s="876"/>
      <c r="V29" s="876"/>
      <c r="W29" s="876"/>
      <c r="X29" s="876"/>
      <c r="Y29" s="159"/>
    </row>
    <row r="30" spans="1:25" ht="56.25" hidden="1" customHeight="1" x14ac:dyDescent="0.25">
      <c r="A30" s="856" t="s">
        <v>38</v>
      </c>
      <c r="B30" s="856"/>
      <c r="C30" s="229"/>
      <c r="D30" s="229"/>
      <c r="E30" s="857" t="s">
        <v>39</v>
      </c>
      <c r="F30" s="858"/>
      <c r="G30" s="858"/>
      <c r="H30" s="858"/>
      <c r="I30" s="858"/>
      <c r="J30" s="18" t="s">
        <v>40</v>
      </c>
      <c r="L30" s="25"/>
      <c r="M30" s="25"/>
      <c r="R30" s="256" t="s">
        <v>38</v>
      </c>
      <c r="S30" s="256"/>
      <c r="T30" s="854" t="s">
        <v>158</v>
      </c>
      <c r="U30" s="855"/>
      <c r="V30" s="855"/>
      <c r="W30" s="855"/>
      <c r="X30" s="855"/>
      <c r="Y30" s="153" t="s">
        <v>40</v>
      </c>
    </row>
    <row r="31" spans="1:25" ht="20.25" hidden="1" customHeight="1" x14ac:dyDescent="0.25">
      <c r="A31" s="839" t="s">
        <v>41</v>
      </c>
      <c r="B31" s="839"/>
      <c r="C31" s="236"/>
      <c r="D31" s="236"/>
      <c r="E31" s="26"/>
      <c r="F31" s="26"/>
      <c r="G31" s="26"/>
      <c r="H31" s="26"/>
      <c r="I31" s="27"/>
      <c r="J31" s="28">
        <f>ROUND(ROUND(ROUND(I31*$E$6,4)*($I$6),0)*(MAX($I$7,1)),0)</f>
        <v>0</v>
      </c>
      <c r="M31" s="2"/>
      <c r="R31" s="860" t="s">
        <v>41</v>
      </c>
      <c r="S31" s="860"/>
      <c r="T31" s="910" t="e">
        <f>IF('[1]All charter school calculator'!X109=1,'[1]All charter school calculator'!X31,0)</f>
        <v>#REF!</v>
      </c>
      <c r="U31" s="910"/>
      <c r="V31" s="910"/>
      <c r="W31" s="910"/>
      <c r="X31" s="910"/>
      <c r="Y31" s="161">
        <f>J31</f>
        <v>0</v>
      </c>
    </row>
    <row r="32" spans="1:25" ht="20.25" hidden="1" customHeight="1" thickBot="1" x14ac:dyDescent="0.3">
      <c r="A32" s="912" t="s">
        <v>42</v>
      </c>
      <c r="B32" s="912"/>
      <c r="C32" s="912"/>
      <c r="D32" s="912"/>
      <c r="E32" s="912"/>
      <c r="F32" s="912"/>
      <c r="G32" s="29">
        <f>SUM(I31:I31)</f>
        <v>0</v>
      </c>
      <c r="H32" s="962" t="s">
        <v>43</v>
      </c>
      <c r="I32" s="962"/>
      <c r="J32" s="30">
        <f>SUM(J31:J31)</f>
        <v>0</v>
      </c>
      <c r="M32" s="2"/>
      <c r="R32" s="911" t="s">
        <v>42</v>
      </c>
      <c r="S32" s="911"/>
      <c r="T32" s="911"/>
      <c r="U32" s="911"/>
      <c r="V32" s="162" t="e">
        <f>SUM(T31:V31)</f>
        <v>#REF!</v>
      </c>
      <c r="W32" s="909" t="s">
        <v>43</v>
      </c>
      <c r="X32" s="909"/>
      <c r="Y32" s="163">
        <f>SUM(Y31:Y31)</f>
        <v>0</v>
      </c>
    </row>
    <row r="33" spans="1:25" ht="20.25" hidden="1" customHeight="1" thickBot="1" x14ac:dyDescent="0.3">
      <c r="A33" s="912" t="s">
        <v>44</v>
      </c>
      <c r="B33" s="912"/>
      <c r="C33" s="912"/>
      <c r="D33" s="912"/>
      <c r="E33" s="912"/>
      <c r="F33" s="912"/>
      <c r="G33" s="31">
        <f>G32+I28</f>
        <v>126.91710000000002</v>
      </c>
      <c r="H33" s="961" t="s">
        <v>45</v>
      </c>
      <c r="I33" s="961"/>
      <c r="J33" s="32">
        <f>SUM(J32,J28)</f>
        <v>706081.37000000011</v>
      </c>
      <c r="M33" s="2"/>
      <c r="R33" s="911" t="s">
        <v>44</v>
      </c>
      <c r="S33" s="911"/>
      <c r="T33" s="911"/>
      <c r="U33" s="911"/>
      <c r="V33" s="164" t="e">
        <f>V32+X28</f>
        <v>#REF!</v>
      </c>
      <c r="W33" s="909" t="s">
        <v>45</v>
      </c>
      <c r="X33" s="909"/>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47" t="s">
        <v>46</v>
      </c>
      <c r="B35" s="947"/>
      <c r="C35" s="947"/>
      <c r="D35" s="947"/>
      <c r="E35" s="947"/>
      <c r="F35" s="947"/>
      <c r="G35" s="248"/>
      <c r="J35" s="267"/>
      <c r="M35" s="2"/>
      <c r="R35" s="900" t="s">
        <v>46</v>
      </c>
      <c r="S35" s="862"/>
      <c r="T35" s="862"/>
      <c r="U35" s="862"/>
      <c r="V35" s="253"/>
      <c r="W35" s="170"/>
      <c r="X35" s="170"/>
      <c r="Y35" s="268"/>
    </row>
    <row r="36" spans="1:25" ht="20.25" customHeight="1" x14ac:dyDescent="0.25">
      <c r="A36" s="861" t="s">
        <v>47</v>
      </c>
      <c r="B36" s="861"/>
      <c r="C36" s="861"/>
      <c r="D36" s="861"/>
      <c r="E36" s="861"/>
      <c r="F36" s="248" t="s">
        <v>48</v>
      </c>
      <c r="G36" s="453">
        <v>570364.56999999995</v>
      </c>
      <c r="H36" s="223" t="s">
        <v>49</v>
      </c>
      <c r="I36" s="38">
        <v>6.6699999999999995E-2</v>
      </c>
      <c r="J36" s="131">
        <f>ROUND(G36*I36,2)</f>
        <v>38043.32</v>
      </c>
      <c r="K36" s="39"/>
      <c r="L36" s="233"/>
      <c r="M36" s="233"/>
      <c r="N36" s="233"/>
      <c r="O36" s="31"/>
      <c r="P36" s="232"/>
      <c r="Q36" s="232"/>
      <c r="R36" s="860" t="s">
        <v>47</v>
      </c>
      <c r="S36" s="860"/>
      <c r="T36" s="860"/>
      <c r="U36" s="253"/>
      <c r="V36" s="172">
        <v>0</v>
      </c>
      <c r="W36" s="239" t="s">
        <v>49</v>
      </c>
      <c r="X36" s="174">
        <v>6.6699999999999995E-2</v>
      </c>
      <c r="Y36" s="266">
        <f>ROUND(V36*X36,2)</f>
        <v>0</v>
      </c>
    </row>
    <row r="37" spans="1:25" ht="20.25" customHeight="1" x14ac:dyDescent="0.25">
      <c r="A37" s="861" t="s">
        <v>50</v>
      </c>
      <c r="B37" s="861"/>
      <c r="C37" s="861"/>
      <c r="D37" s="861"/>
      <c r="E37" s="861"/>
      <c r="F37" s="248" t="s">
        <v>48</v>
      </c>
      <c r="G37" s="453">
        <v>570364.56999999995</v>
      </c>
      <c r="H37" s="223" t="s">
        <v>49</v>
      </c>
      <c r="I37" s="38">
        <v>5.4000000000000003E-3</v>
      </c>
      <c r="J37" s="131">
        <f>ROUND(G37*I37,2)</f>
        <v>3079.97</v>
      </c>
      <c r="K37" s="39"/>
      <c r="L37" s="233"/>
      <c r="M37" s="233"/>
      <c r="N37" s="233"/>
      <c r="O37" s="31"/>
      <c r="P37" s="232"/>
      <c r="Q37" s="232"/>
      <c r="R37" s="860" t="s">
        <v>50</v>
      </c>
      <c r="S37" s="860"/>
      <c r="T37" s="860"/>
      <c r="U37" s="253"/>
      <c r="V37" s="172">
        <v>0</v>
      </c>
      <c r="W37" s="239" t="s">
        <v>49</v>
      </c>
      <c r="X37" s="174">
        <v>5.4000000000000003E-3</v>
      </c>
      <c r="Y37" s="266">
        <f>ROUND(V37*X37,2)</f>
        <v>0</v>
      </c>
    </row>
    <row r="38" spans="1:25" ht="20.25" customHeight="1" x14ac:dyDescent="0.25">
      <c r="A38" s="898" t="s">
        <v>51</v>
      </c>
      <c r="B38" s="898"/>
      <c r="C38" s="898"/>
      <c r="D38" s="898"/>
      <c r="E38" s="898"/>
      <c r="F38" s="248" t="s">
        <v>52</v>
      </c>
      <c r="G38" s="40"/>
      <c r="H38" s="223"/>
      <c r="I38" s="41"/>
      <c r="J38" s="131">
        <f>SUM(J36:J37)</f>
        <v>41123.29</v>
      </c>
      <c r="K38" s="39"/>
      <c r="L38" s="233"/>
      <c r="M38" s="233"/>
      <c r="N38" s="233"/>
      <c r="O38" s="31"/>
      <c r="P38" s="232"/>
      <c r="Q38" s="232"/>
      <c r="R38" s="862" t="s">
        <v>51</v>
      </c>
      <c r="S38" s="862"/>
      <c r="T38" s="862"/>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57" t="s">
        <v>53</v>
      </c>
      <c r="B40" s="957"/>
      <c r="C40" s="117" t="s">
        <v>572</v>
      </c>
      <c r="D40" s="117" t="s">
        <v>573</v>
      </c>
      <c r="E40" s="958" t="s">
        <v>156</v>
      </c>
      <c r="F40" s="958"/>
      <c r="G40" s="44" t="s">
        <v>55</v>
      </c>
      <c r="H40" s="250" t="s">
        <v>56</v>
      </c>
      <c r="I40" s="135" t="s">
        <v>57</v>
      </c>
      <c r="J40" s="44"/>
      <c r="K40" s="39"/>
      <c r="L40" s="233"/>
      <c r="M40" s="233"/>
      <c r="N40" s="233"/>
      <c r="O40" s="31"/>
      <c r="P40" s="232"/>
      <c r="Q40" s="232"/>
      <c r="R40" s="901" t="s">
        <v>53</v>
      </c>
      <c r="S40" s="901"/>
      <c r="T40" s="902" t="s">
        <v>54</v>
      </c>
      <c r="U40" s="902"/>
      <c r="V40" s="179" t="s">
        <v>55</v>
      </c>
      <c r="W40" s="246" t="s">
        <v>56</v>
      </c>
      <c r="X40" s="181" t="s">
        <v>57</v>
      </c>
      <c r="Y40" s="179"/>
    </row>
    <row r="41" spans="1:25" ht="17.25" customHeight="1" x14ac:dyDescent="0.25">
      <c r="A41" s="959" t="s">
        <v>58</v>
      </c>
      <c r="B41" s="959"/>
      <c r="C41" s="415">
        <v>0</v>
      </c>
      <c r="D41" s="415">
        <v>0</v>
      </c>
      <c r="E41" s="954">
        <f t="shared" ref="E41:E49" si="7">IF($D$50=0,C41*2,C41+D41)</f>
        <v>0</v>
      </c>
      <c r="F41" s="954"/>
      <c r="G41" s="223" t="s">
        <v>59</v>
      </c>
      <c r="H41" s="223">
        <v>251</v>
      </c>
      <c r="I41" s="136">
        <f>INDEX('[1]111-112-113 ADDITIONAL FUND'!D$1:D$65536,MATCH($A$1,'[1]111-112-113 ADDITIONAL FUND'!A$1:A$65536))</f>
        <v>1047</v>
      </c>
      <c r="J41" s="46">
        <f t="shared" ref="J41:J49" si="8">ROUND(E41*I41,2)</f>
        <v>0</v>
      </c>
      <c r="L41" s="3"/>
      <c r="M41" s="2"/>
      <c r="Q41" s="4"/>
      <c r="R41" s="903" t="s">
        <v>159</v>
      </c>
      <c r="S41" s="903"/>
      <c r="T41" s="867"/>
      <c r="U41" s="867"/>
      <c r="V41" s="239" t="s">
        <v>59</v>
      </c>
      <c r="W41" s="239">
        <v>251</v>
      </c>
      <c r="X41" s="134">
        <f t="shared" ref="X41:X49" si="9">I41</f>
        <v>1047</v>
      </c>
      <c r="Y41" s="269">
        <f>ROUND(T41*X41,2)</f>
        <v>0</v>
      </c>
    </row>
    <row r="42" spans="1:25" x14ac:dyDescent="0.25">
      <c r="A42" s="960"/>
      <c r="B42" s="960"/>
      <c r="C42" s="415">
        <v>0</v>
      </c>
      <c r="D42" s="415">
        <v>0</v>
      </c>
      <c r="E42" s="954">
        <f t="shared" si="7"/>
        <v>0</v>
      </c>
      <c r="F42" s="954"/>
      <c r="G42" s="223" t="s">
        <v>59</v>
      </c>
      <c r="H42" s="223">
        <v>252</v>
      </c>
      <c r="I42" s="136">
        <f>INDEX('[1]111-112-113 ADDITIONAL FUND'!E$1:E$65536,MATCH($A$1,'[1]111-112-113 ADDITIONAL FUND'!A$1:A$65536))</f>
        <v>3380</v>
      </c>
      <c r="J42" s="46">
        <f t="shared" si="8"/>
        <v>0</v>
      </c>
      <c r="M42" s="2"/>
      <c r="R42" s="903"/>
      <c r="S42" s="903"/>
      <c r="T42" s="904"/>
      <c r="U42" s="904"/>
      <c r="V42" s="239" t="s">
        <v>59</v>
      </c>
      <c r="W42" s="239">
        <v>252</v>
      </c>
      <c r="X42" s="134">
        <f t="shared" si="9"/>
        <v>3380</v>
      </c>
      <c r="Y42" s="269">
        <f t="shared" ref="Y42:Y49" si="10">ROUND(T42*X42,2)</f>
        <v>0</v>
      </c>
    </row>
    <row r="43" spans="1:25" x14ac:dyDescent="0.25">
      <c r="A43" s="960"/>
      <c r="B43" s="960"/>
      <c r="C43" s="415">
        <v>0</v>
      </c>
      <c r="D43" s="415">
        <v>0</v>
      </c>
      <c r="E43" s="954">
        <f t="shared" si="7"/>
        <v>0</v>
      </c>
      <c r="F43" s="954"/>
      <c r="G43" s="223" t="s">
        <v>59</v>
      </c>
      <c r="H43" s="223">
        <v>253</v>
      </c>
      <c r="I43" s="136">
        <f>INDEX('[1]111-112-113 ADDITIONAL FUND'!F$1:F$65536,MATCH($A$1,'[1]111-112-113 ADDITIONAL FUND'!A$1:A$65536))</f>
        <v>6896</v>
      </c>
      <c r="J43" s="46">
        <f t="shared" si="8"/>
        <v>0</v>
      </c>
      <c r="M43" s="2"/>
      <c r="R43" s="903"/>
      <c r="S43" s="903"/>
      <c r="T43" s="905"/>
      <c r="U43" s="905"/>
      <c r="V43" s="239" t="s">
        <v>59</v>
      </c>
      <c r="W43" s="239">
        <v>253</v>
      </c>
      <c r="X43" s="134">
        <f t="shared" si="9"/>
        <v>6896</v>
      </c>
      <c r="Y43" s="269">
        <f t="shared" si="10"/>
        <v>0</v>
      </c>
    </row>
    <row r="44" spans="1:25" x14ac:dyDescent="0.25">
      <c r="A44" s="960"/>
      <c r="B44" s="960"/>
      <c r="C44" s="415">
        <v>0</v>
      </c>
      <c r="D44" s="415">
        <v>0</v>
      </c>
      <c r="E44" s="954">
        <f t="shared" si="7"/>
        <v>0</v>
      </c>
      <c r="F44" s="954"/>
      <c r="G44" s="47" t="s">
        <v>60</v>
      </c>
      <c r="H44" s="223">
        <v>251</v>
      </c>
      <c r="I44" s="136">
        <f>INDEX('[1]111-112-113 ADDITIONAL FUND'!G$1:G$65536,MATCH($A$1,'[1]111-112-113 ADDITIONAL FUND'!A$1:A$65536))</f>
        <v>1173</v>
      </c>
      <c r="J44" s="137">
        <f t="shared" si="8"/>
        <v>0</v>
      </c>
      <c r="L44" s="3"/>
      <c r="M44" s="2"/>
      <c r="Q44" s="4"/>
      <c r="R44" s="903"/>
      <c r="S44" s="903"/>
      <c r="T44" s="905"/>
      <c r="U44" s="905"/>
      <c r="V44" s="182" t="s">
        <v>60</v>
      </c>
      <c r="W44" s="239">
        <v>251</v>
      </c>
      <c r="X44" s="134">
        <f t="shared" si="9"/>
        <v>1173</v>
      </c>
      <c r="Y44" s="269">
        <f t="shared" si="10"/>
        <v>0</v>
      </c>
    </row>
    <row r="45" spans="1:25" x14ac:dyDescent="0.25">
      <c r="A45" s="960"/>
      <c r="B45" s="960"/>
      <c r="C45" s="415">
        <v>0</v>
      </c>
      <c r="D45" s="415">
        <v>0</v>
      </c>
      <c r="E45" s="954">
        <f t="shared" si="7"/>
        <v>0</v>
      </c>
      <c r="F45" s="954"/>
      <c r="G45" s="47" t="s">
        <v>60</v>
      </c>
      <c r="H45" s="223">
        <v>252</v>
      </c>
      <c r="I45" s="136">
        <f>INDEX('[1]111-112-113 ADDITIONAL FUND'!H$1:H$65536,MATCH($A$1,'[1]111-112-113 ADDITIONAL FUND'!A$1:A$65536))</f>
        <v>3506</v>
      </c>
      <c r="J45" s="46">
        <f t="shared" si="8"/>
        <v>0</v>
      </c>
      <c r="M45" s="2"/>
      <c r="R45" s="903"/>
      <c r="S45" s="903"/>
      <c r="T45" s="905"/>
      <c r="U45" s="905"/>
      <c r="V45" s="182" t="s">
        <v>60</v>
      </c>
      <c r="W45" s="239">
        <v>252</v>
      </c>
      <c r="X45" s="134">
        <f t="shared" si="9"/>
        <v>3506</v>
      </c>
      <c r="Y45" s="269">
        <f t="shared" si="10"/>
        <v>0</v>
      </c>
    </row>
    <row r="46" spans="1:25" x14ac:dyDescent="0.25">
      <c r="A46" s="960"/>
      <c r="B46" s="960"/>
      <c r="C46" s="415">
        <v>0</v>
      </c>
      <c r="D46" s="415">
        <v>0</v>
      </c>
      <c r="E46" s="954">
        <f t="shared" si="7"/>
        <v>0</v>
      </c>
      <c r="F46" s="954"/>
      <c r="G46" s="47" t="s">
        <v>60</v>
      </c>
      <c r="H46" s="223">
        <v>253</v>
      </c>
      <c r="I46" s="136">
        <f>INDEX('[1]111-112-113 ADDITIONAL FUND'!I$1:I$65536,MATCH($A$1,'[1]111-112-113 ADDITIONAL FUND'!A$1:A$65536))</f>
        <v>7023</v>
      </c>
      <c r="J46" s="46">
        <f t="shared" si="8"/>
        <v>0</v>
      </c>
      <c r="M46" s="2"/>
      <c r="R46" s="903"/>
      <c r="S46" s="903"/>
      <c r="T46" s="905"/>
      <c r="U46" s="905"/>
      <c r="V46" s="182" t="s">
        <v>60</v>
      </c>
      <c r="W46" s="239">
        <v>253</v>
      </c>
      <c r="X46" s="134">
        <f t="shared" si="9"/>
        <v>7023</v>
      </c>
      <c r="Y46" s="269">
        <f t="shared" si="10"/>
        <v>0</v>
      </c>
    </row>
    <row r="47" spans="1:25" ht="16.5" customHeight="1" x14ac:dyDescent="0.25">
      <c r="A47" s="960"/>
      <c r="B47" s="960"/>
      <c r="C47" s="415">
        <v>7</v>
      </c>
      <c r="D47" s="415">
        <v>0</v>
      </c>
      <c r="E47" s="954">
        <f t="shared" si="7"/>
        <v>14</v>
      </c>
      <c r="F47" s="954"/>
      <c r="G47" s="47" t="s">
        <v>61</v>
      </c>
      <c r="H47" s="223">
        <v>251</v>
      </c>
      <c r="I47" s="136">
        <f>INDEX('[1]111-112-113 ADDITIONAL FUND'!J$1:J$65536,MATCH($A$1,'[1]111-112-113 ADDITIONAL FUND'!A$1:A$65536))</f>
        <v>835</v>
      </c>
      <c r="J47" s="46">
        <f t="shared" si="8"/>
        <v>11690</v>
      </c>
      <c r="M47" s="2"/>
      <c r="R47" s="903"/>
      <c r="S47" s="903"/>
      <c r="T47" s="905"/>
      <c r="U47" s="905"/>
      <c r="V47" s="182" t="s">
        <v>61</v>
      </c>
      <c r="W47" s="239">
        <v>251</v>
      </c>
      <c r="X47" s="134">
        <f t="shared" si="9"/>
        <v>835</v>
      </c>
      <c r="Y47" s="269">
        <f t="shared" si="10"/>
        <v>0</v>
      </c>
    </row>
    <row r="48" spans="1:25" ht="15.75" customHeight="1" x14ac:dyDescent="0.25">
      <c r="A48" s="960"/>
      <c r="B48" s="960"/>
      <c r="C48" s="415">
        <v>0</v>
      </c>
      <c r="D48" s="415">
        <v>0</v>
      </c>
      <c r="E48" s="954">
        <f t="shared" si="7"/>
        <v>0</v>
      </c>
      <c r="F48" s="954"/>
      <c r="G48" s="47" t="s">
        <v>61</v>
      </c>
      <c r="H48" s="223">
        <v>252</v>
      </c>
      <c r="I48" s="136">
        <f>INDEX('[1]111-112-113 ADDITIONAL FUND'!K$1:K$65536,MATCH($A$1,'[1]111-112-113 ADDITIONAL FUND'!A$1:A$65536))</f>
        <v>3168</v>
      </c>
      <c r="J48" s="46">
        <f t="shared" si="8"/>
        <v>0</v>
      </c>
      <c r="M48" s="2"/>
      <c r="R48" s="903"/>
      <c r="S48" s="903"/>
      <c r="T48" s="905"/>
      <c r="U48" s="905"/>
      <c r="V48" s="182" t="s">
        <v>61</v>
      </c>
      <c r="W48" s="239">
        <v>252</v>
      </c>
      <c r="X48" s="134">
        <f t="shared" si="9"/>
        <v>3168</v>
      </c>
      <c r="Y48" s="269">
        <f t="shared" si="10"/>
        <v>0</v>
      </c>
    </row>
    <row r="49" spans="1:25" ht="15.75" customHeight="1" thickBot="1" x14ac:dyDescent="0.3">
      <c r="A49" s="960"/>
      <c r="B49" s="960"/>
      <c r="C49" s="415">
        <v>0</v>
      </c>
      <c r="D49" s="415">
        <v>0</v>
      </c>
      <c r="E49" s="955">
        <f t="shared" si="7"/>
        <v>0</v>
      </c>
      <c r="F49" s="955"/>
      <c r="G49" s="47" t="s">
        <v>61</v>
      </c>
      <c r="H49" s="223">
        <v>253</v>
      </c>
      <c r="I49" s="136">
        <f>INDEX('[1]111-112-113 ADDITIONAL FUND'!L$1:L$65536,MATCH($A$1,'[1]111-112-113 ADDITIONAL FUND'!A$1:A$65536))</f>
        <v>6685</v>
      </c>
      <c r="J49" s="46">
        <f t="shared" si="8"/>
        <v>0</v>
      </c>
      <c r="M49" s="2"/>
      <c r="R49" s="903"/>
      <c r="S49" s="903"/>
      <c r="T49" s="913"/>
      <c r="U49" s="913"/>
      <c r="V49" s="182" t="s">
        <v>61</v>
      </c>
      <c r="W49" s="239">
        <v>253</v>
      </c>
      <c r="X49" s="134">
        <f t="shared" si="9"/>
        <v>6685</v>
      </c>
      <c r="Y49" s="269">
        <f t="shared" si="10"/>
        <v>0</v>
      </c>
    </row>
    <row r="50" spans="1:25" ht="15.75" customHeight="1" thickBot="1" x14ac:dyDescent="0.3">
      <c r="A50" s="912" t="s">
        <v>62</v>
      </c>
      <c r="B50" s="912"/>
      <c r="C50" s="585">
        <f>SUM(C41:C49)</f>
        <v>7</v>
      </c>
      <c r="D50" s="585">
        <f>SUM(D41:D49)</f>
        <v>0</v>
      </c>
      <c r="E50" s="956">
        <f>SUM(E41:E49)</f>
        <v>14</v>
      </c>
      <c r="F50" s="956"/>
      <c r="G50" s="912" t="s">
        <v>63</v>
      </c>
      <c r="H50" s="912"/>
      <c r="I50" s="912"/>
      <c r="J50" s="276">
        <f>SUM(J41:J49)</f>
        <v>11690</v>
      </c>
      <c r="M50" s="2"/>
      <c r="R50" s="911" t="s">
        <v>62</v>
      </c>
      <c r="S50" s="911"/>
      <c r="T50" s="914">
        <f>SUM(T42:T49)</f>
        <v>0</v>
      </c>
      <c r="U50" s="914"/>
      <c r="V50" s="911" t="s">
        <v>63</v>
      </c>
      <c r="W50" s="911"/>
      <c r="X50" s="911"/>
      <c r="Y50" s="270">
        <f>SUM(Y41:Y49)</f>
        <v>0</v>
      </c>
    </row>
    <row r="51" spans="1:25" ht="15.75" customHeight="1" x14ac:dyDescent="0.25">
      <c r="A51" s="233"/>
      <c r="B51" s="233"/>
      <c r="C51" s="233"/>
      <c r="D51" s="233"/>
      <c r="E51" s="232"/>
      <c r="F51" s="232"/>
      <c r="G51" s="233"/>
      <c r="H51" s="233"/>
      <c r="I51" s="233"/>
      <c r="J51" s="35"/>
      <c r="M51" s="2"/>
      <c r="R51" s="862" t="s">
        <v>64</v>
      </c>
      <c r="S51" s="862"/>
      <c r="T51" s="862"/>
      <c r="U51" s="862"/>
      <c r="V51" s="862"/>
      <c r="W51" s="862"/>
      <c r="X51" s="862"/>
      <c r="Y51" s="862"/>
    </row>
    <row r="52" spans="1:25" ht="29.25" customHeight="1" x14ac:dyDescent="0.25">
      <c r="A52" s="898" t="s">
        <v>64</v>
      </c>
      <c r="B52" s="898"/>
      <c r="C52" s="898"/>
      <c r="D52" s="898"/>
      <c r="E52" s="898"/>
      <c r="F52" s="898"/>
      <c r="G52" s="898"/>
      <c r="H52" s="898"/>
      <c r="I52" s="898"/>
      <c r="J52" s="898"/>
      <c r="M52" s="2"/>
      <c r="R52" s="917" t="s">
        <v>65</v>
      </c>
      <c r="S52" s="917"/>
      <c r="T52" s="183">
        <f>T28</f>
        <v>0</v>
      </c>
      <c r="U52" s="184" t="s">
        <v>66</v>
      </c>
      <c r="V52" s="185"/>
      <c r="W52" s="186" t="s">
        <v>67</v>
      </c>
      <c r="X52" s="919">
        <f>I53</f>
        <v>207782.75</v>
      </c>
      <c r="Y52" s="919"/>
    </row>
    <row r="53" spans="1:25" ht="16.5" customHeight="1" x14ac:dyDescent="0.25">
      <c r="A53" s="899" t="s">
        <v>65</v>
      </c>
      <c r="B53" s="899"/>
      <c r="C53" s="237"/>
      <c r="D53" s="237"/>
      <c r="E53" s="48">
        <f>E28</f>
        <v>126.56</v>
      </c>
      <c r="F53" s="49" t="s">
        <v>66</v>
      </c>
      <c r="G53" s="3"/>
      <c r="H53" s="50" t="s">
        <v>67</v>
      </c>
      <c r="I53" s="994">
        <f>'0040'!I53</f>
        <v>207782.75</v>
      </c>
      <c r="J53" s="994"/>
      <c r="M53" s="2"/>
      <c r="R53" s="255"/>
      <c r="S53" s="243"/>
      <c r="T53" s="170"/>
      <c r="U53" s="170"/>
      <c r="V53" s="170"/>
      <c r="W53" s="189" t="s">
        <v>68</v>
      </c>
      <c r="X53" s="920">
        <f>ROUND(T52/X52,6)</f>
        <v>0</v>
      </c>
      <c r="Y53" s="920"/>
    </row>
    <row r="54" spans="1:25" ht="22.5" customHeight="1" x14ac:dyDescent="0.25">
      <c r="A54" s="237"/>
      <c r="B54" s="230"/>
      <c r="C54" s="230"/>
      <c r="D54" s="230"/>
      <c r="H54" s="53" t="s">
        <v>68</v>
      </c>
      <c r="I54" s="945">
        <f>IFERROR(ROUND(E53/I53,6),0)</f>
        <v>6.0899999999999995E-4</v>
      </c>
      <c r="J54" s="945"/>
      <c r="M54" s="2"/>
      <c r="R54" s="862" t="s">
        <v>160</v>
      </c>
      <c r="S54" s="862"/>
      <c r="T54" s="862"/>
      <c r="U54" s="862"/>
      <c r="V54" s="862"/>
      <c r="W54" s="862"/>
      <c r="X54" s="862"/>
      <c r="Y54" s="862"/>
    </row>
    <row r="55" spans="1:25" ht="15" customHeight="1" x14ac:dyDescent="0.25">
      <c r="A55" s="898" t="s">
        <v>69</v>
      </c>
      <c r="B55" s="898"/>
      <c r="C55" s="898"/>
      <c r="D55" s="898"/>
      <c r="E55" s="898"/>
      <c r="F55" s="898"/>
      <c r="G55" s="898"/>
      <c r="H55" s="898"/>
      <c r="I55" s="898"/>
      <c r="J55" s="898"/>
      <c r="M55" s="2"/>
      <c r="R55" s="917" t="s">
        <v>70</v>
      </c>
      <c r="S55" s="917"/>
      <c r="T55" s="183">
        <f>X28</f>
        <v>0</v>
      </c>
      <c r="U55" s="184" t="s">
        <v>66</v>
      </c>
      <c r="V55" s="185"/>
      <c r="W55" s="186" t="s">
        <v>71</v>
      </c>
      <c r="X55" s="919">
        <f>I56</f>
        <v>221179.83999999997</v>
      </c>
      <c r="Y55" s="919"/>
    </row>
    <row r="56" spans="1:25" ht="16.5" customHeight="1" x14ac:dyDescent="0.25">
      <c r="A56" s="899" t="s">
        <v>70</v>
      </c>
      <c r="B56" s="899"/>
      <c r="C56" s="237"/>
      <c r="D56" s="237"/>
      <c r="E56" s="48">
        <f>G33</f>
        <v>126.91710000000002</v>
      </c>
      <c r="F56" s="49" t="s">
        <v>66</v>
      </c>
      <c r="G56" s="3"/>
      <c r="H56" s="50" t="s">
        <v>71</v>
      </c>
      <c r="I56" s="994">
        <f>'0040'!I56</f>
        <v>221179.83999999997</v>
      </c>
      <c r="J56" s="994"/>
      <c r="M56" s="2"/>
      <c r="R56" s="255"/>
      <c r="S56" s="170"/>
      <c r="T56" s="170"/>
      <c r="U56" s="170"/>
      <c r="V56" s="170"/>
      <c r="W56" s="189" t="s">
        <v>68</v>
      </c>
      <c r="X56" s="920">
        <f>ROUND(T55/X55,6)</f>
        <v>0</v>
      </c>
      <c r="Y56" s="920"/>
    </row>
    <row r="57" spans="1:25" ht="18.75" customHeight="1" x14ac:dyDescent="0.25">
      <c r="A57" s="237"/>
      <c r="H57" s="53" t="s">
        <v>68</v>
      </c>
      <c r="I57" s="945">
        <f>IFERROR(ROUND(E56/I56,6),0)</f>
        <v>5.7399999999999997E-4</v>
      </c>
      <c r="J57" s="945"/>
      <c r="M57" s="2"/>
      <c r="P57" s="235"/>
      <c r="Q57" s="54"/>
      <c r="R57" s="862" t="s">
        <v>72</v>
      </c>
      <c r="S57" s="862"/>
      <c r="T57" s="862"/>
      <c r="U57" s="862"/>
      <c r="V57" s="862"/>
      <c r="W57" s="862"/>
      <c r="X57" s="862"/>
      <c r="Y57" s="862"/>
    </row>
    <row r="58" spans="1:25" ht="18.75" customHeight="1" x14ac:dyDescent="0.25">
      <c r="A58" s="898" t="s">
        <v>72</v>
      </c>
      <c r="B58" s="898"/>
      <c r="C58" s="898"/>
      <c r="D58" s="898"/>
      <c r="E58" s="898"/>
      <c r="F58" s="898"/>
      <c r="G58" s="898"/>
      <c r="H58" s="898"/>
      <c r="I58" s="898"/>
      <c r="J58" s="898"/>
      <c r="M58" s="2"/>
      <c r="R58" s="917" t="s">
        <v>73</v>
      </c>
      <c r="S58" s="917"/>
      <c r="T58" s="183">
        <f>T28</f>
        <v>0</v>
      </c>
      <c r="U58" s="184" t="s">
        <v>66</v>
      </c>
      <c r="V58" s="918" t="s">
        <v>74</v>
      </c>
      <c r="W58" s="918"/>
      <c r="X58" s="919">
        <f>I59</f>
        <v>178931.75</v>
      </c>
      <c r="Y58" s="919"/>
    </row>
    <row r="59" spans="1:25" ht="18.75" customHeight="1" x14ac:dyDescent="0.25">
      <c r="A59" s="899" t="s">
        <v>73</v>
      </c>
      <c r="B59" s="899"/>
      <c r="C59" s="237"/>
      <c r="D59" s="237"/>
      <c r="E59" s="48">
        <f>E28</f>
        <v>126.56</v>
      </c>
      <c r="F59" s="49" t="s">
        <v>66</v>
      </c>
      <c r="G59" s="990" t="s">
        <v>74</v>
      </c>
      <c r="H59" s="990"/>
      <c r="I59" s="994">
        <f>'0040'!I59</f>
        <v>178931.75</v>
      </c>
      <c r="J59" s="994"/>
      <c r="M59" s="2"/>
      <c r="R59" s="255"/>
      <c r="S59" s="170"/>
      <c r="T59" s="170"/>
      <c r="U59" s="170"/>
      <c r="V59" s="170"/>
      <c r="W59" s="189" t="s">
        <v>68</v>
      </c>
      <c r="X59" s="920">
        <f>ROUND(T58/X58,6)</f>
        <v>0</v>
      </c>
      <c r="Y59" s="920"/>
    </row>
    <row r="60" spans="1:25" ht="18" customHeight="1" x14ac:dyDescent="0.25">
      <c r="A60" s="237"/>
      <c r="H60" s="53" t="s">
        <v>68</v>
      </c>
      <c r="I60" s="945">
        <f>IFERROR(ROUND(E59/I59,6),0)</f>
        <v>7.0699999999999995E-4</v>
      </c>
      <c r="J60" s="945"/>
      <c r="M60" s="2"/>
      <c r="R60" s="862" t="s">
        <v>75</v>
      </c>
      <c r="S60" s="862"/>
      <c r="T60" s="862"/>
      <c r="U60" s="862"/>
      <c r="V60" s="862"/>
      <c r="W60" s="862"/>
      <c r="X60" s="862"/>
      <c r="Y60" s="862"/>
    </row>
    <row r="61" spans="1:25" ht="19.5" customHeight="1" x14ac:dyDescent="0.25">
      <c r="A61" s="898" t="s">
        <v>75</v>
      </c>
      <c r="B61" s="898"/>
      <c r="C61" s="898"/>
      <c r="D61" s="898"/>
      <c r="E61" s="898"/>
      <c r="F61" s="898"/>
      <c r="G61" s="898"/>
      <c r="H61" s="898"/>
      <c r="I61" s="898"/>
      <c r="J61" s="898"/>
      <c r="M61" s="2"/>
      <c r="R61" s="917" t="s">
        <v>73</v>
      </c>
      <c r="S61" s="917"/>
      <c r="T61" s="183">
        <f>T28</f>
        <v>0</v>
      </c>
      <c r="U61" s="184" t="s">
        <v>66</v>
      </c>
      <c r="V61" s="918" t="s">
        <v>76</v>
      </c>
      <c r="W61" s="918"/>
      <c r="X61" s="919">
        <f>I62</f>
        <v>207463.82</v>
      </c>
      <c r="Y61" s="919"/>
    </row>
    <row r="62" spans="1:25" ht="30.75" customHeight="1" x14ac:dyDescent="0.25">
      <c r="A62" s="899" t="s">
        <v>73</v>
      </c>
      <c r="B62" s="899"/>
      <c r="C62" s="237"/>
      <c r="D62" s="237"/>
      <c r="E62" s="48">
        <f>E28</f>
        <v>126.56</v>
      </c>
      <c r="F62" s="49" t="s">
        <v>66</v>
      </c>
      <c r="G62" s="990" t="s">
        <v>76</v>
      </c>
      <c r="H62" s="990"/>
      <c r="I62" s="994">
        <f>'0040'!I62</f>
        <v>207463.82</v>
      </c>
      <c r="J62" s="994"/>
      <c r="M62" s="2"/>
      <c r="R62" s="255"/>
      <c r="S62" s="170"/>
      <c r="T62" s="170"/>
      <c r="U62" s="170"/>
      <c r="V62" s="170"/>
      <c r="W62" s="189" t="s">
        <v>68</v>
      </c>
      <c r="X62" s="920">
        <f>ROUND(T61/X61,6)</f>
        <v>0</v>
      </c>
      <c r="Y62" s="920"/>
    </row>
    <row r="63" spans="1:25" ht="19.5" customHeight="1" x14ac:dyDescent="0.25">
      <c r="A63" s="237"/>
      <c r="H63" s="53" t="s">
        <v>68</v>
      </c>
      <c r="I63" s="945">
        <f>IFERROR(ROUND(E62/I62,6),0)</f>
        <v>6.0999999999999997E-4</v>
      </c>
      <c r="J63" s="945"/>
      <c r="L63" s="55"/>
      <c r="M63" s="56"/>
      <c r="O63" s="57"/>
      <c r="P63" s="58"/>
      <c r="R63" s="862" t="s">
        <v>77</v>
      </c>
      <c r="S63" s="862"/>
      <c r="T63" s="862"/>
      <c r="U63" s="862"/>
      <c r="V63" s="862"/>
      <c r="W63" s="862"/>
      <c r="X63" s="862"/>
      <c r="Y63" s="862"/>
    </row>
    <row r="64" spans="1:25" ht="15" customHeight="1" x14ac:dyDescent="0.25">
      <c r="A64" s="898" t="s">
        <v>77</v>
      </c>
      <c r="B64" s="898"/>
      <c r="C64" s="898"/>
      <c r="D64" s="898"/>
      <c r="E64" s="898"/>
      <c r="F64" s="898"/>
      <c r="G64" s="898"/>
      <c r="H64" s="898"/>
      <c r="I64" s="898"/>
      <c r="J64" s="898"/>
      <c r="M64" s="2"/>
      <c r="R64" s="917" t="s">
        <v>73</v>
      </c>
      <c r="S64" s="917"/>
      <c r="T64" s="183">
        <f>T28</f>
        <v>0</v>
      </c>
      <c r="U64" s="184" t="s">
        <v>66</v>
      </c>
      <c r="V64" s="918" t="s">
        <v>161</v>
      </c>
      <c r="W64" s="918"/>
      <c r="X64" s="919">
        <f>I65</f>
        <v>178612.82</v>
      </c>
      <c r="Y64" s="919"/>
    </row>
    <row r="65" spans="1:26" ht="49.5" customHeight="1" x14ac:dyDescent="0.25">
      <c r="A65" s="899" t="s">
        <v>73</v>
      </c>
      <c r="B65" s="899"/>
      <c r="C65" s="237"/>
      <c r="D65" s="237"/>
      <c r="E65" s="48">
        <f>E28</f>
        <v>126.56</v>
      </c>
      <c r="F65" s="49" t="s">
        <v>66</v>
      </c>
      <c r="G65" s="990" t="s">
        <v>78</v>
      </c>
      <c r="H65" s="990"/>
      <c r="I65" s="994">
        <f>'0040'!I65</f>
        <v>178612.82</v>
      </c>
      <c r="J65" s="994"/>
      <c r="M65" s="2"/>
      <c r="R65" s="190"/>
      <c r="S65" s="170"/>
      <c r="T65" s="170"/>
      <c r="U65" s="170"/>
      <c r="V65" s="170"/>
      <c r="W65" s="189" t="s">
        <v>68</v>
      </c>
      <c r="X65" s="920">
        <f>ROUND(T64/X64,6)</f>
        <v>0</v>
      </c>
      <c r="Y65" s="920"/>
    </row>
    <row r="66" spans="1:26" ht="19.5" customHeight="1" x14ac:dyDescent="0.25">
      <c r="A66" s="237"/>
      <c r="H66" s="53" t="s">
        <v>68</v>
      </c>
      <c r="I66" s="945">
        <f>IFERROR(ROUND(E65/I65,6),0)</f>
        <v>7.0899999999999999E-4</v>
      </c>
      <c r="J66" s="94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62" t="s">
        <v>79</v>
      </c>
      <c r="S67" s="862"/>
      <c r="T67" s="862"/>
      <c r="U67" s="253"/>
      <c r="V67" s="193">
        <f>G68</f>
        <v>45629593</v>
      </c>
      <c r="W67" s="239" t="s">
        <v>81</v>
      </c>
      <c r="X67" s="176">
        <f>X62</f>
        <v>0</v>
      </c>
      <c r="Y67" s="271">
        <f>ROUND(V67*X67,2)</f>
        <v>0</v>
      </c>
    </row>
    <row r="68" spans="1:26" ht="30.75" customHeight="1" x14ac:dyDescent="0.25">
      <c r="A68" s="946" t="s">
        <v>79</v>
      </c>
      <c r="B68" s="946"/>
      <c r="C68" s="946"/>
      <c r="D68" s="946"/>
      <c r="E68" s="946"/>
      <c r="F68" s="248" t="s">
        <v>80</v>
      </c>
      <c r="G68" s="277">
        <f>'0040'!G68</f>
        <v>45629593</v>
      </c>
      <c r="H68" s="223" t="s">
        <v>81</v>
      </c>
      <c r="I68" s="41">
        <f>I63</f>
        <v>6.0999999999999997E-4</v>
      </c>
      <c r="J68" s="138">
        <f>ROUND(G68*I68,2)</f>
        <v>27834.05</v>
      </c>
      <c r="M68" s="2"/>
      <c r="R68" s="900" t="s">
        <v>82</v>
      </c>
      <c r="S68" s="900"/>
      <c r="T68" s="240"/>
      <c r="U68" s="253"/>
      <c r="V68" s="194"/>
      <c r="W68" s="239"/>
      <c r="X68" s="176"/>
      <c r="Y68" s="271"/>
    </row>
    <row r="69" spans="1:26" ht="30.75" customHeight="1" x14ac:dyDescent="0.25">
      <c r="A69" s="947" t="s">
        <v>82</v>
      </c>
      <c r="B69" s="947"/>
      <c r="C69" s="234"/>
      <c r="D69" s="234"/>
      <c r="E69" s="235"/>
      <c r="F69" s="248"/>
      <c r="G69" s="63"/>
      <c r="H69" s="223"/>
      <c r="I69" s="41"/>
      <c r="J69" s="62"/>
      <c r="M69" s="2"/>
      <c r="R69" s="923" t="s">
        <v>162</v>
      </c>
      <c r="S69" s="917"/>
      <c r="T69" s="917"/>
      <c r="U69" s="253"/>
      <c r="V69" s="195">
        <f>G70</f>
        <v>0</v>
      </c>
      <c r="W69" s="239" t="s">
        <v>81</v>
      </c>
      <c r="X69" s="176">
        <f>X53</f>
        <v>0</v>
      </c>
      <c r="Y69" s="266">
        <f t="shared" ref="Y69:Y71" si="11">ROUND(V69*X69,2)</f>
        <v>0</v>
      </c>
    </row>
    <row r="70" spans="1:26" ht="17.25" customHeight="1" x14ac:dyDescent="0.25">
      <c r="A70" s="948" t="s">
        <v>83</v>
      </c>
      <c r="B70" s="948"/>
      <c r="C70" s="948"/>
      <c r="D70" s="948"/>
      <c r="E70" s="948"/>
      <c r="F70" s="248" t="s">
        <v>84</v>
      </c>
      <c r="G70" s="277">
        <f>'0040'!G70</f>
        <v>0</v>
      </c>
      <c r="H70" s="223" t="s">
        <v>81</v>
      </c>
      <c r="I70" s="41">
        <f>I54</f>
        <v>6.0899999999999995E-4</v>
      </c>
      <c r="J70" s="138">
        <f>ROUND(G70*I70,2)</f>
        <v>0</v>
      </c>
      <c r="M70" s="2"/>
      <c r="R70" s="862" t="s">
        <v>163</v>
      </c>
      <c r="S70" s="862"/>
      <c r="T70" s="862"/>
      <c r="U70" s="253"/>
      <c r="V70" s="193">
        <f>G71</f>
        <v>18934058</v>
      </c>
      <c r="W70" s="239" t="s">
        <v>81</v>
      </c>
      <c r="X70" s="176">
        <f>X65</f>
        <v>0</v>
      </c>
      <c r="Y70" s="266">
        <f t="shared" si="11"/>
        <v>0</v>
      </c>
    </row>
    <row r="71" spans="1:26" ht="19.5" customHeight="1" x14ac:dyDescent="0.25">
      <c r="A71" s="898" t="s">
        <v>85</v>
      </c>
      <c r="B71" s="898"/>
      <c r="C71" s="898"/>
      <c r="D71" s="898"/>
      <c r="E71" s="898"/>
      <c r="F71" s="248" t="s">
        <v>86</v>
      </c>
      <c r="G71" s="277">
        <f>'0040'!G71</f>
        <v>18934058</v>
      </c>
      <c r="H71" s="223" t="s">
        <v>81</v>
      </c>
      <c r="I71" s="41">
        <f>I66</f>
        <v>7.0899999999999999E-4</v>
      </c>
      <c r="J71" s="138">
        <f>ROUND(G71*I71,2)</f>
        <v>13424.25</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7.0699999999999995E-4</v>
      </c>
      <c r="J72" s="138">
        <f>ROUND(G72*I72,2)</f>
        <v>7989.11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53" t="s">
        <v>91</v>
      </c>
      <c r="S73" s="853"/>
      <c r="T73" s="854" t="s">
        <v>166</v>
      </c>
      <c r="U73" s="855"/>
      <c r="V73" s="855"/>
      <c r="W73" s="855"/>
      <c r="X73" s="855"/>
      <c r="Y73" s="153"/>
    </row>
    <row r="74" spans="1:26" ht="63" customHeight="1" x14ac:dyDescent="0.25">
      <c r="A74" s="856" t="s">
        <v>91</v>
      </c>
      <c r="B74" s="856"/>
      <c r="C74" s="229"/>
      <c r="D74" s="229"/>
      <c r="E74" s="857" t="s">
        <v>92</v>
      </c>
      <c r="F74" s="858"/>
      <c r="G74" s="858"/>
      <c r="H74" s="858"/>
      <c r="I74" s="858"/>
      <c r="J74" s="18"/>
      <c r="M74" s="2"/>
      <c r="R74" s="859" t="s">
        <v>93</v>
      </c>
      <c r="S74" s="859"/>
      <c r="T74" s="197"/>
      <c r="U74" s="197"/>
      <c r="V74" s="197"/>
      <c r="W74" s="197"/>
      <c r="X74" s="197"/>
      <c r="Y74" s="197"/>
    </row>
    <row r="75" spans="1:26" ht="22.5" customHeight="1" x14ac:dyDescent="0.25">
      <c r="A75" s="839" t="s">
        <v>93</v>
      </c>
      <c r="B75" s="839"/>
      <c r="C75" s="236"/>
      <c r="D75" s="236"/>
      <c r="E75" s="65"/>
      <c r="F75" s="65"/>
      <c r="G75" s="65"/>
      <c r="H75" s="65"/>
      <c r="I75" s="65"/>
      <c r="J75" s="129"/>
      <c r="L75" s="66"/>
      <c r="M75" s="2"/>
      <c r="O75" s="248"/>
      <c r="P75" s="248"/>
      <c r="R75" s="859" t="s">
        <v>94</v>
      </c>
      <c r="S75" s="859"/>
      <c r="T75" s="197"/>
      <c r="U75" s="197"/>
      <c r="V75" s="197"/>
      <c r="W75" s="197"/>
      <c r="X75" s="197"/>
      <c r="Y75" s="197"/>
    </row>
    <row r="76" spans="1:26" ht="18.75" customHeight="1" x14ac:dyDescent="0.25">
      <c r="A76" s="839" t="s">
        <v>94</v>
      </c>
      <c r="B76" s="839"/>
      <c r="C76" s="236"/>
      <c r="D76" s="236"/>
      <c r="E76" s="65"/>
      <c r="F76" s="65"/>
      <c r="G76" s="65"/>
      <c r="H76" s="65"/>
      <c r="I76" s="65"/>
      <c r="J76" s="129"/>
      <c r="L76" s="67"/>
      <c r="M76" s="2"/>
      <c r="O76" s="248"/>
      <c r="P76" s="248"/>
      <c r="R76" s="863" t="s">
        <v>95</v>
      </c>
      <c r="S76" s="863"/>
      <c r="T76" s="198"/>
      <c r="U76" s="198"/>
      <c r="V76" s="198"/>
      <c r="W76" s="198"/>
      <c r="X76" s="198"/>
      <c r="Y76" s="197"/>
    </row>
    <row r="77" spans="1:26" ht="18.75" customHeight="1" x14ac:dyDescent="0.25">
      <c r="A77" s="864" t="s">
        <v>95</v>
      </c>
      <c r="B77" s="864"/>
      <c r="C77" s="244"/>
      <c r="D77" s="244"/>
      <c r="E77" s="68"/>
      <c r="F77" s="68"/>
      <c r="G77" s="68"/>
      <c r="H77" s="68"/>
      <c r="I77" s="68"/>
      <c r="J77" s="128">
        <v>1.92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59" t="s">
        <v>97</v>
      </c>
      <c r="S78" s="859"/>
      <c r="T78" s="197"/>
      <c r="U78" s="197"/>
      <c r="V78" s="197"/>
      <c r="W78" s="197"/>
      <c r="X78" s="197"/>
      <c r="Y78" s="197"/>
      <c r="Z78" s="72"/>
    </row>
    <row r="79" spans="1:26" ht="18.75" customHeight="1" x14ac:dyDescent="0.25">
      <c r="A79" s="839" t="s">
        <v>97</v>
      </c>
      <c r="B79" s="839"/>
      <c r="C79" s="236"/>
      <c r="D79" s="236"/>
      <c r="E79" s="65"/>
      <c r="F79" s="65"/>
      <c r="G79" s="65"/>
      <c r="H79" s="65"/>
      <c r="I79" s="65"/>
      <c r="J79" s="129"/>
      <c r="K79" s="70"/>
      <c r="L79" s="70"/>
      <c r="M79" s="71"/>
      <c r="N79" s="70"/>
      <c r="O79" s="70"/>
      <c r="P79" s="70"/>
      <c r="Q79" s="70"/>
      <c r="R79" s="865" t="s">
        <v>98</v>
      </c>
      <c r="S79" s="865"/>
      <c r="T79" s="200"/>
      <c r="U79" s="200"/>
      <c r="V79" s="200"/>
      <c r="W79" s="200"/>
      <c r="X79" s="200"/>
      <c r="Y79" s="197"/>
      <c r="Z79" s="72"/>
    </row>
    <row r="80" spans="1:26" ht="17.25" customHeight="1" x14ac:dyDescent="0.25">
      <c r="A80" s="866" t="s">
        <v>98</v>
      </c>
      <c r="B80" s="866"/>
      <c r="C80" s="231"/>
      <c r="D80" s="231"/>
      <c r="E80" s="73"/>
      <c r="F80" s="73"/>
      <c r="G80" s="73"/>
      <c r="H80" s="73"/>
      <c r="I80" s="73"/>
      <c r="J80" s="129">
        <v>0</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1.92</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60" t="s">
        <v>101</v>
      </c>
      <c r="S83" s="860"/>
      <c r="T83" s="170"/>
      <c r="U83" s="170"/>
      <c r="V83" s="171">
        <f>G84</f>
        <v>58502790</v>
      </c>
      <c r="W83" s="239" t="s">
        <v>81</v>
      </c>
      <c r="X83" s="176">
        <f>IFERROR(ROUND(Y80/Y81,6),0)</f>
        <v>0</v>
      </c>
      <c r="Y83" s="266">
        <f>ROUND(V83*X83,2)</f>
        <v>0</v>
      </c>
      <c r="Z83" s="72"/>
    </row>
    <row r="84" spans="1:26" ht="21" customHeight="1" x14ac:dyDescent="0.25">
      <c r="A84" s="861" t="s">
        <v>101</v>
      </c>
      <c r="B84" s="861"/>
      <c r="C84" s="230"/>
      <c r="D84" s="230"/>
      <c r="G84" s="277">
        <f>'0040'!G84</f>
        <v>58502790</v>
      </c>
      <c r="H84" s="223" t="s">
        <v>81</v>
      </c>
      <c r="I84" s="41">
        <f>IFERROR(ROUND(J81/J82,6),0)</f>
        <v>1.4899999999999999E-4</v>
      </c>
      <c r="J84" s="62">
        <f>ROUND(G84*I84,2)</f>
        <v>8716.92</v>
      </c>
      <c r="K84" s="70"/>
      <c r="L84" s="70"/>
      <c r="M84" s="71"/>
      <c r="N84" s="70"/>
      <c r="O84" s="70"/>
      <c r="P84" s="70"/>
      <c r="Q84" s="70"/>
      <c r="R84" s="862" t="s">
        <v>167</v>
      </c>
      <c r="S84" s="862"/>
      <c r="T84" s="862"/>
      <c r="U84" s="253"/>
      <c r="V84" s="274"/>
      <c r="W84" s="239"/>
      <c r="X84" s="176"/>
      <c r="Y84" s="266"/>
    </row>
    <row r="85" spans="1:26" ht="17.25" customHeight="1" x14ac:dyDescent="0.25">
      <c r="A85" s="898" t="s">
        <v>102</v>
      </c>
      <c r="B85" s="898"/>
      <c r="C85" s="898"/>
      <c r="D85" s="898"/>
      <c r="E85" s="898"/>
      <c r="F85" s="248" t="s">
        <v>103</v>
      </c>
      <c r="G85" s="277">
        <f>'0040'!G85</f>
        <v>268816278</v>
      </c>
      <c r="H85" s="223" t="s">
        <v>81</v>
      </c>
      <c r="I85" s="41">
        <f>I57</f>
        <v>5.7399999999999997E-4</v>
      </c>
      <c r="J85" s="138">
        <f>ROUND(G85*I85,2)</f>
        <v>154300.54</v>
      </c>
      <c r="K85" s="70"/>
      <c r="L85" s="70"/>
      <c r="M85" s="71"/>
      <c r="N85" s="70"/>
      <c r="O85" s="70"/>
      <c r="P85" s="70"/>
      <c r="Q85" s="70"/>
      <c r="R85" s="862" t="s">
        <v>168</v>
      </c>
      <c r="S85" s="862"/>
      <c r="T85" s="862"/>
      <c r="U85" s="253"/>
      <c r="V85" s="171">
        <f>G85</f>
        <v>268816278</v>
      </c>
      <c r="W85" s="239" t="s">
        <v>81</v>
      </c>
      <c r="X85" s="176">
        <f>X56</f>
        <v>0</v>
      </c>
      <c r="Y85" s="266">
        <f t="shared" ref="Y85:Y87" si="12">ROUND(V85*X85,2)</f>
        <v>0</v>
      </c>
    </row>
    <row r="86" spans="1:26" ht="14.25" customHeight="1" x14ac:dyDescent="0.25">
      <c r="A86" s="898" t="s">
        <v>104</v>
      </c>
      <c r="B86" s="898"/>
      <c r="C86" s="898"/>
      <c r="D86" s="898"/>
      <c r="E86" s="898"/>
      <c r="F86" s="248" t="s">
        <v>103</v>
      </c>
      <c r="G86" s="139">
        <v>0</v>
      </c>
      <c r="H86" s="223" t="s">
        <v>81</v>
      </c>
      <c r="I86" s="41">
        <f>I57</f>
        <v>5.7399999999999997E-4</v>
      </c>
      <c r="J86" s="138">
        <f>ROUND(G86*I86,2)</f>
        <v>0</v>
      </c>
      <c r="K86" s="70"/>
      <c r="L86" s="71"/>
      <c r="M86" s="76"/>
      <c r="N86" s="76"/>
      <c r="O86" s="76"/>
      <c r="P86" s="76"/>
      <c r="Q86" s="70"/>
      <c r="R86" s="862" t="s">
        <v>169</v>
      </c>
      <c r="S86" s="862"/>
      <c r="T86" s="862"/>
      <c r="U86" s="253"/>
      <c r="V86" s="203">
        <f>G86</f>
        <v>0</v>
      </c>
      <c r="W86" s="239" t="s">
        <v>81</v>
      </c>
      <c r="X86" s="176">
        <f>X56</f>
        <v>0</v>
      </c>
      <c r="Y86" s="266">
        <f t="shared" si="12"/>
        <v>0</v>
      </c>
    </row>
    <row r="87" spans="1:26" ht="18" customHeight="1" x14ac:dyDescent="0.25">
      <c r="A87" s="898" t="s">
        <v>105</v>
      </c>
      <c r="B87" s="898"/>
      <c r="C87" s="898"/>
      <c r="D87" s="898"/>
      <c r="E87" s="898"/>
      <c r="F87" s="248" t="s">
        <v>84</v>
      </c>
      <c r="G87" s="139">
        <v>0</v>
      </c>
      <c r="H87" s="223" t="s">
        <v>81</v>
      </c>
      <c r="I87" s="41">
        <f>I54</f>
        <v>6.0899999999999995E-4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898" t="s">
        <v>106</v>
      </c>
      <c r="B88" s="898"/>
      <c r="C88" s="898"/>
      <c r="D88" s="898"/>
      <c r="E88" s="898"/>
      <c r="F88" s="898"/>
      <c r="G88" s="898"/>
      <c r="H88" s="898"/>
      <c r="I88" s="898"/>
      <c r="J88" s="898"/>
      <c r="K88" s="70"/>
      <c r="L88" s="70"/>
      <c r="M88" s="71"/>
      <c r="N88" s="70"/>
      <c r="O88" s="70"/>
      <c r="P88" s="70"/>
      <c r="Q88" s="70"/>
      <c r="R88" s="862" t="s">
        <v>171</v>
      </c>
      <c r="S88" s="862"/>
      <c r="T88" s="862"/>
      <c r="U88" s="862"/>
      <c r="V88" s="862"/>
      <c r="W88" s="862"/>
      <c r="X88" s="862"/>
      <c r="Y88" s="862"/>
    </row>
    <row r="89" spans="1:26" ht="15.75" customHeight="1" x14ac:dyDescent="0.25">
      <c r="A89" s="78"/>
      <c r="B89" s="79" t="s">
        <v>107</v>
      </c>
      <c r="C89" s="79"/>
      <c r="D89" s="868" t="s">
        <v>108</v>
      </c>
      <c r="E89" s="868"/>
      <c r="F89" s="868"/>
      <c r="G89" s="989" t="s">
        <v>109</v>
      </c>
      <c r="H89" s="989"/>
      <c r="I89" s="989"/>
      <c r="J89" s="989"/>
      <c r="K89" s="70"/>
      <c r="L89" s="70"/>
      <c r="M89" s="71"/>
      <c r="N89" s="70"/>
      <c r="O89" s="70"/>
      <c r="P89" s="70"/>
      <c r="Q89" s="70"/>
      <c r="R89" s="931" t="s">
        <v>107</v>
      </c>
      <c r="S89" s="931"/>
      <c r="T89" s="876" t="s">
        <v>172</v>
      </c>
      <c r="U89" s="932"/>
      <c r="V89" s="933" t="s">
        <v>109</v>
      </c>
      <c r="W89" s="933"/>
      <c r="X89" s="933"/>
      <c r="Y89" s="933"/>
    </row>
    <row r="90" spans="1:26" ht="18.75" customHeight="1" x14ac:dyDescent="0.25">
      <c r="A90" s="233" t="s">
        <v>110</v>
      </c>
      <c r="B90" s="245">
        <f>I12+I13+I18+I21+I24</f>
        <v>0</v>
      </c>
      <c r="C90" s="245"/>
      <c r="D90" s="869">
        <f>I6</f>
        <v>1.0355000000000001</v>
      </c>
      <c r="E90" s="869"/>
      <c r="F90" s="869"/>
      <c r="G90" s="122">
        <f>'[1]Detail 2025-26 FEFP Second'!AB3</f>
        <v>958.42</v>
      </c>
      <c r="H90" s="47" t="s">
        <v>68</v>
      </c>
      <c r="I90" s="141">
        <f>ROUND(B90*D90*G90,2)</f>
        <v>0</v>
      </c>
      <c r="J90" s="81"/>
      <c r="K90" s="70"/>
      <c r="L90" s="70"/>
      <c r="M90" s="71"/>
      <c r="N90" s="70"/>
      <c r="O90" s="70"/>
      <c r="P90" s="70"/>
      <c r="Q90" s="70"/>
      <c r="R90" s="238" t="s">
        <v>110</v>
      </c>
      <c r="S90" s="251">
        <f>X12+X13+X18+X21+X24</f>
        <v>0</v>
      </c>
      <c r="T90" s="924">
        <f>X6</f>
        <v>1.0355000000000001</v>
      </c>
      <c r="U90" s="924"/>
      <c r="V90" s="122">
        <f>G90</f>
        <v>958.42</v>
      </c>
      <c r="W90" s="182" t="s">
        <v>68</v>
      </c>
      <c r="X90" s="272">
        <f>ROUND(S90*T90*V90,2)</f>
        <v>0</v>
      </c>
      <c r="Y90" s="205"/>
    </row>
    <row r="91" spans="1:26" ht="21" customHeight="1" x14ac:dyDescent="0.25">
      <c r="A91" s="82" t="s">
        <v>60</v>
      </c>
      <c r="B91" s="245">
        <f>I14+I15+I19+I22+I25</f>
        <v>0</v>
      </c>
      <c r="C91" s="245"/>
      <c r="D91" s="869">
        <f>I6</f>
        <v>1.0355000000000001</v>
      </c>
      <c r="E91" s="869"/>
      <c r="F91" s="869"/>
      <c r="G91" s="122">
        <f>'[1]Detail 2025-26 FEFP Second'!AC3</f>
        <v>915.09</v>
      </c>
      <c r="H91" s="47" t="s">
        <v>68</v>
      </c>
      <c r="I91" s="140">
        <f>ROUND(B91*D91*G91,2)</f>
        <v>0</v>
      </c>
      <c r="K91" s="70"/>
      <c r="L91" s="70"/>
      <c r="M91" s="71"/>
      <c r="N91" s="70"/>
      <c r="O91" s="70"/>
      <c r="P91" s="70"/>
      <c r="Q91" s="70"/>
      <c r="R91" s="206" t="s">
        <v>60</v>
      </c>
      <c r="S91" s="251">
        <f>X14+X15+X19+X22+X25</f>
        <v>0</v>
      </c>
      <c r="T91" s="924">
        <f>X6</f>
        <v>1.0355000000000001</v>
      </c>
      <c r="U91" s="924"/>
      <c r="V91" s="122">
        <f>G91</f>
        <v>915.09</v>
      </c>
      <c r="W91" s="182" t="s">
        <v>68</v>
      </c>
      <c r="X91" s="272">
        <f>ROUND(S91*T91*V91,2)</f>
        <v>0</v>
      </c>
      <c r="Y91" s="170"/>
    </row>
    <row r="92" spans="1:26" ht="19.5" customHeight="1" thickBot="1" x14ac:dyDescent="0.3">
      <c r="A92" s="83" t="s">
        <v>61</v>
      </c>
      <c r="B92" s="109">
        <f>I16+I17+I20+I23+I26+I27</f>
        <v>126.91710000000002</v>
      </c>
      <c r="C92" s="109"/>
      <c r="D92" s="869">
        <f>I6</f>
        <v>1.0355000000000001</v>
      </c>
      <c r="E92" s="869"/>
      <c r="F92" s="869"/>
      <c r="G92" s="122">
        <f>'[1]Detail 2025-26 FEFP Second'!AD3</f>
        <v>917.3</v>
      </c>
      <c r="H92" s="47" t="s">
        <v>68</v>
      </c>
      <c r="I92" s="575">
        <f>ROUND(B92*D92*G92,2)</f>
        <v>120554</v>
      </c>
      <c r="K92" s="70"/>
      <c r="L92" s="70"/>
      <c r="M92" s="71"/>
      <c r="N92" s="70"/>
      <c r="O92" s="70"/>
      <c r="P92" s="70"/>
      <c r="Q92" s="70"/>
      <c r="R92" s="207" t="s">
        <v>61</v>
      </c>
      <c r="S92" s="208">
        <f>X16+X17+X20+X23+X26+X27</f>
        <v>0</v>
      </c>
      <c r="T92" s="924">
        <f>X6</f>
        <v>1.0355000000000001</v>
      </c>
      <c r="U92" s="924"/>
      <c r="V92" s="122">
        <f>G92</f>
        <v>917.3</v>
      </c>
      <c r="W92" s="182" t="s">
        <v>68</v>
      </c>
      <c r="X92" s="272">
        <f>ROUND(S92*T92*V92,2)</f>
        <v>0</v>
      </c>
      <c r="Y92" s="170"/>
    </row>
    <row r="93" spans="1:26" ht="18.75" customHeight="1" thickBot="1" x14ac:dyDescent="0.3">
      <c r="A93" s="247" t="s">
        <v>111</v>
      </c>
      <c r="B93" s="109">
        <f>SUM(B90:B92)</f>
        <v>126.91710000000002</v>
      </c>
      <c r="C93" s="109"/>
      <c r="D93" s="109"/>
      <c r="E93" s="939" t="s">
        <v>112</v>
      </c>
      <c r="F93" s="939"/>
      <c r="G93" s="939"/>
      <c r="H93" s="939"/>
      <c r="I93" s="939"/>
      <c r="J93" s="127">
        <f>IF(A1=75,0,I92+I91+I90)</f>
        <v>120554</v>
      </c>
      <c r="K93" s="70"/>
      <c r="L93" s="70"/>
      <c r="M93" s="71"/>
      <c r="N93" s="70"/>
      <c r="O93" s="70"/>
      <c r="P93" s="70"/>
      <c r="Q93" s="70"/>
      <c r="R93" s="252" t="s">
        <v>111</v>
      </c>
      <c r="S93" s="210">
        <f>SUM(S90:S92)</f>
        <v>0</v>
      </c>
      <c r="T93" s="925" t="s">
        <v>112</v>
      </c>
      <c r="U93" s="926"/>
      <c r="V93" s="926"/>
      <c r="W93" s="926"/>
      <c r="X93" s="926"/>
      <c r="Y93" s="266">
        <f>IF(R1=75,0,X92+X91+X90)</f>
        <v>0</v>
      </c>
    </row>
    <row r="94" spans="1:26" ht="18" customHeight="1" x14ac:dyDescent="0.25">
      <c r="A94" s="940" t="s">
        <v>113</v>
      </c>
      <c r="B94" s="940"/>
      <c r="C94" s="940"/>
      <c r="D94" s="940"/>
      <c r="E94" s="940"/>
      <c r="F94" s="940"/>
      <c r="G94" s="940"/>
      <c r="H94" s="940"/>
      <c r="I94" s="940"/>
      <c r="J94" s="940"/>
      <c r="K94" s="70"/>
      <c r="L94" s="70"/>
      <c r="M94" s="71"/>
      <c r="N94" s="70"/>
      <c r="O94" s="70"/>
      <c r="P94" s="70"/>
      <c r="Q94" s="70"/>
      <c r="R94" s="927" t="s">
        <v>113</v>
      </c>
      <c r="S94" s="927"/>
      <c r="T94" s="927"/>
      <c r="U94" s="927"/>
      <c r="V94" s="927"/>
      <c r="W94" s="927"/>
      <c r="X94" s="927"/>
      <c r="Y94" s="927"/>
    </row>
    <row r="95" spans="1:26" ht="17.25" customHeight="1" x14ac:dyDescent="0.25">
      <c r="A95" s="898" t="s">
        <v>114</v>
      </c>
      <c r="B95" s="898"/>
      <c r="C95" s="898"/>
      <c r="D95" s="898"/>
      <c r="E95" s="898"/>
      <c r="F95" s="248" t="s">
        <v>115</v>
      </c>
      <c r="G95" s="941"/>
      <c r="H95" s="941"/>
      <c r="I95" s="941"/>
      <c r="J95" s="941"/>
      <c r="K95" s="70"/>
      <c r="L95" s="70"/>
      <c r="M95" s="71"/>
      <c r="N95" s="70"/>
      <c r="O95" s="70"/>
      <c r="P95" s="70"/>
      <c r="Q95" s="70"/>
      <c r="R95" s="862" t="s">
        <v>173</v>
      </c>
      <c r="S95" s="862"/>
      <c r="T95" s="862"/>
      <c r="U95" s="253"/>
      <c r="V95" s="928"/>
      <c r="W95" s="928"/>
      <c r="X95" s="928"/>
      <c r="Y95" s="928"/>
    </row>
    <row r="96" spans="1:26" ht="15" customHeight="1" x14ac:dyDescent="0.25">
      <c r="B96" s="235"/>
      <c r="C96" s="123" t="s">
        <v>572</v>
      </c>
      <c r="D96" s="123" t="s">
        <v>573</v>
      </c>
      <c r="E96" s="872" t="s">
        <v>157</v>
      </c>
      <c r="F96" s="872"/>
      <c r="G96" s="872"/>
      <c r="H96" s="248"/>
      <c r="I96" s="248"/>
      <c r="J96" s="248"/>
      <c r="K96" s="70"/>
      <c r="L96" s="70"/>
      <c r="M96" s="71"/>
      <c r="N96" s="70"/>
      <c r="O96" s="70"/>
      <c r="P96" s="70"/>
      <c r="Q96" s="70"/>
      <c r="R96" s="929" t="s">
        <v>116</v>
      </c>
      <c r="S96" s="929"/>
      <c r="T96" s="930">
        <f>IF(I111=1,E97,0)</f>
        <v>0</v>
      </c>
      <c r="U96" s="930"/>
      <c r="V96" s="930"/>
      <c r="W96" s="261" t="s">
        <v>117</v>
      </c>
      <c r="X96" s="212">
        <f>I97</f>
        <v>586</v>
      </c>
      <c r="Y96" s="266">
        <f>ROUND(X96*T96,2)</f>
        <v>0</v>
      </c>
    </row>
    <row r="97" spans="1:25" ht="17.25" customHeight="1" x14ac:dyDescent="0.25">
      <c r="A97" s="912" t="s">
        <v>116</v>
      </c>
      <c r="B97" s="912"/>
      <c r="C97" s="415">
        <v>0</v>
      </c>
      <c r="D97" s="415">
        <v>0</v>
      </c>
      <c r="E97" s="988">
        <f>(C97+D97)/2</f>
        <v>0</v>
      </c>
      <c r="F97" s="942"/>
      <c r="G97" s="942"/>
      <c r="H97" s="224" t="s">
        <v>117</v>
      </c>
      <c r="I97" s="130">
        <f>'0040'!I97</f>
        <v>586</v>
      </c>
      <c r="J97" s="138">
        <f>ROUND(I97*E97,2)</f>
        <v>0</v>
      </c>
      <c r="K97" s="70"/>
      <c r="L97" s="70"/>
      <c r="M97" s="71"/>
      <c r="N97" s="70"/>
      <c r="O97" s="70"/>
      <c r="P97" s="70"/>
      <c r="Q97" s="70"/>
      <c r="R97" s="929" t="s">
        <v>118</v>
      </c>
      <c r="S97" s="929"/>
      <c r="T97" s="930">
        <f>IF(I112=1,E98,0)</f>
        <v>0</v>
      </c>
      <c r="U97" s="930"/>
      <c r="V97" s="930"/>
      <c r="W97" s="261" t="s">
        <v>117</v>
      </c>
      <c r="X97" s="212">
        <f>I98</f>
        <v>1811</v>
      </c>
      <c r="Y97" s="266">
        <f>ROUND(X97*T97,2)</f>
        <v>0</v>
      </c>
    </row>
    <row r="98" spans="1:25" ht="17.25" customHeight="1" x14ac:dyDescent="0.25">
      <c r="A98" s="912" t="s">
        <v>118</v>
      </c>
      <c r="B98" s="912"/>
      <c r="C98" s="279">
        <v>0</v>
      </c>
      <c r="D98" s="279">
        <v>0</v>
      </c>
      <c r="E98" s="988">
        <f>(C98+D98)/2</f>
        <v>0</v>
      </c>
      <c r="F98" s="942"/>
      <c r="G98" s="9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8" t="s">
        <v>119</v>
      </c>
      <c r="B100" s="898"/>
      <c r="C100" s="898"/>
      <c r="D100" s="898"/>
      <c r="E100" s="898"/>
      <c r="F100" s="223" t="s">
        <v>120</v>
      </c>
      <c r="G100" s="868"/>
      <c r="H100" s="868"/>
      <c r="I100" s="868"/>
      <c r="J100" s="868"/>
      <c r="K100" s="70"/>
      <c r="L100" s="70"/>
      <c r="M100" s="71"/>
      <c r="N100" s="70"/>
      <c r="O100" s="70"/>
      <c r="P100" s="70"/>
      <c r="Q100" s="70"/>
      <c r="R100" s="862" t="s">
        <v>174</v>
      </c>
      <c r="S100" s="862"/>
      <c r="T100" s="862"/>
      <c r="U100" s="239"/>
      <c r="V100" s="876"/>
      <c r="W100" s="876"/>
      <c r="X100" s="876"/>
      <c r="Y100" s="876"/>
    </row>
    <row r="101" spans="1:25" ht="44.25" customHeight="1" x14ac:dyDescent="0.25">
      <c r="A101" s="949" t="s">
        <v>121</v>
      </c>
      <c r="B101" s="949"/>
      <c r="C101" s="249"/>
      <c r="D101" s="870" t="s">
        <v>122</v>
      </c>
      <c r="E101" s="870"/>
      <c r="F101" s="870"/>
      <c r="G101" s="950" t="s">
        <v>123</v>
      </c>
      <c r="H101" s="950"/>
      <c r="I101" s="250" t="s">
        <v>124</v>
      </c>
      <c r="J101" s="249" t="s">
        <v>125</v>
      </c>
      <c r="K101" s="70"/>
      <c r="L101" s="70"/>
      <c r="M101" s="70"/>
      <c r="N101" s="70"/>
      <c r="O101" s="70"/>
      <c r="P101" s="70"/>
      <c r="Q101" s="70"/>
      <c r="R101" s="936" t="s">
        <v>121</v>
      </c>
      <c r="S101" s="936"/>
      <c r="T101" s="937" t="s">
        <v>122</v>
      </c>
      <c r="U101" s="937"/>
      <c r="V101" s="938" t="s">
        <v>123</v>
      </c>
      <c r="W101" s="938"/>
      <c r="X101" s="246" t="s">
        <v>124</v>
      </c>
      <c r="Y101" s="242" t="s">
        <v>125</v>
      </c>
    </row>
    <row r="102" spans="1:25" ht="16.5" customHeight="1" x14ac:dyDescent="0.25">
      <c r="A102" s="861" t="s">
        <v>126</v>
      </c>
      <c r="B102" s="861"/>
      <c r="C102" s="230"/>
      <c r="D102" s="273"/>
      <c r="E102" s="273"/>
      <c r="F102" s="273"/>
      <c r="G102" s="921">
        <f>IF(E102=0,0,INDEX('[1]Detail 2025-26 FEFP Second'!V$1:V$65536,MATCH(A1,'[1]Detail 2025-26 FEFP Second'!A$1:A$65536)))</f>
        <v>0</v>
      </c>
      <c r="H102" s="921"/>
      <c r="I102" s="88">
        <f>IF(E102=0,0,'[1]Detail 2025-26 FEFP Second'!AL3)</f>
        <v>0</v>
      </c>
      <c r="J102" s="62">
        <f>ROUND((I102+G102)*E102,0)</f>
        <v>0</v>
      </c>
      <c r="L102" s="3"/>
      <c r="M102" s="2"/>
      <c r="Q102" s="4"/>
      <c r="R102" s="860" t="s">
        <v>126</v>
      </c>
      <c r="S102" s="860"/>
      <c r="T102" s="934">
        <v>0</v>
      </c>
      <c r="U102" s="934"/>
      <c r="V102" s="935">
        <f>IF(T102=0,0,INDEX('[1]Detail 2025-26 FEFP Second'!AM$1:AM$65536,MATCH(R1,'[1]Detail 2025-26 FEFP Second'!R$1:R$65536)))</f>
        <v>0</v>
      </c>
      <c r="W102" s="935"/>
      <c r="X102" s="214">
        <f>IF(T102=0,0,'[1]Detail 2025-26 FEFP Second'!BC3)</f>
        <v>0</v>
      </c>
      <c r="Y102" s="157">
        <f>ROUND((X102+V102)*T102,0)</f>
        <v>0</v>
      </c>
    </row>
    <row r="103" spans="1:25" ht="15.75" customHeight="1" x14ac:dyDescent="0.25">
      <c r="A103" s="861" t="s">
        <v>127</v>
      </c>
      <c r="B103" s="861"/>
      <c r="C103" s="230"/>
      <c r="D103" s="273"/>
      <c r="E103" s="273"/>
      <c r="F103" s="273"/>
      <c r="G103" s="922">
        <f>ROUND(G102/2,2)</f>
        <v>0</v>
      </c>
      <c r="H103" s="922"/>
      <c r="I103" s="88">
        <f>IF(E103=0,0,ROUND('[1]Detail 2025-26 FEFP Second'!AL3/2,2))</f>
        <v>0</v>
      </c>
      <c r="J103" s="62">
        <f>ROUND((I103+G103)*E103,0)</f>
        <v>0</v>
      </c>
      <c r="R103" s="860" t="s">
        <v>127</v>
      </c>
      <c r="S103" s="860"/>
      <c r="T103" s="934">
        <v>0</v>
      </c>
      <c r="U103" s="934"/>
      <c r="V103" s="951">
        <f>ROUND(V102/2,2)</f>
        <v>0</v>
      </c>
      <c r="W103" s="951"/>
      <c r="X103" s="214">
        <f>IF(T103=0,0,ROUND('[1]Detail 2025-26 FEFP Second'!BC3/2,2))</f>
        <v>0</v>
      </c>
      <c r="Y103" s="157">
        <f>ROUND((X103+V103)*T103,0)</f>
        <v>0</v>
      </c>
    </row>
    <row r="104" spans="1:25" ht="15.75" customHeight="1" thickBot="1" x14ac:dyDescent="0.3">
      <c r="A104" s="866" t="s">
        <v>128</v>
      </c>
      <c r="B104" s="866"/>
      <c r="C104" s="231"/>
      <c r="D104" s="278"/>
      <c r="E104" s="278"/>
      <c r="F104" s="278"/>
      <c r="G104" s="915"/>
      <c r="H104" s="915"/>
      <c r="I104" s="89">
        <f>IF(I102&gt;0,'[1]Detail 2025-26 FEFP Second'!AM3,0)</f>
        <v>0</v>
      </c>
      <c r="J104" s="30">
        <f>ROUND(I104*E104,0)</f>
        <v>0</v>
      </c>
      <c r="R104" s="865" t="s">
        <v>128</v>
      </c>
      <c r="S104" s="865"/>
      <c r="T104" s="934">
        <v>0</v>
      </c>
      <c r="U104" s="934"/>
      <c r="V104" s="936"/>
      <c r="W104" s="936"/>
      <c r="X104" s="215">
        <f>IF(X102&gt;0,'[1]Detail 2025-26 FEFP Second'!BD3,0)</f>
        <v>0</v>
      </c>
      <c r="Y104" s="163">
        <f>ROUND(X104*T104,0)</f>
        <v>0</v>
      </c>
    </row>
    <row r="105" spans="1:25" ht="24.75" customHeight="1" thickBot="1" x14ac:dyDescent="0.3">
      <c r="A105" s="868" t="s">
        <v>125</v>
      </c>
      <c r="B105" s="868"/>
      <c r="C105" s="223"/>
      <c r="D105" s="223"/>
      <c r="E105" s="90"/>
      <c r="F105" s="90"/>
      <c r="G105" s="90"/>
      <c r="H105" s="90"/>
      <c r="I105" s="90"/>
      <c r="J105" s="91">
        <f>SUM(J102:J104)</f>
        <v>0</v>
      </c>
      <c r="R105" s="876" t="s">
        <v>125</v>
      </c>
      <c r="S105" s="876"/>
      <c r="T105" s="216"/>
      <c r="U105" s="216"/>
      <c r="V105" s="216"/>
      <c r="W105" s="216"/>
      <c r="X105" s="216"/>
      <c r="Y105" s="217">
        <f>SUM(Y102:Y104)</f>
        <v>0</v>
      </c>
    </row>
    <row r="106" spans="1:25" ht="26.25" customHeight="1" x14ac:dyDescent="0.25">
      <c r="A106" s="898" t="s">
        <v>129</v>
      </c>
      <c r="B106" s="898"/>
      <c r="C106" s="898"/>
      <c r="D106" s="898"/>
      <c r="E106" s="898"/>
      <c r="F106" s="258" t="s">
        <v>130</v>
      </c>
      <c r="G106" s="916"/>
      <c r="H106" s="916"/>
      <c r="I106" s="916"/>
      <c r="J106" s="93"/>
      <c r="K106" s="94"/>
      <c r="L106" s="94"/>
      <c r="M106" s="94"/>
      <c r="N106" s="94"/>
      <c r="O106" s="94"/>
      <c r="P106" s="94"/>
      <c r="Q106" s="94"/>
      <c r="R106" s="862" t="s">
        <v>175</v>
      </c>
      <c r="S106" s="862"/>
      <c r="T106" s="862"/>
      <c r="U106" s="241"/>
      <c r="V106" s="944"/>
      <c r="W106" s="944"/>
      <c r="X106" s="944"/>
      <c r="Y106" s="157">
        <v>0</v>
      </c>
    </row>
    <row r="107" spans="1:25" ht="30" customHeight="1" thickBot="1" x14ac:dyDescent="0.3">
      <c r="A107" s="1000" t="s">
        <v>125</v>
      </c>
      <c r="B107" s="1000"/>
      <c r="C107" s="1000"/>
      <c r="D107" s="1000"/>
      <c r="E107" s="1000"/>
      <c r="F107" s="1000"/>
      <c r="G107" s="1000"/>
      <c r="H107" s="1000"/>
      <c r="I107" s="1000"/>
      <c r="J107" s="580">
        <f>SUM(J106,J105,J98,J97,J93,J86,J85,J71,J70,J68,J33,J72,J50,J87,J84)</f>
        <v>1050590.2400000002</v>
      </c>
      <c r="L107" s="576"/>
      <c r="R107" s="862" t="s">
        <v>125</v>
      </c>
      <c r="S107" s="862"/>
      <c r="T107" s="862"/>
      <c r="U107" s="862"/>
      <c r="V107" s="862"/>
      <c r="W107" s="862"/>
      <c r="X107" s="862"/>
      <c r="Y107" s="219">
        <f>SUM(Y106,Y105,Y97,Y96,Y93,Y86,Y85,Y84,Y70,Y69,Y67,Y33,Y71,Y50,Y87,Y83)</f>
        <v>0</v>
      </c>
    </row>
    <row r="108" spans="1:25" ht="15.75" customHeight="1" thickTop="1" x14ac:dyDescent="0.25">
      <c r="A108" s="998"/>
      <c r="B108" s="998"/>
      <c r="C108" s="998"/>
      <c r="D108" s="998"/>
      <c r="E108" s="998"/>
      <c r="F108" s="998"/>
      <c r="G108" s="998"/>
      <c r="H108" s="998"/>
      <c r="I108" s="998"/>
      <c r="J108" s="998"/>
      <c r="R108" s="876"/>
      <c r="S108" s="876"/>
      <c r="T108" s="876"/>
      <c r="U108" s="876"/>
      <c r="V108" s="876"/>
      <c r="W108" s="876"/>
      <c r="X108" s="876"/>
      <c r="Y108" s="876"/>
    </row>
    <row r="109" spans="1:25" ht="17.25" customHeight="1" thickBot="1" x14ac:dyDescent="0.3">
      <c r="A109" s="999" t="s">
        <v>131</v>
      </c>
      <c r="B109" s="999"/>
      <c r="C109" s="999"/>
      <c r="D109" s="999"/>
      <c r="E109" s="999"/>
      <c r="F109" s="998"/>
      <c r="G109" s="998"/>
      <c r="H109" s="998"/>
      <c r="I109" s="581" t="s">
        <v>132</v>
      </c>
      <c r="J109" s="582">
        <f>J107-J38</f>
        <v>1009466.9500000002</v>
      </c>
      <c r="R109" s="170" t="s">
        <v>176</v>
      </c>
      <c r="S109" s="170"/>
      <c r="T109" s="170"/>
      <c r="U109" s="170"/>
      <c r="V109" s="170"/>
      <c r="W109" s="170"/>
      <c r="X109" s="170"/>
      <c r="Y109" s="220">
        <f>Y107-Y38</f>
        <v>0</v>
      </c>
    </row>
    <row r="110" spans="1:25" ht="18.75" customHeight="1" thickTop="1" x14ac:dyDescent="0.25">
      <c r="A110" s="999" t="s">
        <v>133</v>
      </c>
      <c r="B110" s="999"/>
      <c r="C110" s="999"/>
      <c r="D110" s="999"/>
      <c r="E110" s="999"/>
      <c r="F110" s="999"/>
      <c r="G110" s="999"/>
      <c r="H110" s="999"/>
      <c r="I110" s="583" t="s">
        <v>134</v>
      </c>
      <c r="J110" s="581"/>
      <c r="R110" s="953" t="s">
        <v>136</v>
      </c>
      <c r="S110" s="953"/>
      <c r="T110" s="953"/>
      <c r="U110" s="953"/>
      <c r="V110" s="953"/>
      <c r="W110" s="953"/>
      <c r="X110" s="953"/>
      <c r="Y110" s="953"/>
    </row>
    <row r="111" spans="1:25" ht="15.75" customHeight="1" x14ac:dyDescent="0.25">
      <c r="A111" s="1001" t="s">
        <v>135</v>
      </c>
      <c r="B111" s="1001"/>
      <c r="C111" s="1001"/>
      <c r="D111" s="1001"/>
      <c r="E111" s="1001"/>
      <c r="F111" s="1001"/>
      <c r="G111" s="1001"/>
      <c r="H111" s="1001"/>
      <c r="I111" s="586">
        <v>0</v>
      </c>
      <c r="J111" s="137">
        <f>Y109</f>
        <v>0</v>
      </c>
      <c r="R111" s="952" t="s">
        <v>177</v>
      </c>
      <c r="S111" s="952"/>
      <c r="T111" s="952"/>
      <c r="U111" s="952"/>
      <c r="V111" s="952"/>
      <c r="W111" s="952"/>
      <c r="X111" s="952"/>
      <c r="Y111" s="952"/>
    </row>
    <row r="112" spans="1:25" ht="15.75" customHeight="1" x14ac:dyDescent="0.25">
      <c r="A112" s="237"/>
      <c r="B112" s="237"/>
      <c r="C112" s="237"/>
      <c r="D112" s="237"/>
      <c r="E112" s="237"/>
      <c r="F112" s="237"/>
      <c r="G112" s="237"/>
      <c r="H112" s="237"/>
      <c r="I112" s="90"/>
      <c r="J112" s="72"/>
      <c r="R112" s="953" t="s">
        <v>178</v>
      </c>
      <c r="S112" s="953"/>
      <c r="T112" s="953"/>
      <c r="U112" s="953"/>
      <c r="V112" s="953"/>
      <c r="W112" s="953"/>
      <c r="X112" s="953"/>
      <c r="Y112" s="953"/>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1009466.9500000002</v>
      </c>
      <c r="J114" s="296">
        <f>ROUND(IF(E28=0,0,IF(E28&gt;250,-(((250/E28)*I114)*IF(H113="H",0.02,0.05)),IF(H113="H",-0.02*I114,-0.05*I114))),2)</f>
        <v>-50473.35</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1000116.8900000002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Payments'!R122</f>
        <v>-472366.29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527750.60000000033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5</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105550.12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7" t="s">
        <v>136</v>
      </c>
      <c r="B128" s="897"/>
      <c r="C128" s="897"/>
      <c r="D128" s="897"/>
      <c r="E128" s="897"/>
      <c r="F128" s="897"/>
      <c r="G128" s="897"/>
      <c r="H128" s="897"/>
      <c r="I128" s="897"/>
      <c r="J128" s="897"/>
      <c r="R128" s="284"/>
      <c r="S128" s="284"/>
      <c r="T128" s="285"/>
      <c r="U128" s="285"/>
      <c r="V128" s="285"/>
      <c r="W128" s="286"/>
      <c r="X128" s="285"/>
      <c r="Y128" s="285"/>
    </row>
    <row r="129" spans="1:25" ht="26.25" customHeight="1" x14ac:dyDescent="0.25">
      <c r="A129" s="894" t="s">
        <v>137</v>
      </c>
      <c r="B129" s="894"/>
      <c r="C129" s="894"/>
      <c r="D129" s="894"/>
      <c r="E129" s="894"/>
      <c r="F129" s="894"/>
      <c r="G129" s="894"/>
      <c r="H129" s="894"/>
      <c r="I129" s="894"/>
      <c r="J129" s="894"/>
      <c r="R129" s="284"/>
      <c r="S129" s="284"/>
      <c r="T129" s="285"/>
      <c r="U129" s="285"/>
      <c r="V129" s="285"/>
      <c r="W129" s="286"/>
      <c r="X129" s="285"/>
      <c r="Y129" s="285"/>
    </row>
    <row r="130" spans="1:25" ht="15.75" customHeight="1" x14ac:dyDescent="0.25">
      <c r="A130" s="897" t="s">
        <v>138</v>
      </c>
      <c r="B130" s="897"/>
      <c r="C130" s="897"/>
      <c r="D130" s="897"/>
      <c r="E130" s="897"/>
      <c r="F130" s="897"/>
      <c r="G130" s="897"/>
      <c r="H130" s="897"/>
      <c r="I130" s="897"/>
      <c r="J130" s="897"/>
    </row>
    <row r="131" spans="1:25" ht="15.75" customHeight="1" x14ac:dyDescent="0.25">
      <c r="A131" s="897" t="s">
        <v>139</v>
      </c>
      <c r="B131" s="897"/>
      <c r="C131" s="897"/>
      <c r="D131" s="897"/>
      <c r="E131" s="897"/>
      <c r="F131" s="897"/>
      <c r="G131" s="897"/>
      <c r="H131" s="897"/>
      <c r="I131" s="897"/>
      <c r="J131" s="897"/>
    </row>
    <row r="132" spans="1:25" ht="19.5" customHeight="1" x14ac:dyDescent="0.25">
      <c r="A132" s="897" t="s">
        <v>140</v>
      </c>
      <c r="B132" s="897"/>
      <c r="C132" s="897"/>
      <c r="D132" s="897"/>
      <c r="E132" s="897"/>
      <c r="F132" s="897"/>
      <c r="G132" s="897"/>
      <c r="H132" s="897"/>
      <c r="I132" s="897"/>
      <c r="J132" s="897"/>
    </row>
    <row r="133" spans="1:25" x14ac:dyDescent="0.25">
      <c r="A133" s="897" t="s">
        <v>141</v>
      </c>
      <c r="B133" s="897"/>
      <c r="C133" s="897"/>
      <c r="D133" s="897"/>
      <c r="E133" s="897"/>
      <c r="F133" s="897"/>
      <c r="G133" s="897"/>
      <c r="H133" s="897"/>
      <c r="I133" s="897"/>
      <c r="J133" s="897"/>
    </row>
    <row r="134" spans="1:25" x14ac:dyDescent="0.25">
      <c r="A134" s="897" t="s">
        <v>142</v>
      </c>
      <c r="B134" s="897"/>
      <c r="C134" s="897"/>
      <c r="D134" s="897"/>
      <c r="E134" s="897"/>
      <c r="F134" s="897"/>
      <c r="G134" s="897"/>
      <c r="H134" s="897"/>
      <c r="I134" s="897"/>
      <c r="J134" s="897"/>
    </row>
    <row r="135" spans="1:25" ht="33" customHeight="1" x14ac:dyDescent="0.25">
      <c r="A135" s="894" t="s">
        <v>143</v>
      </c>
      <c r="B135" s="894"/>
      <c r="C135" s="894"/>
      <c r="D135" s="894"/>
      <c r="E135" s="894"/>
      <c r="F135" s="894"/>
      <c r="G135" s="894"/>
      <c r="H135" s="894"/>
      <c r="I135" s="894"/>
      <c r="J135" s="894"/>
    </row>
    <row r="136" spans="1:25" ht="31.5" customHeight="1" x14ac:dyDescent="0.25">
      <c r="A136" s="894" t="s">
        <v>144</v>
      </c>
      <c r="B136" s="894"/>
      <c r="C136" s="894"/>
      <c r="D136" s="894"/>
      <c r="E136" s="894"/>
      <c r="F136" s="894"/>
      <c r="G136" s="894"/>
      <c r="H136" s="894"/>
      <c r="I136" s="894"/>
      <c r="J136" s="894"/>
    </row>
    <row r="137" spans="1:25" x14ac:dyDescent="0.25">
      <c r="A137" s="894" t="s">
        <v>145</v>
      </c>
      <c r="B137" s="894"/>
      <c r="C137" s="894"/>
      <c r="D137" s="894"/>
      <c r="E137" s="894"/>
      <c r="F137" s="894"/>
      <c r="G137" s="894"/>
      <c r="H137" s="894"/>
      <c r="I137" s="894"/>
      <c r="J137" s="894"/>
    </row>
    <row r="138" spans="1:25" x14ac:dyDescent="0.25">
      <c r="A138" s="259" t="s">
        <v>146</v>
      </c>
      <c r="B138" s="259"/>
      <c r="C138" s="259"/>
      <c r="D138" s="259"/>
      <c r="E138" s="259"/>
      <c r="F138" s="259"/>
      <c r="G138" s="259"/>
      <c r="H138" s="259"/>
      <c r="I138" s="259"/>
      <c r="J138" s="259"/>
    </row>
    <row r="139" spans="1:25" ht="30.75" customHeight="1" x14ac:dyDescent="0.25">
      <c r="A139" s="894" t="s">
        <v>147</v>
      </c>
      <c r="B139" s="894"/>
      <c r="C139" s="894"/>
      <c r="D139" s="894"/>
      <c r="E139" s="894"/>
      <c r="F139" s="894"/>
      <c r="G139" s="894"/>
      <c r="H139" s="894"/>
      <c r="I139" s="894"/>
      <c r="J139" s="894"/>
    </row>
    <row r="140" spans="1:25" ht="30.75" customHeight="1" x14ac:dyDescent="0.25">
      <c r="A140" s="894" t="s">
        <v>148</v>
      </c>
      <c r="B140" s="894"/>
      <c r="C140" s="894"/>
      <c r="D140" s="894"/>
      <c r="E140" s="894"/>
      <c r="F140" s="894"/>
      <c r="G140" s="894"/>
      <c r="H140" s="894"/>
      <c r="I140" s="894"/>
      <c r="J140" s="894"/>
    </row>
    <row r="141" spans="1:25" x14ac:dyDescent="0.25">
      <c r="A141" s="893" t="s">
        <v>149</v>
      </c>
      <c r="B141" s="894"/>
      <c r="C141" s="894"/>
      <c r="D141" s="894"/>
      <c r="E141" s="894"/>
      <c r="F141" s="894"/>
      <c r="G141" s="894"/>
      <c r="H141" s="894"/>
      <c r="I141" s="894"/>
      <c r="J141" s="894"/>
    </row>
    <row r="142" spans="1:25" ht="60.75" customHeight="1" x14ac:dyDescent="0.25">
      <c r="A142" s="895" t="s">
        <v>150</v>
      </c>
      <c r="B142" s="895"/>
      <c r="C142" s="895"/>
      <c r="D142" s="895"/>
      <c r="E142" s="895"/>
      <c r="F142" s="895"/>
      <c r="G142" s="895"/>
      <c r="H142" s="895"/>
      <c r="I142" s="895"/>
      <c r="J142" s="895"/>
    </row>
    <row r="143" spans="1:25" ht="48" customHeight="1" x14ac:dyDescent="0.25">
      <c r="A143" s="895" t="s">
        <v>151</v>
      </c>
      <c r="B143" s="895"/>
      <c r="C143" s="895"/>
      <c r="D143" s="895"/>
      <c r="E143" s="895"/>
      <c r="F143" s="895"/>
      <c r="G143" s="895"/>
      <c r="H143" s="895"/>
      <c r="I143" s="895"/>
      <c r="J143" s="895"/>
    </row>
    <row r="144" spans="1:25" x14ac:dyDescent="0.25">
      <c r="A144" s="893" t="s">
        <v>152</v>
      </c>
      <c r="B144" s="893"/>
      <c r="C144" s="893"/>
      <c r="D144" s="893"/>
      <c r="E144" s="893"/>
      <c r="F144" s="893"/>
      <c r="G144" s="893"/>
      <c r="H144" s="893"/>
      <c r="I144" s="893"/>
      <c r="J144" s="893"/>
    </row>
    <row r="145" spans="1:10" ht="32.25" customHeight="1" x14ac:dyDescent="0.25">
      <c r="A145" s="895" t="s">
        <v>153</v>
      </c>
      <c r="B145" s="895"/>
      <c r="C145" s="895"/>
      <c r="D145" s="895"/>
      <c r="E145" s="895"/>
      <c r="F145" s="895"/>
      <c r="G145" s="895"/>
      <c r="H145" s="895"/>
      <c r="I145" s="895"/>
      <c r="J145" s="895"/>
    </row>
    <row r="146" spans="1:10" ht="23.25" customHeight="1" x14ac:dyDescent="0.25">
      <c r="A146" s="871" t="s">
        <v>154</v>
      </c>
      <c r="B146" s="871"/>
      <c r="C146" s="871"/>
      <c r="D146" s="871"/>
      <c r="E146" s="871"/>
      <c r="F146" s="871"/>
      <c r="G146" s="871"/>
      <c r="H146" s="871"/>
      <c r="I146" s="871"/>
      <c r="J146" s="871"/>
    </row>
    <row r="147" spans="1:10" x14ac:dyDescent="0.25">
      <c r="A147" s="871"/>
      <c r="B147" s="871"/>
      <c r="C147" s="871"/>
      <c r="D147" s="871"/>
      <c r="E147" s="871"/>
      <c r="F147" s="871"/>
      <c r="G147" s="871"/>
      <c r="H147" s="871"/>
      <c r="I147" s="871"/>
      <c r="J147" s="871"/>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2094</vt:i4>
      </vt:variant>
    </vt:vector>
  </HeadingPairs>
  <TitlesOfParts>
    <vt:vector size="2150" baseType="lpstr">
      <vt:lpstr>Net Payment</vt:lpstr>
      <vt:lpstr>Annual Rev &amp; Fees</vt:lpstr>
      <vt:lpstr>Charter Schools</vt:lpstr>
      <vt:lpstr>Cumulative Payments</vt:lpstr>
      <vt:lpstr>Consolidated</vt:lpstr>
      <vt:lpstr>0040</vt:lpstr>
      <vt:lpstr>0571</vt:lpstr>
      <vt:lpstr>0100</vt:lpstr>
      <vt:lpstr>1461</vt:lpstr>
      <vt:lpstr>1571</vt:lpstr>
      <vt:lpstr>2521</vt:lpstr>
      <vt:lpstr>2531</vt:lpstr>
      <vt:lpstr>2791</vt:lpstr>
      <vt:lpstr>2801</vt:lpstr>
      <vt:lpstr>2911</vt:lpstr>
      <vt:lpstr>2941</vt:lpstr>
      <vt:lpstr>3083</vt:lpstr>
      <vt:lpstr>3345</vt:lpstr>
      <vt:lpstr>3362</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'0100'!_1</vt:lpstr>
      <vt:lpstr>'0571'!_1</vt:lpstr>
      <vt:lpstr>'1461'!_1</vt:lpstr>
      <vt:lpstr>'1571'!_1</vt:lpstr>
      <vt:lpstr>'2521'!_1</vt:lpstr>
      <vt:lpstr>'2531'!_1</vt:lpstr>
      <vt:lpstr>'2791'!_1</vt:lpstr>
      <vt:lpstr>'2801'!_1</vt:lpstr>
      <vt:lpstr>'2911'!_1</vt:lpstr>
      <vt:lpstr>'2941'!_1</vt:lpstr>
      <vt:lpstr>'3083'!_1</vt:lpstr>
      <vt:lpstr>'3345'!_1</vt:lpstr>
      <vt:lpstr>'3362'!_1</vt:lpstr>
      <vt:lpstr>'3381'!_1</vt:lpstr>
      <vt:lpstr>'3382'!_1</vt:lpstr>
      <vt:lpstr>'3391'!_1</vt:lpstr>
      <vt:lpstr>'3394'!_1</vt:lpstr>
      <vt:lpstr>'3395'!_1</vt:lpstr>
      <vt:lpstr>'3396'!_1</vt:lpstr>
      <vt:lpstr>'3398'!_1</vt:lpstr>
      <vt:lpstr>'3400'!_1</vt:lpstr>
      <vt:lpstr>'3401'!_1</vt:lpstr>
      <vt:lpstr>'3413'!_1</vt:lpstr>
      <vt:lpstr>'3421'!_1</vt:lpstr>
      <vt:lpstr>'3431'!_1</vt:lpstr>
      <vt:lpstr>'3441'!_1</vt:lpstr>
      <vt:lpstr>'3924'!_1</vt:lpstr>
      <vt:lpstr>'3941'!_1</vt:lpstr>
      <vt:lpstr>'3961'!_1</vt:lpstr>
      <vt:lpstr>'3971'!_1</vt:lpstr>
      <vt:lpstr>'4001'!_1</vt:lpstr>
      <vt:lpstr>'4002'!_1</vt:lpstr>
      <vt:lpstr>'4012'!_1</vt:lpstr>
      <vt:lpstr>'4013'!_1</vt:lpstr>
      <vt:lpstr>'4020'!_1</vt:lpstr>
      <vt:lpstr>'4030'!_1</vt:lpstr>
      <vt:lpstr>'4031'!_1</vt:lpstr>
      <vt:lpstr>'4041'!_1</vt:lpstr>
      <vt:lpstr>'4050'!_1</vt:lpstr>
      <vt:lpstr>'4051'!_1</vt:lpstr>
      <vt:lpstr>'4061'!_1</vt:lpstr>
      <vt:lpstr>'4080'!_1</vt:lpstr>
      <vt:lpstr>'4081'!_1</vt:lpstr>
      <vt:lpstr>'4090'!_1</vt:lpstr>
      <vt:lpstr>'4091'!_1</vt:lpstr>
      <vt:lpstr>'4100'!_1</vt:lpstr>
      <vt:lpstr>'4102'!_1</vt:lpstr>
      <vt:lpstr>'4103'!_1</vt:lpstr>
      <vt:lpstr>'4111'!_1</vt:lpstr>
      <vt:lpstr>'4131'!_1</vt:lpstr>
      <vt:lpstr>_1</vt:lpstr>
      <vt:lpstr>'0100'!_1.__2009_10_FEFP_State_and_Local_Funding</vt:lpstr>
      <vt:lpstr>'0571'!_1.__2009_10_FEFP_State_and_Local_Funding</vt:lpstr>
      <vt:lpstr>'1461'!_1.__2009_10_FEFP_State_and_Local_Funding</vt:lpstr>
      <vt:lpstr>'1571'!_1.__2009_10_FEFP_State_and_Local_Funding</vt:lpstr>
      <vt:lpstr>'2521'!_1.__2009_10_FEFP_State_and_Local_Funding</vt:lpstr>
      <vt:lpstr>'2531'!_1.__2009_10_FEFP_State_and_Local_Funding</vt:lpstr>
      <vt:lpstr>'2791'!_1.__2009_10_FEFP_State_and_Local_Funding</vt:lpstr>
      <vt:lpstr>'2801'!_1.__2009_10_FEFP_State_and_Local_Funding</vt:lpstr>
      <vt:lpstr>'2911'!_1.__2009_10_FEFP_State_and_Local_Funding</vt:lpstr>
      <vt:lpstr>'2941'!_1.__2009_10_FEFP_State_and_Local_Funding</vt:lpstr>
      <vt:lpstr>'3083'!_1.__2009_10_FEFP_State_and_Local_Funding</vt:lpstr>
      <vt:lpstr>'3345'!_1.__2009_10_FEFP_State_and_Local_Funding</vt:lpstr>
      <vt:lpstr>'3362'!_1.__2009_10_FEFP_State_and_Local_Funding</vt:lpstr>
      <vt:lpstr>'3381'!_1.__2009_10_FEFP_State_and_Local_Funding</vt:lpstr>
      <vt:lpstr>'3382'!_1.__2009_10_FEFP_State_and_Local_Funding</vt:lpstr>
      <vt:lpstr>'3391'!_1.__2009_10_FEFP_State_and_Local_Funding</vt:lpstr>
      <vt:lpstr>'3394'!_1.__2009_10_FEFP_State_and_Local_Funding</vt:lpstr>
      <vt:lpstr>'3395'!_1.__2009_10_FEFP_State_and_Local_Funding</vt:lpstr>
      <vt:lpstr>'3396'!_1.__2009_10_FEFP_State_and_Local_Funding</vt:lpstr>
      <vt:lpstr>'3398'!_1.__2009_10_FEFP_State_and_Local_Funding</vt:lpstr>
      <vt:lpstr>'3400'!_1.__2009_10_FEFP_State_and_Local_Funding</vt:lpstr>
      <vt:lpstr>'3401'!_1.__2009_10_FEFP_State_and_Local_Funding</vt:lpstr>
      <vt:lpstr>'3413'!_1.__2009_10_FEFP_State_and_Local_Funding</vt:lpstr>
      <vt:lpstr>'3421'!_1.__2009_10_FEFP_State_and_Local_Funding</vt:lpstr>
      <vt:lpstr>'3431'!_1.__2009_10_FEFP_State_and_Local_Funding</vt:lpstr>
      <vt:lpstr>'3441'!_1.__2009_10_FEFP_State_and_Local_Funding</vt:lpstr>
      <vt:lpstr>'3924'!_1.__2009_10_FEFP_State_and_Local_Funding</vt:lpstr>
      <vt:lpstr>'3941'!_1.__2009_10_FEFP_State_and_Local_Funding</vt:lpstr>
      <vt:lpstr>'3961'!_1.__2009_10_FEFP_State_and_Local_Funding</vt:lpstr>
      <vt:lpstr>'3971'!_1.__2009_10_FEFP_State_and_Local_Funding</vt:lpstr>
      <vt:lpstr>'4001'!_1.__2009_10_FEFP_State_and_Local_Funding</vt:lpstr>
      <vt:lpstr>'4002'!_1.__2009_10_FEFP_State_and_Local_Funding</vt:lpstr>
      <vt:lpstr>'4012'!_1.__2009_10_FEFP_State_and_Local_Funding</vt:lpstr>
      <vt:lpstr>'4013'!_1.__2009_10_FEFP_State_and_Local_Funding</vt:lpstr>
      <vt:lpstr>'4020'!_1.__2009_10_FEFP_State_and_Local_Funding</vt:lpstr>
      <vt:lpstr>'4030'!_1.__2009_10_FEFP_State_and_Local_Funding</vt:lpstr>
      <vt:lpstr>'4031'!_1.__2009_10_FEFP_State_and_Local_Funding</vt:lpstr>
      <vt:lpstr>'4041'!_1.__2009_10_FEFP_State_and_Local_Funding</vt:lpstr>
      <vt:lpstr>'4050'!_1.__2009_10_FEFP_State_and_Local_Funding</vt:lpstr>
      <vt:lpstr>'4051'!_1.__2009_10_FEFP_State_and_Local_Funding</vt:lpstr>
      <vt:lpstr>'4061'!_1.__2009_10_FEFP_State_and_Local_Funding</vt:lpstr>
      <vt:lpstr>'4080'!_1.__2009_10_FEFP_State_and_Local_Funding</vt:lpstr>
      <vt:lpstr>'4081'!_1.__2009_10_FEFP_State_and_Local_Funding</vt:lpstr>
      <vt:lpstr>'4090'!_1.__2009_10_FEFP_State_and_Local_Funding</vt:lpstr>
      <vt:lpstr>'4091'!_1.__2009_10_FEFP_State_and_Local_Funding</vt:lpstr>
      <vt:lpstr>'4100'!_1.__2009_10_FEFP_State_and_Local_Funding</vt:lpstr>
      <vt:lpstr>'4102'!_1.__2009_10_FEFP_State_and_Local_Funding</vt:lpstr>
      <vt:lpstr>'4103'!_1.__2009_10_FEFP_State_and_Local_Funding</vt:lpstr>
      <vt:lpstr>'4111'!_1.__2009_10_FEFP_State_and_Local_Funding</vt:lpstr>
      <vt:lpstr>'4131'!_1.__2009_10_FEFP_State_and_Local_Funding</vt:lpstr>
      <vt:lpstr>_1.__2009_10_FEFP_State_and_Local_Funding</vt:lpstr>
      <vt:lpstr>'0100'!_1.__2010_11_FEFP_State_and_Local_Funding</vt:lpstr>
      <vt:lpstr>'0571'!_1.__2010_11_FEFP_State_and_Local_Funding</vt:lpstr>
      <vt:lpstr>'1461'!_1.__2010_11_FEFP_State_and_Local_Funding</vt:lpstr>
      <vt:lpstr>'1571'!_1.__2010_11_FEFP_State_and_Local_Funding</vt:lpstr>
      <vt:lpstr>'2521'!_1.__2010_11_FEFP_State_and_Local_Funding</vt:lpstr>
      <vt:lpstr>'2531'!_1.__2010_11_FEFP_State_and_Local_Funding</vt:lpstr>
      <vt:lpstr>'2791'!_1.__2010_11_FEFP_State_and_Local_Funding</vt:lpstr>
      <vt:lpstr>'2801'!_1.__2010_11_FEFP_State_and_Local_Funding</vt:lpstr>
      <vt:lpstr>'2911'!_1.__2010_11_FEFP_State_and_Local_Funding</vt:lpstr>
      <vt:lpstr>'2941'!_1.__2010_11_FEFP_State_and_Local_Funding</vt:lpstr>
      <vt:lpstr>'3083'!_1.__2010_11_FEFP_State_and_Local_Funding</vt:lpstr>
      <vt:lpstr>'3345'!_1.__2010_11_FEFP_State_and_Local_Funding</vt:lpstr>
      <vt:lpstr>'3362'!_1.__2010_11_FEFP_State_and_Local_Funding</vt:lpstr>
      <vt:lpstr>'3381'!_1.__2010_11_FEFP_State_and_Local_Funding</vt:lpstr>
      <vt:lpstr>'3382'!_1.__2010_11_FEFP_State_and_Local_Funding</vt:lpstr>
      <vt:lpstr>'3391'!_1.__2010_11_FEFP_State_and_Local_Funding</vt:lpstr>
      <vt:lpstr>'3394'!_1.__2010_11_FEFP_State_and_Local_Funding</vt:lpstr>
      <vt:lpstr>'3395'!_1.__2010_11_FEFP_State_and_Local_Funding</vt:lpstr>
      <vt:lpstr>'3396'!_1.__2010_11_FEFP_State_and_Local_Funding</vt:lpstr>
      <vt:lpstr>'3398'!_1.__2010_11_FEFP_State_and_Local_Funding</vt:lpstr>
      <vt:lpstr>'3400'!_1.__2010_11_FEFP_State_and_Local_Funding</vt:lpstr>
      <vt:lpstr>'3401'!_1.__2010_11_FEFP_State_and_Local_Funding</vt:lpstr>
      <vt:lpstr>'3413'!_1.__2010_11_FEFP_State_and_Local_Funding</vt:lpstr>
      <vt:lpstr>'3421'!_1.__2010_11_FEFP_State_and_Local_Funding</vt:lpstr>
      <vt:lpstr>'3431'!_1.__2010_11_FEFP_State_and_Local_Funding</vt:lpstr>
      <vt:lpstr>'3441'!_1.__2010_11_FEFP_State_and_Local_Funding</vt:lpstr>
      <vt:lpstr>'3924'!_1.__2010_11_FEFP_State_and_Local_Funding</vt:lpstr>
      <vt:lpstr>'3941'!_1.__2010_11_FEFP_State_and_Local_Funding</vt:lpstr>
      <vt:lpstr>'3961'!_1.__2010_11_FEFP_State_and_Local_Funding</vt:lpstr>
      <vt:lpstr>'3971'!_1.__2010_11_FEFP_State_and_Local_Funding</vt:lpstr>
      <vt:lpstr>'4001'!_1.__2010_11_FEFP_State_and_Local_Funding</vt:lpstr>
      <vt:lpstr>'4002'!_1.__2010_11_FEFP_State_and_Local_Funding</vt:lpstr>
      <vt:lpstr>'4012'!_1.__2010_11_FEFP_State_and_Local_Funding</vt:lpstr>
      <vt:lpstr>'4013'!_1.__2010_11_FEFP_State_and_Local_Funding</vt:lpstr>
      <vt:lpstr>'4020'!_1.__2010_11_FEFP_State_and_Local_Funding</vt:lpstr>
      <vt:lpstr>'4030'!_1.__2010_11_FEFP_State_and_Local_Funding</vt:lpstr>
      <vt:lpstr>'4031'!_1.__2010_11_FEFP_State_and_Local_Funding</vt:lpstr>
      <vt:lpstr>'4041'!_1.__2010_11_FEFP_State_and_Local_Funding</vt:lpstr>
      <vt:lpstr>'4050'!_1.__2010_11_FEFP_State_and_Local_Funding</vt:lpstr>
      <vt:lpstr>'4051'!_1.__2010_11_FEFP_State_and_Local_Funding</vt:lpstr>
      <vt:lpstr>'4061'!_1.__2010_11_FEFP_State_and_Local_Funding</vt:lpstr>
      <vt:lpstr>'4080'!_1.__2010_11_FEFP_State_and_Local_Funding</vt:lpstr>
      <vt:lpstr>'4081'!_1.__2010_11_FEFP_State_and_Local_Funding</vt:lpstr>
      <vt:lpstr>'4090'!_1.__2010_11_FEFP_State_and_Local_Funding</vt:lpstr>
      <vt:lpstr>'4091'!_1.__2010_11_FEFP_State_and_Local_Funding</vt:lpstr>
      <vt:lpstr>'4100'!_1.__2010_11_FEFP_State_and_Local_Funding</vt:lpstr>
      <vt:lpstr>'4102'!_1.__2010_11_FEFP_State_and_Local_Funding</vt:lpstr>
      <vt:lpstr>'4103'!_1.__2010_11_FEFP_State_and_Local_Funding</vt:lpstr>
      <vt:lpstr>'4111'!_1.__2010_11_FEFP_State_and_Local_Funding</vt:lpstr>
      <vt:lpstr>'4131'!_1.__2010_11_FEFP_State_and_Local_Funding</vt:lpstr>
      <vt:lpstr>_1.__2010_11_FEFP_State_and_Local_Funding</vt:lpstr>
      <vt:lpstr>'0100'!_101_Basic_K_3</vt:lpstr>
      <vt:lpstr>'0571'!_101_Basic_K_3</vt:lpstr>
      <vt:lpstr>'1461'!_101_Basic_K_3</vt:lpstr>
      <vt:lpstr>'1571'!_101_Basic_K_3</vt:lpstr>
      <vt:lpstr>'2521'!_101_Basic_K_3</vt:lpstr>
      <vt:lpstr>'2531'!_101_Basic_K_3</vt:lpstr>
      <vt:lpstr>'2791'!_101_Basic_K_3</vt:lpstr>
      <vt:lpstr>'2801'!_101_Basic_K_3</vt:lpstr>
      <vt:lpstr>'2911'!_101_Basic_K_3</vt:lpstr>
      <vt:lpstr>'2941'!_101_Basic_K_3</vt:lpstr>
      <vt:lpstr>'3083'!_101_Basic_K_3</vt:lpstr>
      <vt:lpstr>'3345'!_101_Basic_K_3</vt:lpstr>
      <vt:lpstr>'3362'!_101_Basic_K_3</vt:lpstr>
      <vt:lpstr>'3381'!_101_Basic_K_3</vt:lpstr>
      <vt:lpstr>'3382'!_101_Basic_K_3</vt:lpstr>
      <vt:lpstr>'3391'!_101_Basic_K_3</vt:lpstr>
      <vt:lpstr>'3394'!_101_Basic_K_3</vt:lpstr>
      <vt:lpstr>'3395'!_101_Basic_K_3</vt:lpstr>
      <vt:lpstr>'3396'!_101_Basic_K_3</vt:lpstr>
      <vt:lpstr>'3398'!_101_Basic_K_3</vt:lpstr>
      <vt:lpstr>'3400'!_101_Basic_K_3</vt:lpstr>
      <vt:lpstr>'3401'!_101_Basic_K_3</vt:lpstr>
      <vt:lpstr>'3413'!_101_Basic_K_3</vt:lpstr>
      <vt:lpstr>'3421'!_101_Basic_K_3</vt:lpstr>
      <vt:lpstr>'3431'!_101_Basic_K_3</vt:lpstr>
      <vt:lpstr>'3441'!_101_Basic_K_3</vt:lpstr>
      <vt:lpstr>'3924'!_101_Basic_K_3</vt:lpstr>
      <vt:lpstr>'3941'!_101_Basic_K_3</vt:lpstr>
      <vt:lpstr>'3961'!_101_Basic_K_3</vt:lpstr>
      <vt:lpstr>'3971'!_101_Basic_K_3</vt:lpstr>
      <vt:lpstr>'4001'!_101_Basic_K_3</vt:lpstr>
      <vt:lpstr>'4002'!_101_Basic_K_3</vt:lpstr>
      <vt:lpstr>'4012'!_101_Basic_K_3</vt:lpstr>
      <vt:lpstr>'4013'!_101_Basic_K_3</vt:lpstr>
      <vt:lpstr>'4020'!_101_Basic_K_3</vt:lpstr>
      <vt:lpstr>'4030'!_101_Basic_K_3</vt:lpstr>
      <vt:lpstr>'4031'!_101_Basic_K_3</vt:lpstr>
      <vt:lpstr>'4041'!_101_Basic_K_3</vt:lpstr>
      <vt:lpstr>'4050'!_101_Basic_K_3</vt:lpstr>
      <vt:lpstr>'4051'!_101_Basic_K_3</vt:lpstr>
      <vt:lpstr>'4061'!_101_Basic_K_3</vt:lpstr>
      <vt:lpstr>'4080'!_101_Basic_K_3</vt:lpstr>
      <vt:lpstr>'4081'!_101_Basic_K_3</vt:lpstr>
      <vt:lpstr>'4090'!_101_Basic_K_3</vt:lpstr>
      <vt:lpstr>'4091'!_101_Basic_K_3</vt:lpstr>
      <vt:lpstr>'4100'!_101_Basic_K_3</vt:lpstr>
      <vt:lpstr>'4102'!_101_Basic_K_3</vt:lpstr>
      <vt:lpstr>'4103'!_101_Basic_K_3</vt:lpstr>
      <vt:lpstr>'4111'!_101_Basic_K_3</vt:lpstr>
      <vt:lpstr>'4131'!_101_Basic_K_3</vt:lpstr>
      <vt:lpstr>_101_Basic_K_3</vt:lpstr>
      <vt:lpstr>'0100'!_102_Basic_4_8</vt:lpstr>
      <vt:lpstr>'0571'!_102_Basic_4_8</vt:lpstr>
      <vt:lpstr>'1461'!_102_Basic_4_8</vt:lpstr>
      <vt:lpstr>'1571'!_102_Basic_4_8</vt:lpstr>
      <vt:lpstr>'2521'!_102_Basic_4_8</vt:lpstr>
      <vt:lpstr>'2531'!_102_Basic_4_8</vt:lpstr>
      <vt:lpstr>'2791'!_102_Basic_4_8</vt:lpstr>
      <vt:lpstr>'2801'!_102_Basic_4_8</vt:lpstr>
      <vt:lpstr>'2911'!_102_Basic_4_8</vt:lpstr>
      <vt:lpstr>'2941'!_102_Basic_4_8</vt:lpstr>
      <vt:lpstr>'3083'!_102_Basic_4_8</vt:lpstr>
      <vt:lpstr>'3345'!_102_Basic_4_8</vt:lpstr>
      <vt:lpstr>'3362'!_102_Basic_4_8</vt:lpstr>
      <vt:lpstr>'3381'!_102_Basic_4_8</vt:lpstr>
      <vt:lpstr>'3382'!_102_Basic_4_8</vt:lpstr>
      <vt:lpstr>'3391'!_102_Basic_4_8</vt:lpstr>
      <vt:lpstr>'3394'!_102_Basic_4_8</vt:lpstr>
      <vt:lpstr>'3395'!_102_Basic_4_8</vt:lpstr>
      <vt:lpstr>'3396'!_102_Basic_4_8</vt:lpstr>
      <vt:lpstr>'3398'!_102_Basic_4_8</vt:lpstr>
      <vt:lpstr>'3400'!_102_Basic_4_8</vt:lpstr>
      <vt:lpstr>'3401'!_102_Basic_4_8</vt:lpstr>
      <vt:lpstr>'3413'!_102_Basic_4_8</vt:lpstr>
      <vt:lpstr>'3421'!_102_Basic_4_8</vt:lpstr>
      <vt:lpstr>'3431'!_102_Basic_4_8</vt:lpstr>
      <vt:lpstr>'3441'!_102_Basic_4_8</vt:lpstr>
      <vt:lpstr>'3924'!_102_Basic_4_8</vt:lpstr>
      <vt:lpstr>'3941'!_102_Basic_4_8</vt:lpstr>
      <vt:lpstr>'3961'!_102_Basic_4_8</vt:lpstr>
      <vt:lpstr>'3971'!_102_Basic_4_8</vt:lpstr>
      <vt:lpstr>'4001'!_102_Basic_4_8</vt:lpstr>
      <vt:lpstr>'4002'!_102_Basic_4_8</vt:lpstr>
      <vt:lpstr>'4012'!_102_Basic_4_8</vt:lpstr>
      <vt:lpstr>'4013'!_102_Basic_4_8</vt:lpstr>
      <vt:lpstr>'4020'!_102_Basic_4_8</vt:lpstr>
      <vt:lpstr>'4030'!_102_Basic_4_8</vt:lpstr>
      <vt:lpstr>'4031'!_102_Basic_4_8</vt:lpstr>
      <vt:lpstr>'4041'!_102_Basic_4_8</vt:lpstr>
      <vt:lpstr>'4050'!_102_Basic_4_8</vt:lpstr>
      <vt:lpstr>'4051'!_102_Basic_4_8</vt:lpstr>
      <vt:lpstr>'4061'!_102_Basic_4_8</vt:lpstr>
      <vt:lpstr>'4080'!_102_Basic_4_8</vt:lpstr>
      <vt:lpstr>'4081'!_102_Basic_4_8</vt:lpstr>
      <vt:lpstr>'4090'!_102_Basic_4_8</vt:lpstr>
      <vt:lpstr>'4091'!_102_Basic_4_8</vt:lpstr>
      <vt:lpstr>'4100'!_102_Basic_4_8</vt:lpstr>
      <vt:lpstr>'4102'!_102_Basic_4_8</vt:lpstr>
      <vt:lpstr>'4103'!_102_Basic_4_8</vt:lpstr>
      <vt:lpstr>'4111'!_102_Basic_4_8</vt:lpstr>
      <vt:lpstr>'4131'!_102_Basic_4_8</vt:lpstr>
      <vt:lpstr>_102_Basic_4_8</vt:lpstr>
      <vt:lpstr>'0100'!_103_Basic_9_12</vt:lpstr>
      <vt:lpstr>'0571'!_103_Basic_9_12</vt:lpstr>
      <vt:lpstr>'1461'!_103_Basic_9_12</vt:lpstr>
      <vt:lpstr>'1571'!_103_Basic_9_12</vt:lpstr>
      <vt:lpstr>'2521'!_103_Basic_9_12</vt:lpstr>
      <vt:lpstr>'2531'!_103_Basic_9_12</vt:lpstr>
      <vt:lpstr>'2791'!_103_Basic_9_12</vt:lpstr>
      <vt:lpstr>'2801'!_103_Basic_9_12</vt:lpstr>
      <vt:lpstr>'2911'!_103_Basic_9_12</vt:lpstr>
      <vt:lpstr>'2941'!_103_Basic_9_12</vt:lpstr>
      <vt:lpstr>'3083'!_103_Basic_9_12</vt:lpstr>
      <vt:lpstr>'3345'!_103_Basic_9_12</vt:lpstr>
      <vt:lpstr>'3362'!_103_Basic_9_12</vt:lpstr>
      <vt:lpstr>'3381'!_103_Basic_9_12</vt:lpstr>
      <vt:lpstr>'3382'!_103_Basic_9_12</vt:lpstr>
      <vt:lpstr>'3391'!_103_Basic_9_12</vt:lpstr>
      <vt:lpstr>'3394'!_103_Basic_9_12</vt:lpstr>
      <vt:lpstr>'3395'!_103_Basic_9_12</vt:lpstr>
      <vt:lpstr>'3396'!_103_Basic_9_12</vt:lpstr>
      <vt:lpstr>'3398'!_103_Basic_9_12</vt:lpstr>
      <vt:lpstr>'3400'!_103_Basic_9_12</vt:lpstr>
      <vt:lpstr>'3401'!_103_Basic_9_12</vt:lpstr>
      <vt:lpstr>'3413'!_103_Basic_9_12</vt:lpstr>
      <vt:lpstr>'3421'!_103_Basic_9_12</vt:lpstr>
      <vt:lpstr>'3431'!_103_Basic_9_12</vt:lpstr>
      <vt:lpstr>'3441'!_103_Basic_9_12</vt:lpstr>
      <vt:lpstr>'3924'!_103_Basic_9_12</vt:lpstr>
      <vt:lpstr>'3941'!_103_Basic_9_12</vt:lpstr>
      <vt:lpstr>'3961'!_103_Basic_9_12</vt:lpstr>
      <vt:lpstr>'3971'!_103_Basic_9_12</vt:lpstr>
      <vt:lpstr>'4001'!_103_Basic_9_12</vt:lpstr>
      <vt:lpstr>'4002'!_103_Basic_9_12</vt:lpstr>
      <vt:lpstr>'4012'!_103_Basic_9_12</vt:lpstr>
      <vt:lpstr>'4013'!_103_Basic_9_12</vt:lpstr>
      <vt:lpstr>'4020'!_103_Basic_9_12</vt:lpstr>
      <vt:lpstr>'4030'!_103_Basic_9_12</vt:lpstr>
      <vt:lpstr>'4031'!_103_Basic_9_12</vt:lpstr>
      <vt:lpstr>'4041'!_103_Basic_9_12</vt:lpstr>
      <vt:lpstr>'4050'!_103_Basic_9_12</vt:lpstr>
      <vt:lpstr>'4051'!_103_Basic_9_12</vt:lpstr>
      <vt:lpstr>'4061'!_103_Basic_9_12</vt:lpstr>
      <vt:lpstr>'4080'!_103_Basic_9_12</vt:lpstr>
      <vt:lpstr>'4081'!_103_Basic_9_12</vt:lpstr>
      <vt:lpstr>'4090'!_103_Basic_9_12</vt:lpstr>
      <vt:lpstr>'4091'!_103_Basic_9_12</vt:lpstr>
      <vt:lpstr>'4100'!_103_Basic_9_12</vt:lpstr>
      <vt:lpstr>'4102'!_103_Basic_9_12</vt:lpstr>
      <vt:lpstr>'4103'!_103_Basic_9_12</vt:lpstr>
      <vt:lpstr>'4111'!_103_Basic_9_12</vt:lpstr>
      <vt:lpstr>'4131'!_103_Basic_9_12</vt:lpstr>
      <vt:lpstr>_103_Basic_9_12</vt:lpstr>
      <vt:lpstr>'0100'!_111_Basic_K_3_with_ESE_Services</vt:lpstr>
      <vt:lpstr>'0571'!_111_Basic_K_3_with_ESE_Services</vt:lpstr>
      <vt:lpstr>'1461'!_111_Basic_K_3_with_ESE_Services</vt:lpstr>
      <vt:lpstr>'1571'!_111_Basic_K_3_with_ESE_Services</vt:lpstr>
      <vt:lpstr>'2521'!_111_Basic_K_3_with_ESE_Services</vt:lpstr>
      <vt:lpstr>'2531'!_111_Basic_K_3_with_ESE_Services</vt:lpstr>
      <vt:lpstr>'2791'!_111_Basic_K_3_with_ESE_Services</vt:lpstr>
      <vt:lpstr>'2801'!_111_Basic_K_3_with_ESE_Services</vt:lpstr>
      <vt:lpstr>'2911'!_111_Basic_K_3_with_ESE_Services</vt:lpstr>
      <vt:lpstr>'2941'!_111_Basic_K_3_with_ESE_Services</vt:lpstr>
      <vt:lpstr>'3083'!_111_Basic_K_3_with_ESE_Services</vt:lpstr>
      <vt:lpstr>'3345'!_111_Basic_K_3_with_ESE_Services</vt:lpstr>
      <vt:lpstr>'3362'!_111_Basic_K_3_with_ESE_Services</vt:lpstr>
      <vt:lpstr>'3381'!_111_Basic_K_3_with_ESE_Services</vt:lpstr>
      <vt:lpstr>'3382'!_111_Basic_K_3_with_ESE_Services</vt:lpstr>
      <vt:lpstr>'3391'!_111_Basic_K_3_with_ESE_Services</vt:lpstr>
      <vt:lpstr>'3394'!_111_Basic_K_3_with_ESE_Services</vt:lpstr>
      <vt:lpstr>'3395'!_111_Basic_K_3_with_ESE_Services</vt:lpstr>
      <vt:lpstr>'3396'!_111_Basic_K_3_with_ESE_Services</vt:lpstr>
      <vt:lpstr>'3398'!_111_Basic_K_3_with_ESE_Services</vt:lpstr>
      <vt:lpstr>'3400'!_111_Basic_K_3_with_ESE_Services</vt:lpstr>
      <vt:lpstr>'3401'!_111_Basic_K_3_with_ESE_Services</vt:lpstr>
      <vt:lpstr>'3413'!_111_Basic_K_3_with_ESE_Services</vt:lpstr>
      <vt:lpstr>'3421'!_111_Basic_K_3_with_ESE_Services</vt:lpstr>
      <vt:lpstr>'3431'!_111_Basic_K_3_with_ESE_Services</vt:lpstr>
      <vt:lpstr>'3441'!_111_Basic_K_3_with_ESE_Services</vt:lpstr>
      <vt:lpstr>'3924'!_111_Basic_K_3_with_ESE_Services</vt:lpstr>
      <vt:lpstr>'3941'!_111_Basic_K_3_with_ESE_Services</vt:lpstr>
      <vt:lpstr>'3961'!_111_Basic_K_3_with_ESE_Services</vt:lpstr>
      <vt:lpstr>'3971'!_111_Basic_K_3_with_ESE_Services</vt:lpstr>
      <vt:lpstr>'4001'!_111_Basic_K_3_with_ESE_Services</vt:lpstr>
      <vt:lpstr>'4002'!_111_Basic_K_3_with_ESE_Services</vt:lpstr>
      <vt:lpstr>'4012'!_111_Basic_K_3_with_ESE_Services</vt:lpstr>
      <vt:lpstr>'4013'!_111_Basic_K_3_with_ESE_Services</vt:lpstr>
      <vt:lpstr>'4020'!_111_Basic_K_3_with_ESE_Services</vt:lpstr>
      <vt:lpstr>'4030'!_111_Basic_K_3_with_ESE_Services</vt:lpstr>
      <vt:lpstr>'4031'!_111_Basic_K_3_with_ESE_Services</vt:lpstr>
      <vt:lpstr>'4041'!_111_Basic_K_3_with_ESE_Services</vt:lpstr>
      <vt:lpstr>'4050'!_111_Basic_K_3_with_ESE_Services</vt:lpstr>
      <vt:lpstr>'4051'!_111_Basic_K_3_with_ESE_Services</vt:lpstr>
      <vt:lpstr>'4061'!_111_Basic_K_3_with_ESE_Services</vt:lpstr>
      <vt:lpstr>'4080'!_111_Basic_K_3_with_ESE_Services</vt:lpstr>
      <vt:lpstr>'4081'!_111_Basic_K_3_with_ESE_Services</vt:lpstr>
      <vt:lpstr>'4090'!_111_Basic_K_3_with_ESE_Services</vt:lpstr>
      <vt:lpstr>'4091'!_111_Basic_K_3_with_ESE_Services</vt:lpstr>
      <vt:lpstr>'4100'!_111_Basic_K_3_with_ESE_Services</vt:lpstr>
      <vt:lpstr>'4102'!_111_Basic_K_3_with_ESE_Services</vt:lpstr>
      <vt:lpstr>'4103'!_111_Basic_K_3_with_ESE_Services</vt:lpstr>
      <vt:lpstr>'4111'!_111_Basic_K_3_with_ESE_Services</vt:lpstr>
      <vt:lpstr>'4131'!_111_Basic_K_3_with_ESE_Services</vt:lpstr>
      <vt:lpstr>_111_Basic_K_3_with_ESE_Services</vt:lpstr>
      <vt:lpstr>'0100'!_112_Basic_4_8_with_ESE_Services</vt:lpstr>
      <vt:lpstr>'0571'!_112_Basic_4_8_with_ESE_Services</vt:lpstr>
      <vt:lpstr>'1461'!_112_Basic_4_8_with_ESE_Services</vt:lpstr>
      <vt:lpstr>'1571'!_112_Basic_4_8_with_ESE_Services</vt:lpstr>
      <vt:lpstr>'2521'!_112_Basic_4_8_with_ESE_Services</vt:lpstr>
      <vt:lpstr>'2531'!_112_Basic_4_8_with_ESE_Services</vt:lpstr>
      <vt:lpstr>'2791'!_112_Basic_4_8_with_ESE_Services</vt:lpstr>
      <vt:lpstr>'2801'!_112_Basic_4_8_with_ESE_Services</vt:lpstr>
      <vt:lpstr>'2911'!_112_Basic_4_8_with_ESE_Services</vt:lpstr>
      <vt:lpstr>'2941'!_112_Basic_4_8_with_ESE_Services</vt:lpstr>
      <vt:lpstr>'3083'!_112_Basic_4_8_with_ESE_Services</vt:lpstr>
      <vt:lpstr>'3345'!_112_Basic_4_8_with_ESE_Services</vt:lpstr>
      <vt:lpstr>'3362'!_112_Basic_4_8_with_ESE_Services</vt:lpstr>
      <vt:lpstr>'3381'!_112_Basic_4_8_with_ESE_Services</vt:lpstr>
      <vt:lpstr>'3382'!_112_Basic_4_8_with_ESE_Services</vt:lpstr>
      <vt:lpstr>'3391'!_112_Basic_4_8_with_ESE_Services</vt:lpstr>
      <vt:lpstr>'3394'!_112_Basic_4_8_with_ESE_Services</vt:lpstr>
      <vt:lpstr>'3395'!_112_Basic_4_8_with_ESE_Services</vt:lpstr>
      <vt:lpstr>'3396'!_112_Basic_4_8_with_ESE_Services</vt:lpstr>
      <vt:lpstr>'3398'!_112_Basic_4_8_with_ESE_Services</vt:lpstr>
      <vt:lpstr>'3400'!_112_Basic_4_8_with_ESE_Services</vt:lpstr>
      <vt:lpstr>'3401'!_112_Basic_4_8_with_ESE_Services</vt:lpstr>
      <vt:lpstr>'3413'!_112_Basic_4_8_with_ESE_Services</vt:lpstr>
      <vt:lpstr>'3421'!_112_Basic_4_8_with_ESE_Services</vt:lpstr>
      <vt:lpstr>'3431'!_112_Basic_4_8_with_ESE_Services</vt:lpstr>
      <vt:lpstr>'3441'!_112_Basic_4_8_with_ESE_Services</vt:lpstr>
      <vt:lpstr>'3924'!_112_Basic_4_8_with_ESE_Services</vt:lpstr>
      <vt:lpstr>'3941'!_112_Basic_4_8_with_ESE_Services</vt:lpstr>
      <vt:lpstr>'3961'!_112_Basic_4_8_with_ESE_Services</vt:lpstr>
      <vt:lpstr>'3971'!_112_Basic_4_8_with_ESE_Services</vt:lpstr>
      <vt:lpstr>'4001'!_112_Basic_4_8_with_ESE_Services</vt:lpstr>
      <vt:lpstr>'4002'!_112_Basic_4_8_with_ESE_Services</vt:lpstr>
      <vt:lpstr>'4012'!_112_Basic_4_8_with_ESE_Services</vt:lpstr>
      <vt:lpstr>'4013'!_112_Basic_4_8_with_ESE_Services</vt:lpstr>
      <vt:lpstr>'4020'!_112_Basic_4_8_with_ESE_Services</vt:lpstr>
      <vt:lpstr>'4030'!_112_Basic_4_8_with_ESE_Services</vt:lpstr>
      <vt:lpstr>'4031'!_112_Basic_4_8_with_ESE_Services</vt:lpstr>
      <vt:lpstr>'4041'!_112_Basic_4_8_with_ESE_Services</vt:lpstr>
      <vt:lpstr>'4050'!_112_Basic_4_8_with_ESE_Services</vt:lpstr>
      <vt:lpstr>'4051'!_112_Basic_4_8_with_ESE_Services</vt:lpstr>
      <vt:lpstr>'4061'!_112_Basic_4_8_with_ESE_Services</vt:lpstr>
      <vt:lpstr>'4080'!_112_Basic_4_8_with_ESE_Services</vt:lpstr>
      <vt:lpstr>'4081'!_112_Basic_4_8_with_ESE_Services</vt:lpstr>
      <vt:lpstr>'4090'!_112_Basic_4_8_with_ESE_Services</vt:lpstr>
      <vt:lpstr>'4091'!_112_Basic_4_8_with_ESE_Services</vt:lpstr>
      <vt:lpstr>'4100'!_112_Basic_4_8_with_ESE_Services</vt:lpstr>
      <vt:lpstr>'4102'!_112_Basic_4_8_with_ESE_Services</vt:lpstr>
      <vt:lpstr>'4103'!_112_Basic_4_8_with_ESE_Services</vt:lpstr>
      <vt:lpstr>'4111'!_112_Basic_4_8_with_ESE_Services</vt:lpstr>
      <vt:lpstr>'4131'!_112_Basic_4_8_with_ESE_Services</vt:lpstr>
      <vt:lpstr>_112_Basic_4_8_with_ESE_Services</vt:lpstr>
      <vt:lpstr>'0100'!_113_Basic_9_12_with_ESE_Services</vt:lpstr>
      <vt:lpstr>'0571'!_113_Basic_9_12_with_ESE_Services</vt:lpstr>
      <vt:lpstr>'1461'!_113_Basic_9_12_with_ESE_Services</vt:lpstr>
      <vt:lpstr>'1571'!_113_Basic_9_12_with_ESE_Services</vt:lpstr>
      <vt:lpstr>'2521'!_113_Basic_9_12_with_ESE_Services</vt:lpstr>
      <vt:lpstr>'2531'!_113_Basic_9_12_with_ESE_Services</vt:lpstr>
      <vt:lpstr>'2791'!_113_Basic_9_12_with_ESE_Services</vt:lpstr>
      <vt:lpstr>'2801'!_113_Basic_9_12_with_ESE_Services</vt:lpstr>
      <vt:lpstr>'2911'!_113_Basic_9_12_with_ESE_Services</vt:lpstr>
      <vt:lpstr>'2941'!_113_Basic_9_12_with_ESE_Services</vt:lpstr>
      <vt:lpstr>'3083'!_113_Basic_9_12_with_ESE_Services</vt:lpstr>
      <vt:lpstr>'3345'!_113_Basic_9_12_with_ESE_Services</vt:lpstr>
      <vt:lpstr>'3362'!_113_Basic_9_12_with_ESE_Services</vt:lpstr>
      <vt:lpstr>'3381'!_113_Basic_9_12_with_ESE_Services</vt:lpstr>
      <vt:lpstr>'3382'!_113_Basic_9_12_with_ESE_Services</vt:lpstr>
      <vt:lpstr>'3391'!_113_Basic_9_12_with_ESE_Services</vt:lpstr>
      <vt:lpstr>'3394'!_113_Basic_9_12_with_ESE_Services</vt:lpstr>
      <vt:lpstr>'3395'!_113_Basic_9_12_with_ESE_Services</vt:lpstr>
      <vt:lpstr>'3396'!_113_Basic_9_12_with_ESE_Services</vt:lpstr>
      <vt:lpstr>'3398'!_113_Basic_9_12_with_ESE_Services</vt:lpstr>
      <vt:lpstr>'3400'!_113_Basic_9_12_with_ESE_Services</vt:lpstr>
      <vt:lpstr>'3401'!_113_Basic_9_12_with_ESE_Services</vt:lpstr>
      <vt:lpstr>'3413'!_113_Basic_9_12_with_ESE_Services</vt:lpstr>
      <vt:lpstr>'3421'!_113_Basic_9_12_with_ESE_Services</vt:lpstr>
      <vt:lpstr>'3431'!_113_Basic_9_12_with_ESE_Services</vt:lpstr>
      <vt:lpstr>'3441'!_113_Basic_9_12_with_ESE_Services</vt:lpstr>
      <vt:lpstr>'3924'!_113_Basic_9_12_with_ESE_Services</vt:lpstr>
      <vt:lpstr>'3941'!_113_Basic_9_12_with_ESE_Services</vt:lpstr>
      <vt:lpstr>'3961'!_113_Basic_9_12_with_ESE_Services</vt:lpstr>
      <vt:lpstr>'3971'!_113_Basic_9_12_with_ESE_Services</vt:lpstr>
      <vt:lpstr>'4001'!_113_Basic_9_12_with_ESE_Services</vt:lpstr>
      <vt:lpstr>'4002'!_113_Basic_9_12_with_ESE_Services</vt:lpstr>
      <vt:lpstr>'4012'!_113_Basic_9_12_with_ESE_Services</vt:lpstr>
      <vt:lpstr>'4013'!_113_Basic_9_12_with_ESE_Services</vt:lpstr>
      <vt:lpstr>'4020'!_113_Basic_9_12_with_ESE_Services</vt:lpstr>
      <vt:lpstr>'4030'!_113_Basic_9_12_with_ESE_Services</vt:lpstr>
      <vt:lpstr>'4031'!_113_Basic_9_12_with_ESE_Services</vt:lpstr>
      <vt:lpstr>'4041'!_113_Basic_9_12_with_ESE_Services</vt:lpstr>
      <vt:lpstr>'4050'!_113_Basic_9_12_with_ESE_Services</vt:lpstr>
      <vt:lpstr>'4051'!_113_Basic_9_12_with_ESE_Services</vt:lpstr>
      <vt:lpstr>'4061'!_113_Basic_9_12_with_ESE_Services</vt:lpstr>
      <vt:lpstr>'4080'!_113_Basic_9_12_with_ESE_Services</vt:lpstr>
      <vt:lpstr>'4081'!_113_Basic_9_12_with_ESE_Services</vt:lpstr>
      <vt:lpstr>'4090'!_113_Basic_9_12_with_ESE_Services</vt:lpstr>
      <vt:lpstr>'4091'!_113_Basic_9_12_with_ESE_Services</vt:lpstr>
      <vt:lpstr>'4100'!_113_Basic_9_12_with_ESE_Services</vt:lpstr>
      <vt:lpstr>'4102'!_113_Basic_9_12_with_ESE_Services</vt:lpstr>
      <vt:lpstr>'4103'!_113_Basic_9_12_with_ESE_Services</vt:lpstr>
      <vt:lpstr>'4111'!_113_Basic_9_12_with_ESE_Services</vt:lpstr>
      <vt:lpstr>'4131'!_113_Basic_9_12_with_ESE_Services</vt:lpstr>
      <vt:lpstr>_113_Basic_9_12_with_ESE_Services</vt:lpstr>
      <vt:lpstr>'0100'!_130_ESOL__Grade_Level_4_8</vt:lpstr>
      <vt:lpstr>'0571'!_130_ESOL__Grade_Level_4_8</vt:lpstr>
      <vt:lpstr>'1461'!_130_ESOL__Grade_Level_4_8</vt:lpstr>
      <vt:lpstr>'1571'!_130_ESOL__Grade_Level_4_8</vt:lpstr>
      <vt:lpstr>'2521'!_130_ESOL__Grade_Level_4_8</vt:lpstr>
      <vt:lpstr>'2531'!_130_ESOL__Grade_Level_4_8</vt:lpstr>
      <vt:lpstr>'2791'!_130_ESOL__Grade_Level_4_8</vt:lpstr>
      <vt:lpstr>'2801'!_130_ESOL__Grade_Level_4_8</vt:lpstr>
      <vt:lpstr>'2911'!_130_ESOL__Grade_Level_4_8</vt:lpstr>
      <vt:lpstr>'2941'!_130_ESOL__Grade_Level_4_8</vt:lpstr>
      <vt:lpstr>'3083'!_130_ESOL__Grade_Level_4_8</vt:lpstr>
      <vt:lpstr>'3345'!_130_ESOL__Grade_Level_4_8</vt:lpstr>
      <vt:lpstr>'3362'!_130_ESOL__Grade_Level_4_8</vt:lpstr>
      <vt:lpstr>'3381'!_130_ESOL__Grade_Level_4_8</vt:lpstr>
      <vt:lpstr>'3382'!_130_ESOL__Grade_Level_4_8</vt:lpstr>
      <vt:lpstr>'3391'!_130_ESOL__Grade_Level_4_8</vt:lpstr>
      <vt:lpstr>'3394'!_130_ESOL__Grade_Level_4_8</vt:lpstr>
      <vt:lpstr>'3395'!_130_ESOL__Grade_Level_4_8</vt:lpstr>
      <vt:lpstr>'3396'!_130_ESOL__Grade_Level_4_8</vt:lpstr>
      <vt:lpstr>'3398'!_130_ESOL__Grade_Level_4_8</vt:lpstr>
      <vt:lpstr>'3400'!_130_ESOL__Grade_Level_4_8</vt:lpstr>
      <vt:lpstr>'3401'!_130_ESOL__Grade_Level_4_8</vt:lpstr>
      <vt:lpstr>'3413'!_130_ESOL__Grade_Level_4_8</vt:lpstr>
      <vt:lpstr>'3421'!_130_ESOL__Grade_Level_4_8</vt:lpstr>
      <vt:lpstr>'3431'!_130_ESOL__Grade_Level_4_8</vt:lpstr>
      <vt:lpstr>'3441'!_130_ESOL__Grade_Level_4_8</vt:lpstr>
      <vt:lpstr>'3924'!_130_ESOL__Grade_Level_4_8</vt:lpstr>
      <vt:lpstr>'3941'!_130_ESOL__Grade_Level_4_8</vt:lpstr>
      <vt:lpstr>'3961'!_130_ESOL__Grade_Level_4_8</vt:lpstr>
      <vt:lpstr>'3971'!_130_ESOL__Grade_Level_4_8</vt:lpstr>
      <vt:lpstr>'4001'!_130_ESOL__Grade_Level_4_8</vt:lpstr>
      <vt:lpstr>'4002'!_130_ESOL__Grade_Level_4_8</vt:lpstr>
      <vt:lpstr>'4012'!_130_ESOL__Grade_Level_4_8</vt:lpstr>
      <vt:lpstr>'4013'!_130_ESOL__Grade_Level_4_8</vt:lpstr>
      <vt:lpstr>'4020'!_130_ESOL__Grade_Level_4_8</vt:lpstr>
      <vt:lpstr>'4030'!_130_ESOL__Grade_Level_4_8</vt:lpstr>
      <vt:lpstr>'4031'!_130_ESOL__Grade_Level_4_8</vt:lpstr>
      <vt:lpstr>'4041'!_130_ESOL__Grade_Level_4_8</vt:lpstr>
      <vt:lpstr>'4050'!_130_ESOL__Grade_Level_4_8</vt:lpstr>
      <vt:lpstr>'4051'!_130_ESOL__Grade_Level_4_8</vt:lpstr>
      <vt:lpstr>'4061'!_130_ESOL__Grade_Level_4_8</vt:lpstr>
      <vt:lpstr>'4080'!_130_ESOL__Grade_Level_4_8</vt:lpstr>
      <vt:lpstr>'4081'!_130_ESOL__Grade_Level_4_8</vt:lpstr>
      <vt:lpstr>'4090'!_130_ESOL__Grade_Level_4_8</vt:lpstr>
      <vt:lpstr>'4091'!_130_ESOL__Grade_Level_4_8</vt:lpstr>
      <vt:lpstr>'4100'!_130_ESOL__Grade_Level_4_8</vt:lpstr>
      <vt:lpstr>'4102'!_130_ESOL__Grade_Level_4_8</vt:lpstr>
      <vt:lpstr>'4103'!_130_ESOL__Grade_Level_4_8</vt:lpstr>
      <vt:lpstr>'4111'!_130_ESOL__Grade_Level_4_8</vt:lpstr>
      <vt:lpstr>'4131'!_130_ESOL__Grade_Level_4_8</vt:lpstr>
      <vt:lpstr>_130_ESOL__Grade_Level_4_8</vt:lpstr>
      <vt:lpstr>'0100'!_130_ESOL__Grade_Level_9_12</vt:lpstr>
      <vt:lpstr>'0571'!_130_ESOL__Grade_Level_9_12</vt:lpstr>
      <vt:lpstr>'1461'!_130_ESOL__Grade_Level_9_12</vt:lpstr>
      <vt:lpstr>'1571'!_130_ESOL__Grade_Level_9_12</vt:lpstr>
      <vt:lpstr>'2521'!_130_ESOL__Grade_Level_9_12</vt:lpstr>
      <vt:lpstr>'2531'!_130_ESOL__Grade_Level_9_12</vt:lpstr>
      <vt:lpstr>'2791'!_130_ESOL__Grade_Level_9_12</vt:lpstr>
      <vt:lpstr>'2801'!_130_ESOL__Grade_Level_9_12</vt:lpstr>
      <vt:lpstr>'2911'!_130_ESOL__Grade_Level_9_12</vt:lpstr>
      <vt:lpstr>'2941'!_130_ESOL__Grade_Level_9_12</vt:lpstr>
      <vt:lpstr>'3083'!_130_ESOL__Grade_Level_9_12</vt:lpstr>
      <vt:lpstr>'3345'!_130_ESOL__Grade_Level_9_12</vt:lpstr>
      <vt:lpstr>'3362'!_130_ESOL__Grade_Level_9_12</vt:lpstr>
      <vt:lpstr>'3381'!_130_ESOL__Grade_Level_9_12</vt:lpstr>
      <vt:lpstr>'3382'!_130_ESOL__Grade_Level_9_12</vt:lpstr>
      <vt:lpstr>'3391'!_130_ESOL__Grade_Level_9_12</vt:lpstr>
      <vt:lpstr>'3394'!_130_ESOL__Grade_Level_9_12</vt:lpstr>
      <vt:lpstr>'3395'!_130_ESOL__Grade_Level_9_12</vt:lpstr>
      <vt:lpstr>'3396'!_130_ESOL__Grade_Level_9_12</vt:lpstr>
      <vt:lpstr>'3398'!_130_ESOL__Grade_Level_9_12</vt:lpstr>
      <vt:lpstr>'3400'!_130_ESOL__Grade_Level_9_12</vt:lpstr>
      <vt:lpstr>'3401'!_130_ESOL__Grade_Level_9_12</vt:lpstr>
      <vt:lpstr>'3413'!_130_ESOL__Grade_Level_9_12</vt:lpstr>
      <vt:lpstr>'3421'!_130_ESOL__Grade_Level_9_12</vt:lpstr>
      <vt:lpstr>'3431'!_130_ESOL__Grade_Level_9_12</vt:lpstr>
      <vt:lpstr>'3441'!_130_ESOL__Grade_Level_9_12</vt:lpstr>
      <vt:lpstr>'3924'!_130_ESOL__Grade_Level_9_12</vt:lpstr>
      <vt:lpstr>'3941'!_130_ESOL__Grade_Level_9_12</vt:lpstr>
      <vt:lpstr>'3961'!_130_ESOL__Grade_Level_9_12</vt:lpstr>
      <vt:lpstr>'3971'!_130_ESOL__Grade_Level_9_12</vt:lpstr>
      <vt:lpstr>'4001'!_130_ESOL__Grade_Level_9_12</vt:lpstr>
      <vt:lpstr>'4002'!_130_ESOL__Grade_Level_9_12</vt:lpstr>
      <vt:lpstr>'4012'!_130_ESOL__Grade_Level_9_12</vt:lpstr>
      <vt:lpstr>'4013'!_130_ESOL__Grade_Level_9_12</vt:lpstr>
      <vt:lpstr>'4020'!_130_ESOL__Grade_Level_9_12</vt:lpstr>
      <vt:lpstr>'4030'!_130_ESOL__Grade_Level_9_12</vt:lpstr>
      <vt:lpstr>'4031'!_130_ESOL__Grade_Level_9_12</vt:lpstr>
      <vt:lpstr>'4041'!_130_ESOL__Grade_Level_9_12</vt:lpstr>
      <vt:lpstr>'4050'!_130_ESOL__Grade_Level_9_12</vt:lpstr>
      <vt:lpstr>'4051'!_130_ESOL__Grade_Level_9_12</vt:lpstr>
      <vt:lpstr>'4061'!_130_ESOL__Grade_Level_9_12</vt:lpstr>
      <vt:lpstr>'4080'!_130_ESOL__Grade_Level_9_12</vt:lpstr>
      <vt:lpstr>'4081'!_130_ESOL__Grade_Level_9_12</vt:lpstr>
      <vt:lpstr>'4090'!_130_ESOL__Grade_Level_9_12</vt:lpstr>
      <vt:lpstr>'4091'!_130_ESOL__Grade_Level_9_12</vt:lpstr>
      <vt:lpstr>'4100'!_130_ESOL__Grade_Level_9_12</vt:lpstr>
      <vt:lpstr>'4102'!_130_ESOL__Grade_Level_9_12</vt:lpstr>
      <vt:lpstr>'4103'!_130_ESOL__Grade_Level_9_12</vt:lpstr>
      <vt:lpstr>'4111'!_130_ESOL__Grade_Level_9_12</vt:lpstr>
      <vt:lpstr>'4131'!_130_ESOL__Grade_Level_9_12</vt:lpstr>
      <vt:lpstr>_130_ESOL__Grade_Level_9_12</vt:lpstr>
      <vt:lpstr>'0100'!_130_ESOL__Grade_Level_PK_3</vt:lpstr>
      <vt:lpstr>'0571'!_130_ESOL__Grade_Level_PK_3</vt:lpstr>
      <vt:lpstr>'1461'!_130_ESOL__Grade_Level_PK_3</vt:lpstr>
      <vt:lpstr>'1571'!_130_ESOL__Grade_Level_PK_3</vt:lpstr>
      <vt:lpstr>'2521'!_130_ESOL__Grade_Level_PK_3</vt:lpstr>
      <vt:lpstr>'2531'!_130_ESOL__Grade_Level_PK_3</vt:lpstr>
      <vt:lpstr>'2791'!_130_ESOL__Grade_Level_PK_3</vt:lpstr>
      <vt:lpstr>'2801'!_130_ESOL__Grade_Level_PK_3</vt:lpstr>
      <vt:lpstr>'2911'!_130_ESOL__Grade_Level_PK_3</vt:lpstr>
      <vt:lpstr>'2941'!_130_ESOL__Grade_Level_PK_3</vt:lpstr>
      <vt:lpstr>'3083'!_130_ESOL__Grade_Level_PK_3</vt:lpstr>
      <vt:lpstr>'3345'!_130_ESOL__Grade_Level_PK_3</vt:lpstr>
      <vt:lpstr>'3362'!_130_ESOL__Grade_Level_PK_3</vt:lpstr>
      <vt:lpstr>'3381'!_130_ESOL__Grade_Level_PK_3</vt:lpstr>
      <vt:lpstr>'3382'!_130_ESOL__Grade_Level_PK_3</vt:lpstr>
      <vt:lpstr>'3391'!_130_ESOL__Grade_Level_PK_3</vt:lpstr>
      <vt:lpstr>'3394'!_130_ESOL__Grade_Level_PK_3</vt:lpstr>
      <vt:lpstr>'3395'!_130_ESOL__Grade_Level_PK_3</vt:lpstr>
      <vt:lpstr>'3396'!_130_ESOL__Grade_Level_PK_3</vt:lpstr>
      <vt:lpstr>'3398'!_130_ESOL__Grade_Level_PK_3</vt:lpstr>
      <vt:lpstr>'3400'!_130_ESOL__Grade_Level_PK_3</vt:lpstr>
      <vt:lpstr>'3401'!_130_ESOL__Grade_Level_PK_3</vt:lpstr>
      <vt:lpstr>'3413'!_130_ESOL__Grade_Level_PK_3</vt:lpstr>
      <vt:lpstr>'3421'!_130_ESOL__Grade_Level_PK_3</vt:lpstr>
      <vt:lpstr>'3431'!_130_ESOL__Grade_Level_PK_3</vt:lpstr>
      <vt:lpstr>'3441'!_130_ESOL__Grade_Level_PK_3</vt:lpstr>
      <vt:lpstr>'3924'!_130_ESOL__Grade_Level_PK_3</vt:lpstr>
      <vt:lpstr>'3941'!_130_ESOL__Grade_Level_PK_3</vt:lpstr>
      <vt:lpstr>'3961'!_130_ESOL__Grade_Level_PK_3</vt:lpstr>
      <vt:lpstr>'3971'!_130_ESOL__Grade_Level_PK_3</vt:lpstr>
      <vt:lpstr>'4001'!_130_ESOL__Grade_Level_PK_3</vt:lpstr>
      <vt:lpstr>'4002'!_130_ESOL__Grade_Level_PK_3</vt:lpstr>
      <vt:lpstr>'4012'!_130_ESOL__Grade_Level_PK_3</vt:lpstr>
      <vt:lpstr>'4013'!_130_ESOL__Grade_Level_PK_3</vt:lpstr>
      <vt:lpstr>'4020'!_130_ESOL__Grade_Level_PK_3</vt:lpstr>
      <vt:lpstr>'4030'!_130_ESOL__Grade_Level_PK_3</vt:lpstr>
      <vt:lpstr>'4031'!_130_ESOL__Grade_Level_PK_3</vt:lpstr>
      <vt:lpstr>'4041'!_130_ESOL__Grade_Level_PK_3</vt:lpstr>
      <vt:lpstr>'4050'!_130_ESOL__Grade_Level_PK_3</vt:lpstr>
      <vt:lpstr>'4051'!_130_ESOL__Grade_Level_PK_3</vt:lpstr>
      <vt:lpstr>'4061'!_130_ESOL__Grade_Level_PK_3</vt:lpstr>
      <vt:lpstr>'4080'!_130_ESOL__Grade_Level_PK_3</vt:lpstr>
      <vt:lpstr>'4081'!_130_ESOL__Grade_Level_PK_3</vt:lpstr>
      <vt:lpstr>'4090'!_130_ESOL__Grade_Level_PK_3</vt:lpstr>
      <vt:lpstr>'4091'!_130_ESOL__Grade_Level_PK_3</vt:lpstr>
      <vt:lpstr>'4100'!_130_ESOL__Grade_Level_PK_3</vt:lpstr>
      <vt:lpstr>'4102'!_130_ESOL__Grade_Level_PK_3</vt:lpstr>
      <vt:lpstr>'4103'!_130_ESOL__Grade_Level_PK_3</vt:lpstr>
      <vt:lpstr>'4111'!_130_ESOL__Grade_Level_PK_3</vt:lpstr>
      <vt:lpstr>'4131'!_130_ESOL__Grade_Level_PK_3</vt:lpstr>
      <vt:lpstr>_130_ESOL__Grade_Level_PK_3</vt:lpstr>
      <vt:lpstr>'0040'!_1A.___2023_24_FEFP_State_and_Local_Funding</vt:lpstr>
      <vt:lpstr>'0100'!_1A.___2023_24_FEFP_State_and_Local_Funding</vt:lpstr>
      <vt:lpstr>'0571'!_1A.___2023_24_FEFP_State_and_Local_Funding</vt:lpstr>
      <vt:lpstr>'1461'!_1A.___2023_24_FEFP_State_and_Local_Funding</vt:lpstr>
      <vt:lpstr>'1571'!_1A.___2023_24_FEFP_State_and_Local_Funding</vt:lpstr>
      <vt:lpstr>'2521'!_1A.___2023_24_FEFP_State_and_Local_Funding</vt:lpstr>
      <vt:lpstr>'2531'!_1A.___2023_24_FEFP_State_and_Local_Funding</vt:lpstr>
      <vt:lpstr>'2791'!_1A.___2023_24_FEFP_State_and_Local_Funding</vt:lpstr>
      <vt:lpstr>'2801'!_1A.___2023_24_FEFP_State_and_Local_Funding</vt:lpstr>
      <vt:lpstr>'2911'!_1A.___2023_24_FEFP_State_and_Local_Funding</vt:lpstr>
      <vt:lpstr>'2941'!_1A.___2023_24_FEFP_State_and_Local_Funding</vt:lpstr>
      <vt:lpstr>'3083'!_1A.___2023_24_FEFP_State_and_Local_Funding</vt:lpstr>
      <vt:lpstr>'3345'!_1A.___2023_24_FEFP_State_and_Local_Funding</vt:lpstr>
      <vt:lpstr>'3362'!_1A.___2023_24_FEFP_State_and_Local_Funding</vt:lpstr>
      <vt:lpstr>'3381'!_1A.___2023_24_FEFP_State_and_Local_Funding</vt:lpstr>
      <vt:lpstr>'3382'!_1A.___2023_24_FEFP_State_and_Local_Funding</vt:lpstr>
      <vt:lpstr>'3391'!_1A.___2023_24_FEFP_State_and_Local_Funding</vt:lpstr>
      <vt:lpstr>'3394'!_1A.___2023_24_FEFP_State_and_Local_Funding</vt:lpstr>
      <vt:lpstr>'3395'!_1A.___2023_24_FEFP_State_and_Local_Funding</vt:lpstr>
      <vt:lpstr>'3396'!_1A.___2023_24_FEFP_State_and_Local_Funding</vt:lpstr>
      <vt:lpstr>'3398'!_1A.___2023_24_FEFP_State_and_Local_Funding</vt:lpstr>
      <vt:lpstr>'3400'!_1A.___2023_24_FEFP_State_and_Local_Funding</vt:lpstr>
      <vt:lpstr>'3401'!_1A.___2023_24_FEFP_State_and_Local_Funding</vt:lpstr>
      <vt:lpstr>'3413'!_1A.___2023_24_FEFP_State_and_Local_Funding</vt:lpstr>
      <vt:lpstr>'3421'!_1A.___2023_24_FEFP_State_and_Local_Funding</vt:lpstr>
      <vt:lpstr>'3431'!_1A.___2023_24_FEFP_State_and_Local_Funding</vt:lpstr>
      <vt:lpstr>'3441'!_1A.___2023_24_FEFP_State_and_Local_Funding</vt:lpstr>
      <vt:lpstr>'3924'!_1A.___2023_24_FEFP_State_and_Local_Funding</vt:lpstr>
      <vt:lpstr>'3941'!_1A.___2023_24_FEFP_State_and_Local_Funding</vt:lpstr>
      <vt:lpstr>'3961'!_1A.___2023_24_FEFP_State_and_Local_Funding</vt:lpstr>
      <vt:lpstr>'3971'!_1A.___2023_24_FEFP_State_and_Local_Funding</vt:lpstr>
      <vt:lpstr>'4001'!_1A.___2023_24_FEFP_State_and_Local_Funding</vt:lpstr>
      <vt:lpstr>'4002'!_1A.___2023_24_FEFP_State_and_Local_Funding</vt:lpstr>
      <vt:lpstr>'4012'!_1A.___2023_24_FEFP_State_and_Local_Funding</vt:lpstr>
      <vt:lpstr>'4013'!_1A.___2023_24_FEFP_State_and_Local_Funding</vt:lpstr>
      <vt:lpstr>'4020'!_1A.___2023_24_FEFP_State_and_Local_Funding</vt:lpstr>
      <vt:lpstr>'4030'!_1A.___2023_24_FEFP_State_and_Local_Funding</vt:lpstr>
      <vt:lpstr>'4031'!_1A.___2023_24_FEFP_State_and_Local_Funding</vt:lpstr>
      <vt:lpstr>'4041'!_1A.___2023_24_FEFP_State_and_Local_Funding</vt:lpstr>
      <vt:lpstr>'4050'!_1A.___2023_24_FEFP_State_and_Local_Funding</vt:lpstr>
      <vt:lpstr>'4051'!_1A.___2023_24_FEFP_State_and_Local_Funding</vt:lpstr>
      <vt:lpstr>'4061'!_1A.___2023_24_FEFP_State_and_Local_Funding</vt:lpstr>
      <vt:lpstr>'4080'!_1A.___2023_24_FEFP_State_and_Local_Funding</vt:lpstr>
      <vt:lpstr>'4081'!_1A.___2023_24_FEFP_State_and_Local_Funding</vt:lpstr>
      <vt:lpstr>'4090'!_1A.___2023_24_FEFP_State_and_Local_Funding</vt:lpstr>
      <vt:lpstr>'4091'!_1A.___2023_24_FEFP_State_and_Local_Funding</vt:lpstr>
      <vt:lpstr>'4100'!_1A.___2023_24_FEFP_State_and_Local_Funding</vt:lpstr>
      <vt:lpstr>'4102'!_1A.___2023_24_FEFP_State_and_Local_Funding</vt:lpstr>
      <vt:lpstr>'4103'!_1A.___2023_24_FEFP_State_and_Local_Funding</vt:lpstr>
      <vt:lpstr>'4111'!_1A.___2023_24_FEFP_State_and_Local_Funding</vt:lpstr>
      <vt:lpstr>'4131'!_1A.___2023_24_FEFP_State_and_Local_Funding</vt:lpstr>
      <vt:lpstr>'0100'!_2</vt:lpstr>
      <vt:lpstr>'0571'!_2</vt:lpstr>
      <vt:lpstr>'1461'!_2</vt:lpstr>
      <vt:lpstr>'1571'!_2</vt:lpstr>
      <vt:lpstr>'2521'!_2</vt:lpstr>
      <vt:lpstr>'2531'!_2</vt:lpstr>
      <vt:lpstr>'2791'!_2</vt:lpstr>
      <vt:lpstr>'2801'!_2</vt:lpstr>
      <vt:lpstr>'2911'!_2</vt:lpstr>
      <vt:lpstr>'2941'!_2</vt:lpstr>
      <vt:lpstr>'3083'!_2</vt:lpstr>
      <vt:lpstr>'3345'!_2</vt:lpstr>
      <vt:lpstr>'3362'!_2</vt:lpstr>
      <vt:lpstr>'3381'!_2</vt:lpstr>
      <vt:lpstr>'3382'!_2</vt:lpstr>
      <vt:lpstr>'3391'!_2</vt:lpstr>
      <vt:lpstr>'3394'!_2</vt:lpstr>
      <vt:lpstr>'3395'!_2</vt:lpstr>
      <vt:lpstr>'3396'!_2</vt:lpstr>
      <vt:lpstr>'3398'!_2</vt:lpstr>
      <vt:lpstr>'3400'!_2</vt:lpstr>
      <vt:lpstr>'3401'!_2</vt:lpstr>
      <vt:lpstr>'3413'!_2</vt:lpstr>
      <vt:lpstr>'3421'!_2</vt:lpstr>
      <vt:lpstr>'3431'!_2</vt:lpstr>
      <vt:lpstr>'3441'!_2</vt:lpstr>
      <vt:lpstr>'3924'!_2</vt:lpstr>
      <vt:lpstr>'3941'!_2</vt:lpstr>
      <vt:lpstr>'3961'!_2</vt:lpstr>
      <vt:lpstr>'3971'!_2</vt:lpstr>
      <vt:lpstr>'4001'!_2</vt:lpstr>
      <vt:lpstr>'4002'!_2</vt:lpstr>
      <vt:lpstr>'4012'!_2</vt:lpstr>
      <vt:lpstr>'4013'!_2</vt:lpstr>
      <vt:lpstr>'4020'!_2</vt:lpstr>
      <vt:lpstr>'4030'!_2</vt:lpstr>
      <vt:lpstr>'4031'!_2</vt:lpstr>
      <vt:lpstr>'4041'!_2</vt:lpstr>
      <vt:lpstr>'4050'!_2</vt:lpstr>
      <vt:lpstr>'4051'!_2</vt:lpstr>
      <vt:lpstr>'4061'!_2</vt:lpstr>
      <vt:lpstr>'4080'!_2</vt:lpstr>
      <vt:lpstr>'4081'!_2</vt:lpstr>
      <vt:lpstr>'4090'!_2</vt:lpstr>
      <vt:lpstr>'4091'!_2</vt:lpstr>
      <vt:lpstr>'4100'!_2</vt:lpstr>
      <vt:lpstr>'4102'!_2</vt:lpstr>
      <vt:lpstr>'4103'!_2</vt:lpstr>
      <vt:lpstr>'4111'!_2</vt:lpstr>
      <vt:lpstr>'4131'!_2</vt:lpstr>
      <vt:lpstr>_2</vt:lpstr>
      <vt:lpstr>'0100'!_2010_11_Base_Funding_WFTE_x_BSA_x_DCD</vt:lpstr>
      <vt:lpstr>'0571'!_2010_11_Base_Funding_WFTE_x_BSA_x_DCD</vt:lpstr>
      <vt:lpstr>'1461'!_2010_11_Base_Funding_WFTE_x_BSA_x_DCD</vt:lpstr>
      <vt:lpstr>'1571'!_2010_11_Base_Funding_WFTE_x_BSA_x_DCD</vt:lpstr>
      <vt:lpstr>'2521'!_2010_11_Base_Funding_WFTE_x_BSA_x_DCD</vt:lpstr>
      <vt:lpstr>'2531'!_2010_11_Base_Funding_WFTE_x_BSA_x_DCD</vt:lpstr>
      <vt:lpstr>'2791'!_2010_11_Base_Funding_WFTE_x_BSA_x_DCD</vt:lpstr>
      <vt:lpstr>'2801'!_2010_11_Base_Funding_WFTE_x_BSA_x_DCD</vt:lpstr>
      <vt:lpstr>'2911'!_2010_11_Base_Funding_WFTE_x_BSA_x_DCD</vt:lpstr>
      <vt:lpstr>'2941'!_2010_11_Base_Funding_WFTE_x_BSA_x_DCD</vt:lpstr>
      <vt:lpstr>'3083'!_2010_11_Base_Funding_WFTE_x_BSA_x_DCD</vt:lpstr>
      <vt:lpstr>'3345'!_2010_11_Base_Funding_WFTE_x_BSA_x_DCD</vt:lpstr>
      <vt:lpstr>'3362'!_2010_11_Base_Funding_WFTE_x_BSA_x_DCD</vt:lpstr>
      <vt:lpstr>'3381'!_2010_11_Base_Funding_WFTE_x_BSA_x_DCD</vt:lpstr>
      <vt:lpstr>'3382'!_2010_11_Base_Funding_WFTE_x_BSA_x_DCD</vt:lpstr>
      <vt:lpstr>'3391'!_2010_11_Base_Funding_WFTE_x_BSA_x_DCD</vt:lpstr>
      <vt:lpstr>'3394'!_2010_11_Base_Funding_WFTE_x_BSA_x_DCD</vt:lpstr>
      <vt:lpstr>'3395'!_2010_11_Base_Funding_WFTE_x_BSA_x_DCD</vt:lpstr>
      <vt:lpstr>'3396'!_2010_11_Base_Funding_WFTE_x_BSA_x_DCD</vt:lpstr>
      <vt:lpstr>'3398'!_2010_11_Base_Funding_WFTE_x_BSA_x_DCD</vt:lpstr>
      <vt:lpstr>'3400'!_2010_11_Base_Funding_WFTE_x_BSA_x_DCD</vt:lpstr>
      <vt:lpstr>'3401'!_2010_11_Base_Funding_WFTE_x_BSA_x_DCD</vt:lpstr>
      <vt:lpstr>'3413'!_2010_11_Base_Funding_WFTE_x_BSA_x_DCD</vt:lpstr>
      <vt:lpstr>'3421'!_2010_11_Base_Funding_WFTE_x_BSA_x_DCD</vt:lpstr>
      <vt:lpstr>'3431'!_2010_11_Base_Funding_WFTE_x_BSA_x_DCD</vt:lpstr>
      <vt:lpstr>'3441'!_2010_11_Base_Funding_WFTE_x_BSA_x_DCD</vt:lpstr>
      <vt:lpstr>'3924'!_2010_11_Base_Funding_WFTE_x_BSA_x_DCD</vt:lpstr>
      <vt:lpstr>'3941'!_2010_11_Base_Funding_WFTE_x_BSA_x_DCD</vt:lpstr>
      <vt:lpstr>'3961'!_2010_11_Base_Funding_WFTE_x_BSA_x_DCD</vt:lpstr>
      <vt:lpstr>'3971'!_2010_11_Base_Funding_WFTE_x_BSA_x_DCD</vt:lpstr>
      <vt:lpstr>'4001'!_2010_11_Base_Funding_WFTE_x_BSA_x_DCD</vt:lpstr>
      <vt:lpstr>'4002'!_2010_11_Base_Funding_WFTE_x_BSA_x_DCD</vt:lpstr>
      <vt:lpstr>'4012'!_2010_11_Base_Funding_WFTE_x_BSA_x_DCD</vt:lpstr>
      <vt:lpstr>'4013'!_2010_11_Base_Funding_WFTE_x_BSA_x_DCD</vt:lpstr>
      <vt:lpstr>'4020'!_2010_11_Base_Funding_WFTE_x_BSA_x_DCD</vt:lpstr>
      <vt:lpstr>'4030'!_2010_11_Base_Funding_WFTE_x_BSA_x_DCD</vt:lpstr>
      <vt:lpstr>'4031'!_2010_11_Base_Funding_WFTE_x_BSA_x_DCD</vt:lpstr>
      <vt:lpstr>'4041'!_2010_11_Base_Funding_WFTE_x_BSA_x_DCD</vt:lpstr>
      <vt:lpstr>'4050'!_2010_11_Base_Funding_WFTE_x_BSA_x_DCD</vt:lpstr>
      <vt:lpstr>'4051'!_2010_11_Base_Funding_WFTE_x_BSA_x_DCD</vt:lpstr>
      <vt:lpstr>'4061'!_2010_11_Base_Funding_WFTE_x_BSA_x_DCD</vt:lpstr>
      <vt:lpstr>'4080'!_2010_11_Base_Funding_WFTE_x_BSA_x_DCD</vt:lpstr>
      <vt:lpstr>'4081'!_2010_11_Base_Funding_WFTE_x_BSA_x_DCD</vt:lpstr>
      <vt:lpstr>'4090'!_2010_11_Base_Funding_WFTE_x_BSA_x_DCD</vt:lpstr>
      <vt:lpstr>'4091'!_2010_11_Base_Funding_WFTE_x_BSA_x_DCD</vt:lpstr>
      <vt:lpstr>'4100'!_2010_11_Base_Funding_WFTE_x_BSA_x_DCD</vt:lpstr>
      <vt:lpstr>'4102'!_2010_11_Base_Funding_WFTE_x_BSA_x_DCD</vt:lpstr>
      <vt:lpstr>'4103'!_2010_11_Base_Funding_WFTE_x_BSA_x_DCD</vt:lpstr>
      <vt:lpstr>'4111'!_2010_11_Base_Funding_WFTE_x_BSA_x_DCD</vt:lpstr>
      <vt:lpstr>'4131'!_2010_11_Base_Funding_WFTE_x_BSA_x_DCD</vt:lpstr>
      <vt:lpstr>_2010_11_Base_Funding_WFTE_x_BSA_x_DCD</vt:lpstr>
      <vt:lpstr>'0100'!_254_ESE_Level_4__Grade_Level_4_8</vt:lpstr>
      <vt:lpstr>'0571'!_254_ESE_Level_4__Grade_Level_4_8</vt:lpstr>
      <vt:lpstr>'1461'!_254_ESE_Level_4__Grade_Level_4_8</vt:lpstr>
      <vt:lpstr>'1571'!_254_ESE_Level_4__Grade_Level_4_8</vt:lpstr>
      <vt:lpstr>'2521'!_254_ESE_Level_4__Grade_Level_4_8</vt:lpstr>
      <vt:lpstr>'2531'!_254_ESE_Level_4__Grade_Level_4_8</vt:lpstr>
      <vt:lpstr>'2791'!_254_ESE_Level_4__Grade_Level_4_8</vt:lpstr>
      <vt:lpstr>'2801'!_254_ESE_Level_4__Grade_Level_4_8</vt:lpstr>
      <vt:lpstr>'2911'!_254_ESE_Level_4__Grade_Level_4_8</vt:lpstr>
      <vt:lpstr>'2941'!_254_ESE_Level_4__Grade_Level_4_8</vt:lpstr>
      <vt:lpstr>'3083'!_254_ESE_Level_4__Grade_Level_4_8</vt:lpstr>
      <vt:lpstr>'3345'!_254_ESE_Level_4__Grade_Level_4_8</vt:lpstr>
      <vt:lpstr>'3362'!_254_ESE_Level_4__Grade_Level_4_8</vt:lpstr>
      <vt:lpstr>'3381'!_254_ESE_Level_4__Grade_Level_4_8</vt:lpstr>
      <vt:lpstr>'3382'!_254_ESE_Level_4__Grade_Level_4_8</vt:lpstr>
      <vt:lpstr>'3391'!_254_ESE_Level_4__Grade_Level_4_8</vt:lpstr>
      <vt:lpstr>'3394'!_254_ESE_Level_4__Grade_Level_4_8</vt:lpstr>
      <vt:lpstr>'3395'!_254_ESE_Level_4__Grade_Level_4_8</vt:lpstr>
      <vt:lpstr>'3396'!_254_ESE_Level_4__Grade_Level_4_8</vt:lpstr>
      <vt:lpstr>'3398'!_254_ESE_Level_4__Grade_Level_4_8</vt:lpstr>
      <vt:lpstr>'3400'!_254_ESE_Level_4__Grade_Level_4_8</vt:lpstr>
      <vt:lpstr>'3401'!_254_ESE_Level_4__Grade_Level_4_8</vt:lpstr>
      <vt:lpstr>'3413'!_254_ESE_Level_4__Grade_Level_4_8</vt:lpstr>
      <vt:lpstr>'3421'!_254_ESE_Level_4__Grade_Level_4_8</vt:lpstr>
      <vt:lpstr>'3431'!_254_ESE_Level_4__Grade_Level_4_8</vt:lpstr>
      <vt:lpstr>'3441'!_254_ESE_Level_4__Grade_Level_4_8</vt:lpstr>
      <vt:lpstr>'3924'!_254_ESE_Level_4__Grade_Level_4_8</vt:lpstr>
      <vt:lpstr>'3941'!_254_ESE_Level_4__Grade_Level_4_8</vt:lpstr>
      <vt:lpstr>'3961'!_254_ESE_Level_4__Grade_Level_4_8</vt:lpstr>
      <vt:lpstr>'3971'!_254_ESE_Level_4__Grade_Level_4_8</vt:lpstr>
      <vt:lpstr>'4001'!_254_ESE_Level_4__Grade_Level_4_8</vt:lpstr>
      <vt:lpstr>'4002'!_254_ESE_Level_4__Grade_Level_4_8</vt:lpstr>
      <vt:lpstr>'4012'!_254_ESE_Level_4__Grade_Level_4_8</vt:lpstr>
      <vt:lpstr>'4013'!_254_ESE_Level_4__Grade_Level_4_8</vt:lpstr>
      <vt:lpstr>'4020'!_254_ESE_Level_4__Grade_Level_4_8</vt:lpstr>
      <vt:lpstr>'4030'!_254_ESE_Level_4__Grade_Level_4_8</vt:lpstr>
      <vt:lpstr>'4031'!_254_ESE_Level_4__Grade_Level_4_8</vt:lpstr>
      <vt:lpstr>'4041'!_254_ESE_Level_4__Grade_Level_4_8</vt:lpstr>
      <vt:lpstr>'4050'!_254_ESE_Level_4__Grade_Level_4_8</vt:lpstr>
      <vt:lpstr>'4051'!_254_ESE_Level_4__Grade_Level_4_8</vt:lpstr>
      <vt:lpstr>'4061'!_254_ESE_Level_4__Grade_Level_4_8</vt:lpstr>
      <vt:lpstr>'4080'!_254_ESE_Level_4__Grade_Level_4_8</vt:lpstr>
      <vt:lpstr>'4081'!_254_ESE_Level_4__Grade_Level_4_8</vt:lpstr>
      <vt:lpstr>'4090'!_254_ESE_Level_4__Grade_Level_4_8</vt:lpstr>
      <vt:lpstr>'4091'!_254_ESE_Level_4__Grade_Level_4_8</vt:lpstr>
      <vt:lpstr>'4100'!_254_ESE_Level_4__Grade_Level_4_8</vt:lpstr>
      <vt:lpstr>'4102'!_254_ESE_Level_4__Grade_Level_4_8</vt:lpstr>
      <vt:lpstr>'4103'!_254_ESE_Level_4__Grade_Level_4_8</vt:lpstr>
      <vt:lpstr>'4111'!_254_ESE_Level_4__Grade_Level_4_8</vt:lpstr>
      <vt:lpstr>'4131'!_254_ESE_Level_4__Grade_Level_4_8</vt:lpstr>
      <vt:lpstr>_254_ESE_Level_4__Grade_Level_4_8</vt:lpstr>
      <vt:lpstr>'0100'!_254_ESE_Level_4__Grade_Level_9_12</vt:lpstr>
      <vt:lpstr>'0571'!_254_ESE_Level_4__Grade_Level_9_12</vt:lpstr>
      <vt:lpstr>'1461'!_254_ESE_Level_4__Grade_Level_9_12</vt:lpstr>
      <vt:lpstr>'1571'!_254_ESE_Level_4__Grade_Level_9_12</vt:lpstr>
      <vt:lpstr>'2521'!_254_ESE_Level_4__Grade_Level_9_12</vt:lpstr>
      <vt:lpstr>'2531'!_254_ESE_Level_4__Grade_Level_9_12</vt:lpstr>
      <vt:lpstr>'2791'!_254_ESE_Level_4__Grade_Level_9_12</vt:lpstr>
      <vt:lpstr>'2801'!_254_ESE_Level_4__Grade_Level_9_12</vt:lpstr>
      <vt:lpstr>'2911'!_254_ESE_Level_4__Grade_Level_9_12</vt:lpstr>
      <vt:lpstr>'2941'!_254_ESE_Level_4__Grade_Level_9_12</vt:lpstr>
      <vt:lpstr>'3083'!_254_ESE_Level_4__Grade_Level_9_12</vt:lpstr>
      <vt:lpstr>'3345'!_254_ESE_Level_4__Grade_Level_9_12</vt:lpstr>
      <vt:lpstr>'3362'!_254_ESE_Level_4__Grade_Level_9_12</vt:lpstr>
      <vt:lpstr>'3381'!_254_ESE_Level_4__Grade_Level_9_12</vt:lpstr>
      <vt:lpstr>'3382'!_254_ESE_Level_4__Grade_Level_9_12</vt:lpstr>
      <vt:lpstr>'3391'!_254_ESE_Level_4__Grade_Level_9_12</vt:lpstr>
      <vt:lpstr>'3394'!_254_ESE_Level_4__Grade_Level_9_12</vt:lpstr>
      <vt:lpstr>'3395'!_254_ESE_Level_4__Grade_Level_9_12</vt:lpstr>
      <vt:lpstr>'3396'!_254_ESE_Level_4__Grade_Level_9_12</vt:lpstr>
      <vt:lpstr>'3398'!_254_ESE_Level_4__Grade_Level_9_12</vt:lpstr>
      <vt:lpstr>'3400'!_254_ESE_Level_4__Grade_Level_9_12</vt:lpstr>
      <vt:lpstr>'3401'!_254_ESE_Level_4__Grade_Level_9_12</vt:lpstr>
      <vt:lpstr>'3413'!_254_ESE_Level_4__Grade_Level_9_12</vt:lpstr>
      <vt:lpstr>'3421'!_254_ESE_Level_4__Grade_Level_9_12</vt:lpstr>
      <vt:lpstr>'3431'!_254_ESE_Level_4__Grade_Level_9_12</vt:lpstr>
      <vt:lpstr>'3441'!_254_ESE_Level_4__Grade_Level_9_12</vt:lpstr>
      <vt:lpstr>'3924'!_254_ESE_Level_4__Grade_Level_9_12</vt:lpstr>
      <vt:lpstr>'3941'!_254_ESE_Level_4__Grade_Level_9_12</vt:lpstr>
      <vt:lpstr>'3961'!_254_ESE_Level_4__Grade_Level_9_12</vt:lpstr>
      <vt:lpstr>'3971'!_254_ESE_Level_4__Grade_Level_9_12</vt:lpstr>
      <vt:lpstr>'4001'!_254_ESE_Level_4__Grade_Level_9_12</vt:lpstr>
      <vt:lpstr>'4002'!_254_ESE_Level_4__Grade_Level_9_12</vt:lpstr>
      <vt:lpstr>'4012'!_254_ESE_Level_4__Grade_Level_9_12</vt:lpstr>
      <vt:lpstr>'4013'!_254_ESE_Level_4__Grade_Level_9_12</vt:lpstr>
      <vt:lpstr>'4020'!_254_ESE_Level_4__Grade_Level_9_12</vt:lpstr>
      <vt:lpstr>'4030'!_254_ESE_Level_4__Grade_Level_9_12</vt:lpstr>
      <vt:lpstr>'4031'!_254_ESE_Level_4__Grade_Level_9_12</vt:lpstr>
      <vt:lpstr>'4041'!_254_ESE_Level_4__Grade_Level_9_12</vt:lpstr>
      <vt:lpstr>'4050'!_254_ESE_Level_4__Grade_Level_9_12</vt:lpstr>
      <vt:lpstr>'4051'!_254_ESE_Level_4__Grade_Level_9_12</vt:lpstr>
      <vt:lpstr>'4061'!_254_ESE_Level_4__Grade_Level_9_12</vt:lpstr>
      <vt:lpstr>'4080'!_254_ESE_Level_4__Grade_Level_9_12</vt:lpstr>
      <vt:lpstr>'4081'!_254_ESE_Level_4__Grade_Level_9_12</vt:lpstr>
      <vt:lpstr>'4090'!_254_ESE_Level_4__Grade_Level_9_12</vt:lpstr>
      <vt:lpstr>'4091'!_254_ESE_Level_4__Grade_Level_9_12</vt:lpstr>
      <vt:lpstr>'4100'!_254_ESE_Level_4__Grade_Level_9_12</vt:lpstr>
      <vt:lpstr>'4102'!_254_ESE_Level_4__Grade_Level_9_12</vt:lpstr>
      <vt:lpstr>'4103'!_254_ESE_Level_4__Grade_Level_9_12</vt:lpstr>
      <vt:lpstr>'4111'!_254_ESE_Level_4__Grade_Level_9_12</vt:lpstr>
      <vt:lpstr>'4131'!_254_ESE_Level_4__Grade_Level_9_12</vt:lpstr>
      <vt:lpstr>_254_ESE_Level_4__Grade_Level_9_12</vt:lpstr>
      <vt:lpstr>'0100'!_254_ESE_Level_4__Grade_Level_PK_3</vt:lpstr>
      <vt:lpstr>'0571'!_254_ESE_Level_4__Grade_Level_PK_3</vt:lpstr>
      <vt:lpstr>'1461'!_254_ESE_Level_4__Grade_Level_PK_3</vt:lpstr>
      <vt:lpstr>'1571'!_254_ESE_Level_4__Grade_Level_PK_3</vt:lpstr>
      <vt:lpstr>'2521'!_254_ESE_Level_4__Grade_Level_PK_3</vt:lpstr>
      <vt:lpstr>'2531'!_254_ESE_Level_4__Grade_Level_PK_3</vt:lpstr>
      <vt:lpstr>'2791'!_254_ESE_Level_4__Grade_Level_PK_3</vt:lpstr>
      <vt:lpstr>'2801'!_254_ESE_Level_4__Grade_Level_PK_3</vt:lpstr>
      <vt:lpstr>'2911'!_254_ESE_Level_4__Grade_Level_PK_3</vt:lpstr>
      <vt:lpstr>'2941'!_254_ESE_Level_4__Grade_Level_PK_3</vt:lpstr>
      <vt:lpstr>'3083'!_254_ESE_Level_4__Grade_Level_PK_3</vt:lpstr>
      <vt:lpstr>'3345'!_254_ESE_Level_4__Grade_Level_PK_3</vt:lpstr>
      <vt:lpstr>'3362'!_254_ESE_Level_4__Grade_Level_PK_3</vt:lpstr>
      <vt:lpstr>'3381'!_254_ESE_Level_4__Grade_Level_PK_3</vt:lpstr>
      <vt:lpstr>'3382'!_254_ESE_Level_4__Grade_Level_PK_3</vt:lpstr>
      <vt:lpstr>'3391'!_254_ESE_Level_4__Grade_Level_PK_3</vt:lpstr>
      <vt:lpstr>'3394'!_254_ESE_Level_4__Grade_Level_PK_3</vt:lpstr>
      <vt:lpstr>'3395'!_254_ESE_Level_4__Grade_Level_PK_3</vt:lpstr>
      <vt:lpstr>'3396'!_254_ESE_Level_4__Grade_Level_PK_3</vt:lpstr>
      <vt:lpstr>'3398'!_254_ESE_Level_4__Grade_Level_PK_3</vt:lpstr>
      <vt:lpstr>'3400'!_254_ESE_Level_4__Grade_Level_PK_3</vt:lpstr>
      <vt:lpstr>'3401'!_254_ESE_Level_4__Grade_Level_PK_3</vt:lpstr>
      <vt:lpstr>'3413'!_254_ESE_Level_4__Grade_Level_PK_3</vt:lpstr>
      <vt:lpstr>'3421'!_254_ESE_Level_4__Grade_Level_PK_3</vt:lpstr>
      <vt:lpstr>'3431'!_254_ESE_Level_4__Grade_Level_PK_3</vt:lpstr>
      <vt:lpstr>'3441'!_254_ESE_Level_4__Grade_Level_PK_3</vt:lpstr>
      <vt:lpstr>'3924'!_254_ESE_Level_4__Grade_Level_PK_3</vt:lpstr>
      <vt:lpstr>'3941'!_254_ESE_Level_4__Grade_Level_PK_3</vt:lpstr>
      <vt:lpstr>'3961'!_254_ESE_Level_4__Grade_Level_PK_3</vt:lpstr>
      <vt:lpstr>'3971'!_254_ESE_Level_4__Grade_Level_PK_3</vt:lpstr>
      <vt:lpstr>'4001'!_254_ESE_Level_4__Grade_Level_PK_3</vt:lpstr>
      <vt:lpstr>'4002'!_254_ESE_Level_4__Grade_Level_PK_3</vt:lpstr>
      <vt:lpstr>'4012'!_254_ESE_Level_4__Grade_Level_PK_3</vt:lpstr>
      <vt:lpstr>'4013'!_254_ESE_Level_4__Grade_Level_PK_3</vt:lpstr>
      <vt:lpstr>'4020'!_254_ESE_Level_4__Grade_Level_PK_3</vt:lpstr>
      <vt:lpstr>'4030'!_254_ESE_Level_4__Grade_Level_PK_3</vt:lpstr>
      <vt:lpstr>'4031'!_254_ESE_Level_4__Grade_Level_PK_3</vt:lpstr>
      <vt:lpstr>'4041'!_254_ESE_Level_4__Grade_Level_PK_3</vt:lpstr>
      <vt:lpstr>'4050'!_254_ESE_Level_4__Grade_Level_PK_3</vt:lpstr>
      <vt:lpstr>'4051'!_254_ESE_Level_4__Grade_Level_PK_3</vt:lpstr>
      <vt:lpstr>'4061'!_254_ESE_Level_4__Grade_Level_PK_3</vt:lpstr>
      <vt:lpstr>'4080'!_254_ESE_Level_4__Grade_Level_PK_3</vt:lpstr>
      <vt:lpstr>'4081'!_254_ESE_Level_4__Grade_Level_PK_3</vt:lpstr>
      <vt:lpstr>'4090'!_254_ESE_Level_4__Grade_Level_PK_3</vt:lpstr>
      <vt:lpstr>'4091'!_254_ESE_Level_4__Grade_Level_PK_3</vt:lpstr>
      <vt:lpstr>'4100'!_254_ESE_Level_4__Grade_Level_PK_3</vt:lpstr>
      <vt:lpstr>'4102'!_254_ESE_Level_4__Grade_Level_PK_3</vt:lpstr>
      <vt:lpstr>'4103'!_254_ESE_Level_4__Grade_Level_PK_3</vt:lpstr>
      <vt:lpstr>'4111'!_254_ESE_Level_4__Grade_Level_PK_3</vt:lpstr>
      <vt:lpstr>'4131'!_254_ESE_Level_4__Grade_Level_PK_3</vt:lpstr>
      <vt:lpstr>_254_ESE_Level_4__Grade_Level_PK_3</vt:lpstr>
      <vt:lpstr>'0100'!_255_ESE_Level_5__Grade_Level_4_8</vt:lpstr>
      <vt:lpstr>'0571'!_255_ESE_Level_5__Grade_Level_4_8</vt:lpstr>
      <vt:lpstr>'1461'!_255_ESE_Level_5__Grade_Level_4_8</vt:lpstr>
      <vt:lpstr>'1571'!_255_ESE_Level_5__Grade_Level_4_8</vt:lpstr>
      <vt:lpstr>'2521'!_255_ESE_Level_5__Grade_Level_4_8</vt:lpstr>
      <vt:lpstr>'2531'!_255_ESE_Level_5__Grade_Level_4_8</vt:lpstr>
      <vt:lpstr>'2791'!_255_ESE_Level_5__Grade_Level_4_8</vt:lpstr>
      <vt:lpstr>'2801'!_255_ESE_Level_5__Grade_Level_4_8</vt:lpstr>
      <vt:lpstr>'2911'!_255_ESE_Level_5__Grade_Level_4_8</vt:lpstr>
      <vt:lpstr>'2941'!_255_ESE_Level_5__Grade_Level_4_8</vt:lpstr>
      <vt:lpstr>'3083'!_255_ESE_Level_5__Grade_Level_4_8</vt:lpstr>
      <vt:lpstr>'3345'!_255_ESE_Level_5__Grade_Level_4_8</vt:lpstr>
      <vt:lpstr>'3362'!_255_ESE_Level_5__Grade_Level_4_8</vt:lpstr>
      <vt:lpstr>'3381'!_255_ESE_Level_5__Grade_Level_4_8</vt:lpstr>
      <vt:lpstr>'3382'!_255_ESE_Level_5__Grade_Level_4_8</vt:lpstr>
      <vt:lpstr>'3391'!_255_ESE_Level_5__Grade_Level_4_8</vt:lpstr>
      <vt:lpstr>'3394'!_255_ESE_Level_5__Grade_Level_4_8</vt:lpstr>
      <vt:lpstr>'3395'!_255_ESE_Level_5__Grade_Level_4_8</vt:lpstr>
      <vt:lpstr>'3396'!_255_ESE_Level_5__Grade_Level_4_8</vt:lpstr>
      <vt:lpstr>'3398'!_255_ESE_Level_5__Grade_Level_4_8</vt:lpstr>
      <vt:lpstr>'3400'!_255_ESE_Level_5__Grade_Level_4_8</vt:lpstr>
      <vt:lpstr>'3401'!_255_ESE_Level_5__Grade_Level_4_8</vt:lpstr>
      <vt:lpstr>'3413'!_255_ESE_Level_5__Grade_Level_4_8</vt:lpstr>
      <vt:lpstr>'3421'!_255_ESE_Level_5__Grade_Level_4_8</vt:lpstr>
      <vt:lpstr>'3431'!_255_ESE_Level_5__Grade_Level_4_8</vt:lpstr>
      <vt:lpstr>'3441'!_255_ESE_Level_5__Grade_Level_4_8</vt:lpstr>
      <vt:lpstr>'3924'!_255_ESE_Level_5__Grade_Level_4_8</vt:lpstr>
      <vt:lpstr>'3941'!_255_ESE_Level_5__Grade_Level_4_8</vt:lpstr>
      <vt:lpstr>'3961'!_255_ESE_Level_5__Grade_Level_4_8</vt:lpstr>
      <vt:lpstr>'3971'!_255_ESE_Level_5__Grade_Level_4_8</vt:lpstr>
      <vt:lpstr>'4001'!_255_ESE_Level_5__Grade_Level_4_8</vt:lpstr>
      <vt:lpstr>'4002'!_255_ESE_Level_5__Grade_Level_4_8</vt:lpstr>
      <vt:lpstr>'4012'!_255_ESE_Level_5__Grade_Level_4_8</vt:lpstr>
      <vt:lpstr>'4013'!_255_ESE_Level_5__Grade_Level_4_8</vt:lpstr>
      <vt:lpstr>'4020'!_255_ESE_Level_5__Grade_Level_4_8</vt:lpstr>
      <vt:lpstr>'4030'!_255_ESE_Level_5__Grade_Level_4_8</vt:lpstr>
      <vt:lpstr>'4031'!_255_ESE_Level_5__Grade_Level_4_8</vt:lpstr>
      <vt:lpstr>'4041'!_255_ESE_Level_5__Grade_Level_4_8</vt:lpstr>
      <vt:lpstr>'4050'!_255_ESE_Level_5__Grade_Level_4_8</vt:lpstr>
      <vt:lpstr>'4051'!_255_ESE_Level_5__Grade_Level_4_8</vt:lpstr>
      <vt:lpstr>'4061'!_255_ESE_Level_5__Grade_Level_4_8</vt:lpstr>
      <vt:lpstr>'4080'!_255_ESE_Level_5__Grade_Level_4_8</vt:lpstr>
      <vt:lpstr>'4081'!_255_ESE_Level_5__Grade_Level_4_8</vt:lpstr>
      <vt:lpstr>'4090'!_255_ESE_Level_5__Grade_Level_4_8</vt:lpstr>
      <vt:lpstr>'4091'!_255_ESE_Level_5__Grade_Level_4_8</vt:lpstr>
      <vt:lpstr>'4100'!_255_ESE_Level_5__Grade_Level_4_8</vt:lpstr>
      <vt:lpstr>'4102'!_255_ESE_Level_5__Grade_Level_4_8</vt:lpstr>
      <vt:lpstr>'4103'!_255_ESE_Level_5__Grade_Level_4_8</vt:lpstr>
      <vt:lpstr>'4111'!_255_ESE_Level_5__Grade_Level_4_8</vt:lpstr>
      <vt:lpstr>'4131'!_255_ESE_Level_5__Grade_Level_4_8</vt:lpstr>
      <vt:lpstr>_255_ESE_Level_5__Grade_Level_4_8</vt:lpstr>
      <vt:lpstr>'0100'!_255_ESE_Level_5__Grade_Level_9_12</vt:lpstr>
      <vt:lpstr>'0571'!_255_ESE_Level_5__Grade_Level_9_12</vt:lpstr>
      <vt:lpstr>'1461'!_255_ESE_Level_5__Grade_Level_9_12</vt:lpstr>
      <vt:lpstr>'1571'!_255_ESE_Level_5__Grade_Level_9_12</vt:lpstr>
      <vt:lpstr>'2521'!_255_ESE_Level_5__Grade_Level_9_12</vt:lpstr>
      <vt:lpstr>'2531'!_255_ESE_Level_5__Grade_Level_9_12</vt:lpstr>
      <vt:lpstr>'2791'!_255_ESE_Level_5__Grade_Level_9_12</vt:lpstr>
      <vt:lpstr>'2801'!_255_ESE_Level_5__Grade_Level_9_12</vt:lpstr>
      <vt:lpstr>'2911'!_255_ESE_Level_5__Grade_Level_9_12</vt:lpstr>
      <vt:lpstr>'2941'!_255_ESE_Level_5__Grade_Level_9_12</vt:lpstr>
      <vt:lpstr>'3083'!_255_ESE_Level_5__Grade_Level_9_12</vt:lpstr>
      <vt:lpstr>'3345'!_255_ESE_Level_5__Grade_Level_9_12</vt:lpstr>
      <vt:lpstr>'3362'!_255_ESE_Level_5__Grade_Level_9_12</vt:lpstr>
      <vt:lpstr>'3381'!_255_ESE_Level_5__Grade_Level_9_12</vt:lpstr>
      <vt:lpstr>'3382'!_255_ESE_Level_5__Grade_Level_9_12</vt:lpstr>
      <vt:lpstr>'3391'!_255_ESE_Level_5__Grade_Level_9_12</vt:lpstr>
      <vt:lpstr>'3394'!_255_ESE_Level_5__Grade_Level_9_12</vt:lpstr>
      <vt:lpstr>'3395'!_255_ESE_Level_5__Grade_Level_9_12</vt:lpstr>
      <vt:lpstr>'3396'!_255_ESE_Level_5__Grade_Level_9_12</vt:lpstr>
      <vt:lpstr>'3398'!_255_ESE_Level_5__Grade_Level_9_12</vt:lpstr>
      <vt:lpstr>'3400'!_255_ESE_Level_5__Grade_Level_9_12</vt:lpstr>
      <vt:lpstr>'3401'!_255_ESE_Level_5__Grade_Level_9_12</vt:lpstr>
      <vt:lpstr>'3413'!_255_ESE_Level_5__Grade_Level_9_12</vt:lpstr>
      <vt:lpstr>'3421'!_255_ESE_Level_5__Grade_Level_9_12</vt:lpstr>
      <vt:lpstr>'3431'!_255_ESE_Level_5__Grade_Level_9_12</vt:lpstr>
      <vt:lpstr>'3441'!_255_ESE_Level_5__Grade_Level_9_12</vt:lpstr>
      <vt:lpstr>'3924'!_255_ESE_Level_5__Grade_Level_9_12</vt:lpstr>
      <vt:lpstr>'3941'!_255_ESE_Level_5__Grade_Level_9_12</vt:lpstr>
      <vt:lpstr>'3961'!_255_ESE_Level_5__Grade_Level_9_12</vt:lpstr>
      <vt:lpstr>'3971'!_255_ESE_Level_5__Grade_Level_9_12</vt:lpstr>
      <vt:lpstr>'4001'!_255_ESE_Level_5__Grade_Level_9_12</vt:lpstr>
      <vt:lpstr>'4002'!_255_ESE_Level_5__Grade_Level_9_12</vt:lpstr>
      <vt:lpstr>'4012'!_255_ESE_Level_5__Grade_Level_9_12</vt:lpstr>
      <vt:lpstr>'4013'!_255_ESE_Level_5__Grade_Level_9_12</vt:lpstr>
      <vt:lpstr>'4020'!_255_ESE_Level_5__Grade_Level_9_12</vt:lpstr>
      <vt:lpstr>'4030'!_255_ESE_Level_5__Grade_Level_9_12</vt:lpstr>
      <vt:lpstr>'4031'!_255_ESE_Level_5__Grade_Level_9_12</vt:lpstr>
      <vt:lpstr>'4041'!_255_ESE_Level_5__Grade_Level_9_12</vt:lpstr>
      <vt:lpstr>'4050'!_255_ESE_Level_5__Grade_Level_9_12</vt:lpstr>
      <vt:lpstr>'4051'!_255_ESE_Level_5__Grade_Level_9_12</vt:lpstr>
      <vt:lpstr>'4061'!_255_ESE_Level_5__Grade_Level_9_12</vt:lpstr>
      <vt:lpstr>'4080'!_255_ESE_Level_5__Grade_Level_9_12</vt:lpstr>
      <vt:lpstr>'4081'!_255_ESE_Level_5__Grade_Level_9_12</vt:lpstr>
      <vt:lpstr>'4090'!_255_ESE_Level_5__Grade_Level_9_12</vt:lpstr>
      <vt:lpstr>'4091'!_255_ESE_Level_5__Grade_Level_9_12</vt:lpstr>
      <vt:lpstr>'4100'!_255_ESE_Level_5__Grade_Level_9_12</vt:lpstr>
      <vt:lpstr>'4102'!_255_ESE_Level_5__Grade_Level_9_12</vt:lpstr>
      <vt:lpstr>'4103'!_255_ESE_Level_5__Grade_Level_9_12</vt:lpstr>
      <vt:lpstr>'4111'!_255_ESE_Level_5__Grade_Level_9_12</vt:lpstr>
      <vt:lpstr>'4131'!_255_ESE_Level_5__Grade_Level_9_12</vt:lpstr>
      <vt:lpstr>_255_ESE_Level_5__Grade_Level_9_12</vt:lpstr>
      <vt:lpstr>'0100'!_255_ESE_Level_5__Grade_Level_PK_3</vt:lpstr>
      <vt:lpstr>'0571'!_255_ESE_Level_5__Grade_Level_PK_3</vt:lpstr>
      <vt:lpstr>'1461'!_255_ESE_Level_5__Grade_Level_PK_3</vt:lpstr>
      <vt:lpstr>'1571'!_255_ESE_Level_5__Grade_Level_PK_3</vt:lpstr>
      <vt:lpstr>'2521'!_255_ESE_Level_5__Grade_Level_PK_3</vt:lpstr>
      <vt:lpstr>'2531'!_255_ESE_Level_5__Grade_Level_PK_3</vt:lpstr>
      <vt:lpstr>'2791'!_255_ESE_Level_5__Grade_Level_PK_3</vt:lpstr>
      <vt:lpstr>'2801'!_255_ESE_Level_5__Grade_Level_PK_3</vt:lpstr>
      <vt:lpstr>'2911'!_255_ESE_Level_5__Grade_Level_PK_3</vt:lpstr>
      <vt:lpstr>'2941'!_255_ESE_Level_5__Grade_Level_PK_3</vt:lpstr>
      <vt:lpstr>'3083'!_255_ESE_Level_5__Grade_Level_PK_3</vt:lpstr>
      <vt:lpstr>'3345'!_255_ESE_Level_5__Grade_Level_PK_3</vt:lpstr>
      <vt:lpstr>'3362'!_255_ESE_Level_5__Grade_Level_PK_3</vt:lpstr>
      <vt:lpstr>'3381'!_255_ESE_Level_5__Grade_Level_PK_3</vt:lpstr>
      <vt:lpstr>'3382'!_255_ESE_Level_5__Grade_Level_PK_3</vt:lpstr>
      <vt:lpstr>'3391'!_255_ESE_Level_5__Grade_Level_PK_3</vt:lpstr>
      <vt:lpstr>'3394'!_255_ESE_Level_5__Grade_Level_PK_3</vt:lpstr>
      <vt:lpstr>'3395'!_255_ESE_Level_5__Grade_Level_PK_3</vt:lpstr>
      <vt:lpstr>'3396'!_255_ESE_Level_5__Grade_Level_PK_3</vt:lpstr>
      <vt:lpstr>'3398'!_255_ESE_Level_5__Grade_Level_PK_3</vt:lpstr>
      <vt:lpstr>'3400'!_255_ESE_Level_5__Grade_Level_PK_3</vt:lpstr>
      <vt:lpstr>'3401'!_255_ESE_Level_5__Grade_Level_PK_3</vt:lpstr>
      <vt:lpstr>'3413'!_255_ESE_Level_5__Grade_Level_PK_3</vt:lpstr>
      <vt:lpstr>'3421'!_255_ESE_Level_5__Grade_Level_PK_3</vt:lpstr>
      <vt:lpstr>'3431'!_255_ESE_Level_5__Grade_Level_PK_3</vt:lpstr>
      <vt:lpstr>'3441'!_255_ESE_Level_5__Grade_Level_PK_3</vt:lpstr>
      <vt:lpstr>'3924'!_255_ESE_Level_5__Grade_Level_PK_3</vt:lpstr>
      <vt:lpstr>'3941'!_255_ESE_Level_5__Grade_Level_PK_3</vt:lpstr>
      <vt:lpstr>'3961'!_255_ESE_Level_5__Grade_Level_PK_3</vt:lpstr>
      <vt:lpstr>'3971'!_255_ESE_Level_5__Grade_Level_PK_3</vt:lpstr>
      <vt:lpstr>'4001'!_255_ESE_Level_5__Grade_Level_PK_3</vt:lpstr>
      <vt:lpstr>'4002'!_255_ESE_Level_5__Grade_Level_PK_3</vt:lpstr>
      <vt:lpstr>'4012'!_255_ESE_Level_5__Grade_Level_PK_3</vt:lpstr>
      <vt:lpstr>'4013'!_255_ESE_Level_5__Grade_Level_PK_3</vt:lpstr>
      <vt:lpstr>'4020'!_255_ESE_Level_5__Grade_Level_PK_3</vt:lpstr>
      <vt:lpstr>'4030'!_255_ESE_Level_5__Grade_Level_PK_3</vt:lpstr>
      <vt:lpstr>'4031'!_255_ESE_Level_5__Grade_Level_PK_3</vt:lpstr>
      <vt:lpstr>'4041'!_255_ESE_Level_5__Grade_Level_PK_3</vt:lpstr>
      <vt:lpstr>'4050'!_255_ESE_Level_5__Grade_Level_PK_3</vt:lpstr>
      <vt:lpstr>'4051'!_255_ESE_Level_5__Grade_Level_PK_3</vt:lpstr>
      <vt:lpstr>'4061'!_255_ESE_Level_5__Grade_Level_PK_3</vt:lpstr>
      <vt:lpstr>'4080'!_255_ESE_Level_5__Grade_Level_PK_3</vt:lpstr>
      <vt:lpstr>'4081'!_255_ESE_Level_5__Grade_Level_PK_3</vt:lpstr>
      <vt:lpstr>'4090'!_255_ESE_Level_5__Grade_Level_PK_3</vt:lpstr>
      <vt:lpstr>'4091'!_255_ESE_Level_5__Grade_Level_PK_3</vt:lpstr>
      <vt:lpstr>'4100'!_255_ESE_Level_5__Grade_Level_PK_3</vt:lpstr>
      <vt:lpstr>'4102'!_255_ESE_Level_5__Grade_Level_PK_3</vt:lpstr>
      <vt:lpstr>'4103'!_255_ESE_Level_5__Grade_Level_PK_3</vt:lpstr>
      <vt:lpstr>'4111'!_255_ESE_Level_5__Grade_Level_PK_3</vt:lpstr>
      <vt:lpstr>'4131'!_255_ESE_Level_5__Grade_Level_PK_3</vt:lpstr>
      <vt:lpstr>_255_ESE_Level_5__Grade_Level_PK_3</vt:lpstr>
      <vt:lpstr>'0100'!_300_Career_Education__Grades_9_12</vt:lpstr>
      <vt:lpstr>'0571'!_300_Career_Education__Grades_9_12</vt:lpstr>
      <vt:lpstr>'1461'!_300_Career_Education__Grades_9_12</vt:lpstr>
      <vt:lpstr>'1571'!_300_Career_Education__Grades_9_12</vt:lpstr>
      <vt:lpstr>'2521'!_300_Career_Education__Grades_9_12</vt:lpstr>
      <vt:lpstr>'2531'!_300_Career_Education__Grades_9_12</vt:lpstr>
      <vt:lpstr>'2791'!_300_Career_Education__Grades_9_12</vt:lpstr>
      <vt:lpstr>'2801'!_300_Career_Education__Grades_9_12</vt:lpstr>
      <vt:lpstr>'2911'!_300_Career_Education__Grades_9_12</vt:lpstr>
      <vt:lpstr>'2941'!_300_Career_Education__Grades_9_12</vt:lpstr>
      <vt:lpstr>'3083'!_300_Career_Education__Grades_9_12</vt:lpstr>
      <vt:lpstr>'3345'!_300_Career_Education__Grades_9_12</vt:lpstr>
      <vt:lpstr>'3362'!_300_Career_Education__Grades_9_12</vt:lpstr>
      <vt:lpstr>'3381'!_300_Career_Education__Grades_9_12</vt:lpstr>
      <vt:lpstr>'3382'!_300_Career_Education__Grades_9_12</vt:lpstr>
      <vt:lpstr>'3391'!_300_Career_Education__Grades_9_12</vt:lpstr>
      <vt:lpstr>'3394'!_300_Career_Education__Grades_9_12</vt:lpstr>
      <vt:lpstr>'3395'!_300_Career_Education__Grades_9_12</vt:lpstr>
      <vt:lpstr>'3396'!_300_Career_Education__Grades_9_12</vt:lpstr>
      <vt:lpstr>'3398'!_300_Career_Education__Grades_9_12</vt:lpstr>
      <vt:lpstr>'3400'!_300_Career_Education__Grades_9_12</vt:lpstr>
      <vt:lpstr>'3401'!_300_Career_Education__Grades_9_12</vt:lpstr>
      <vt:lpstr>'3413'!_300_Career_Education__Grades_9_12</vt:lpstr>
      <vt:lpstr>'3421'!_300_Career_Education__Grades_9_12</vt:lpstr>
      <vt:lpstr>'3431'!_300_Career_Education__Grades_9_12</vt:lpstr>
      <vt:lpstr>'3441'!_300_Career_Education__Grades_9_12</vt:lpstr>
      <vt:lpstr>'3924'!_300_Career_Education__Grades_9_12</vt:lpstr>
      <vt:lpstr>'3941'!_300_Career_Education__Grades_9_12</vt:lpstr>
      <vt:lpstr>'3961'!_300_Career_Education__Grades_9_12</vt:lpstr>
      <vt:lpstr>'3971'!_300_Career_Education__Grades_9_12</vt:lpstr>
      <vt:lpstr>'4001'!_300_Career_Education__Grades_9_12</vt:lpstr>
      <vt:lpstr>'4002'!_300_Career_Education__Grades_9_12</vt:lpstr>
      <vt:lpstr>'4012'!_300_Career_Education__Grades_9_12</vt:lpstr>
      <vt:lpstr>'4013'!_300_Career_Education__Grades_9_12</vt:lpstr>
      <vt:lpstr>'4020'!_300_Career_Education__Grades_9_12</vt:lpstr>
      <vt:lpstr>'4030'!_300_Career_Education__Grades_9_12</vt:lpstr>
      <vt:lpstr>'4031'!_300_Career_Education__Grades_9_12</vt:lpstr>
      <vt:lpstr>'4041'!_300_Career_Education__Grades_9_12</vt:lpstr>
      <vt:lpstr>'4050'!_300_Career_Education__Grades_9_12</vt:lpstr>
      <vt:lpstr>'4051'!_300_Career_Education__Grades_9_12</vt:lpstr>
      <vt:lpstr>'4061'!_300_Career_Education__Grades_9_12</vt:lpstr>
      <vt:lpstr>'4080'!_300_Career_Education__Grades_9_12</vt:lpstr>
      <vt:lpstr>'4081'!_300_Career_Education__Grades_9_12</vt:lpstr>
      <vt:lpstr>'4090'!_300_Career_Education__Grades_9_12</vt:lpstr>
      <vt:lpstr>'4091'!_300_Career_Education__Grades_9_12</vt:lpstr>
      <vt:lpstr>'4100'!_300_Career_Education__Grades_9_12</vt:lpstr>
      <vt:lpstr>'4102'!_300_Career_Education__Grades_9_12</vt:lpstr>
      <vt:lpstr>'4103'!_300_Career_Education__Grades_9_12</vt:lpstr>
      <vt:lpstr>'4111'!_300_Career_Education__Grades_9_12</vt:lpstr>
      <vt:lpstr>'4131'!_300_Career_Education__Grades_9_12</vt:lpstr>
      <vt:lpstr>_300_Career_Education__Grades_9_12</vt:lpstr>
      <vt:lpstr>'0100'!_4_8</vt:lpstr>
      <vt:lpstr>'0571'!_4_8</vt:lpstr>
      <vt:lpstr>'1461'!_4_8</vt:lpstr>
      <vt:lpstr>'1571'!_4_8</vt:lpstr>
      <vt:lpstr>'2521'!_4_8</vt:lpstr>
      <vt:lpstr>'2531'!_4_8</vt:lpstr>
      <vt:lpstr>'2791'!_4_8</vt:lpstr>
      <vt:lpstr>'2801'!_4_8</vt:lpstr>
      <vt:lpstr>'2911'!_4_8</vt:lpstr>
      <vt:lpstr>'2941'!_4_8</vt:lpstr>
      <vt:lpstr>'3083'!_4_8</vt:lpstr>
      <vt:lpstr>'3345'!_4_8</vt:lpstr>
      <vt:lpstr>'3362'!_4_8</vt:lpstr>
      <vt:lpstr>'3381'!_4_8</vt:lpstr>
      <vt:lpstr>'3382'!_4_8</vt:lpstr>
      <vt:lpstr>'3391'!_4_8</vt:lpstr>
      <vt:lpstr>'3394'!_4_8</vt:lpstr>
      <vt:lpstr>'3395'!_4_8</vt:lpstr>
      <vt:lpstr>'3396'!_4_8</vt:lpstr>
      <vt:lpstr>'3398'!_4_8</vt:lpstr>
      <vt:lpstr>'3400'!_4_8</vt:lpstr>
      <vt:lpstr>'3401'!_4_8</vt:lpstr>
      <vt:lpstr>'3413'!_4_8</vt:lpstr>
      <vt:lpstr>'3421'!_4_8</vt:lpstr>
      <vt:lpstr>'3431'!_4_8</vt:lpstr>
      <vt:lpstr>'3441'!_4_8</vt:lpstr>
      <vt:lpstr>'3924'!_4_8</vt:lpstr>
      <vt:lpstr>'3941'!_4_8</vt:lpstr>
      <vt:lpstr>'3961'!_4_8</vt:lpstr>
      <vt:lpstr>'3971'!_4_8</vt:lpstr>
      <vt:lpstr>'4001'!_4_8</vt:lpstr>
      <vt:lpstr>'4002'!_4_8</vt:lpstr>
      <vt:lpstr>'4012'!_4_8</vt:lpstr>
      <vt:lpstr>'4013'!_4_8</vt:lpstr>
      <vt:lpstr>'4020'!_4_8</vt:lpstr>
      <vt:lpstr>'4030'!_4_8</vt:lpstr>
      <vt:lpstr>'4031'!_4_8</vt:lpstr>
      <vt:lpstr>'4041'!_4_8</vt:lpstr>
      <vt:lpstr>'4050'!_4_8</vt:lpstr>
      <vt:lpstr>'4051'!_4_8</vt:lpstr>
      <vt:lpstr>'4061'!_4_8</vt:lpstr>
      <vt:lpstr>'4080'!_4_8</vt:lpstr>
      <vt:lpstr>'4081'!_4_8</vt:lpstr>
      <vt:lpstr>'4090'!_4_8</vt:lpstr>
      <vt:lpstr>'4091'!_4_8</vt:lpstr>
      <vt:lpstr>'4100'!_4_8</vt:lpstr>
      <vt:lpstr>'4102'!_4_8</vt:lpstr>
      <vt:lpstr>'4103'!_4_8</vt:lpstr>
      <vt:lpstr>'4111'!_4_8</vt:lpstr>
      <vt:lpstr>'4131'!_4_8</vt:lpstr>
      <vt:lpstr>_4_8</vt:lpstr>
      <vt:lpstr>'0100'!_9_12</vt:lpstr>
      <vt:lpstr>'0571'!_9_12</vt:lpstr>
      <vt:lpstr>'1461'!_9_12</vt:lpstr>
      <vt:lpstr>'1571'!_9_12</vt:lpstr>
      <vt:lpstr>'2521'!_9_12</vt:lpstr>
      <vt:lpstr>'2531'!_9_12</vt:lpstr>
      <vt:lpstr>'2791'!_9_12</vt:lpstr>
      <vt:lpstr>'2801'!_9_12</vt:lpstr>
      <vt:lpstr>'2911'!_9_12</vt:lpstr>
      <vt:lpstr>'2941'!_9_12</vt:lpstr>
      <vt:lpstr>'3083'!_9_12</vt:lpstr>
      <vt:lpstr>'3345'!_9_12</vt:lpstr>
      <vt:lpstr>'3362'!_9_12</vt:lpstr>
      <vt:lpstr>'3381'!_9_12</vt:lpstr>
      <vt:lpstr>'3382'!_9_12</vt:lpstr>
      <vt:lpstr>'3391'!_9_12</vt:lpstr>
      <vt:lpstr>'3394'!_9_12</vt:lpstr>
      <vt:lpstr>'3395'!_9_12</vt:lpstr>
      <vt:lpstr>'3396'!_9_12</vt:lpstr>
      <vt:lpstr>'3398'!_9_12</vt:lpstr>
      <vt:lpstr>'3400'!_9_12</vt:lpstr>
      <vt:lpstr>'3401'!_9_12</vt:lpstr>
      <vt:lpstr>'3413'!_9_12</vt:lpstr>
      <vt:lpstr>'3421'!_9_12</vt:lpstr>
      <vt:lpstr>'3431'!_9_12</vt:lpstr>
      <vt:lpstr>'3441'!_9_12</vt:lpstr>
      <vt:lpstr>'3924'!_9_12</vt:lpstr>
      <vt:lpstr>'3941'!_9_12</vt:lpstr>
      <vt:lpstr>'3961'!_9_12</vt:lpstr>
      <vt:lpstr>'3971'!_9_12</vt:lpstr>
      <vt:lpstr>'4001'!_9_12</vt:lpstr>
      <vt:lpstr>'4002'!_9_12</vt:lpstr>
      <vt:lpstr>'4012'!_9_12</vt:lpstr>
      <vt:lpstr>'4013'!_9_12</vt:lpstr>
      <vt:lpstr>'4020'!_9_12</vt:lpstr>
      <vt:lpstr>'4030'!_9_12</vt:lpstr>
      <vt:lpstr>'4031'!_9_12</vt:lpstr>
      <vt:lpstr>'4041'!_9_12</vt:lpstr>
      <vt:lpstr>'4050'!_9_12</vt:lpstr>
      <vt:lpstr>'4051'!_9_12</vt:lpstr>
      <vt:lpstr>'4061'!_9_12</vt:lpstr>
      <vt:lpstr>'4080'!_9_12</vt:lpstr>
      <vt:lpstr>'4081'!_9_12</vt:lpstr>
      <vt:lpstr>'4090'!_9_12</vt:lpstr>
      <vt:lpstr>'4091'!_9_12</vt:lpstr>
      <vt:lpstr>'4100'!_9_12</vt:lpstr>
      <vt:lpstr>'4102'!_9_12</vt:lpstr>
      <vt:lpstr>'4103'!_9_12</vt:lpstr>
      <vt:lpstr>'4111'!_9_12</vt:lpstr>
      <vt:lpstr>'4131'!_9_12</vt:lpstr>
      <vt:lpstr>_9_12</vt:lpstr>
      <vt:lpstr>'0100'!Allocation_factors</vt:lpstr>
      <vt:lpstr>'0571'!Allocation_factors</vt:lpstr>
      <vt:lpstr>'1461'!Allocation_factors</vt:lpstr>
      <vt:lpstr>'1571'!Allocation_factors</vt:lpstr>
      <vt:lpstr>'2521'!Allocation_factors</vt:lpstr>
      <vt:lpstr>'2531'!Allocation_factors</vt:lpstr>
      <vt:lpstr>'2791'!Allocation_factors</vt:lpstr>
      <vt:lpstr>'2801'!Allocation_factors</vt:lpstr>
      <vt:lpstr>'2911'!Allocation_factors</vt:lpstr>
      <vt:lpstr>'2941'!Allocation_factors</vt:lpstr>
      <vt:lpstr>'3083'!Allocation_factors</vt:lpstr>
      <vt:lpstr>'3345'!Allocation_factors</vt:lpstr>
      <vt:lpstr>'3362'!Allocation_factors</vt:lpstr>
      <vt:lpstr>'3381'!Allocation_factors</vt:lpstr>
      <vt:lpstr>'3382'!Allocation_factors</vt:lpstr>
      <vt:lpstr>'3391'!Allocation_factors</vt:lpstr>
      <vt:lpstr>'3394'!Allocation_factors</vt:lpstr>
      <vt:lpstr>'3395'!Allocation_factors</vt:lpstr>
      <vt:lpstr>'3396'!Allocation_factors</vt:lpstr>
      <vt:lpstr>'3398'!Allocation_factors</vt:lpstr>
      <vt:lpstr>'3400'!Allocation_factors</vt:lpstr>
      <vt:lpstr>'3401'!Allocation_factors</vt:lpstr>
      <vt:lpstr>'3413'!Allocation_factors</vt:lpstr>
      <vt:lpstr>'3421'!Allocation_factors</vt:lpstr>
      <vt:lpstr>'3431'!Allocation_factors</vt:lpstr>
      <vt:lpstr>'3441'!Allocation_factors</vt:lpstr>
      <vt:lpstr>'3924'!Allocation_factors</vt:lpstr>
      <vt:lpstr>'3941'!Allocation_factors</vt:lpstr>
      <vt:lpstr>'3961'!Allocation_factors</vt:lpstr>
      <vt:lpstr>'3971'!Allocation_factors</vt:lpstr>
      <vt:lpstr>'4001'!Allocation_factors</vt:lpstr>
      <vt:lpstr>'4002'!Allocation_factors</vt:lpstr>
      <vt:lpstr>'4012'!Allocation_factors</vt:lpstr>
      <vt:lpstr>'4013'!Allocation_factors</vt:lpstr>
      <vt:lpstr>'4020'!Allocation_factors</vt:lpstr>
      <vt:lpstr>'4030'!Allocation_factors</vt:lpstr>
      <vt:lpstr>'4031'!Allocation_factors</vt:lpstr>
      <vt:lpstr>'4041'!Allocation_factors</vt:lpstr>
      <vt:lpstr>'4050'!Allocation_factors</vt:lpstr>
      <vt:lpstr>'4051'!Allocation_factors</vt:lpstr>
      <vt:lpstr>'4061'!Allocation_factors</vt:lpstr>
      <vt:lpstr>'4080'!Allocation_factors</vt:lpstr>
      <vt:lpstr>'4081'!Allocation_factors</vt:lpstr>
      <vt:lpstr>'4090'!Allocation_factors</vt:lpstr>
      <vt:lpstr>'4091'!Allocation_factors</vt:lpstr>
      <vt:lpstr>'4100'!Allocation_factors</vt:lpstr>
      <vt:lpstr>'4102'!Allocation_factors</vt:lpstr>
      <vt:lpstr>'4103'!Allocation_factors</vt:lpstr>
      <vt:lpstr>'4111'!Allocation_factors</vt:lpstr>
      <vt:lpstr>'4131'!Allocation_factors</vt:lpstr>
      <vt:lpstr>Allocation_factors</vt:lpstr>
      <vt:lpstr>'0100'!Base_Student_Allocation</vt:lpstr>
      <vt:lpstr>'0571'!Base_Student_Allocation</vt:lpstr>
      <vt:lpstr>'1461'!Base_Student_Allocation</vt:lpstr>
      <vt:lpstr>'1571'!Base_Student_Allocation</vt:lpstr>
      <vt:lpstr>'2521'!Base_Student_Allocation</vt:lpstr>
      <vt:lpstr>'2531'!Base_Student_Allocation</vt:lpstr>
      <vt:lpstr>'2791'!Base_Student_Allocation</vt:lpstr>
      <vt:lpstr>'2801'!Base_Student_Allocation</vt:lpstr>
      <vt:lpstr>'2911'!Base_Student_Allocation</vt:lpstr>
      <vt:lpstr>'2941'!Base_Student_Allocation</vt:lpstr>
      <vt:lpstr>'3083'!Base_Student_Allocation</vt:lpstr>
      <vt:lpstr>'3345'!Base_Student_Allocation</vt:lpstr>
      <vt:lpstr>'3362'!Base_Student_Allocation</vt:lpstr>
      <vt:lpstr>'3381'!Base_Student_Allocation</vt:lpstr>
      <vt:lpstr>'3382'!Base_Student_Allocation</vt:lpstr>
      <vt:lpstr>'3391'!Base_Student_Allocation</vt:lpstr>
      <vt:lpstr>'3394'!Base_Student_Allocation</vt:lpstr>
      <vt:lpstr>'3395'!Base_Student_Allocation</vt:lpstr>
      <vt:lpstr>'3396'!Base_Student_Allocation</vt:lpstr>
      <vt:lpstr>'3398'!Base_Student_Allocation</vt:lpstr>
      <vt:lpstr>'3400'!Base_Student_Allocation</vt:lpstr>
      <vt:lpstr>'3401'!Base_Student_Allocation</vt:lpstr>
      <vt:lpstr>'3413'!Base_Student_Allocation</vt:lpstr>
      <vt:lpstr>'3421'!Base_Student_Allocation</vt:lpstr>
      <vt:lpstr>'3431'!Base_Student_Allocation</vt:lpstr>
      <vt:lpstr>'3441'!Base_Student_Allocation</vt:lpstr>
      <vt:lpstr>'3924'!Base_Student_Allocation</vt:lpstr>
      <vt:lpstr>'3941'!Base_Student_Allocation</vt:lpstr>
      <vt:lpstr>'3961'!Base_Student_Allocation</vt:lpstr>
      <vt:lpstr>'3971'!Base_Student_Allocation</vt:lpstr>
      <vt:lpstr>'4001'!Base_Student_Allocation</vt:lpstr>
      <vt:lpstr>'4002'!Base_Student_Allocation</vt:lpstr>
      <vt:lpstr>'4012'!Base_Student_Allocation</vt:lpstr>
      <vt:lpstr>'4013'!Base_Student_Allocation</vt:lpstr>
      <vt:lpstr>'4020'!Base_Student_Allocation</vt:lpstr>
      <vt:lpstr>'4030'!Base_Student_Allocation</vt:lpstr>
      <vt:lpstr>'4031'!Base_Student_Allocation</vt:lpstr>
      <vt:lpstr>'4041'!Base_Student_Allocation</vt:lpstr>
      <vt:lpstr>'4050'!Base_Student_Allocation</vt:lpstr>
      <vt:lpstr>'4051'!Base_Student_Allocation</vt:lpstr>
      <vt:lpstr>'4061'!Base_Student_Allocation</vt:lpstr>
      <vt:lpstr>'4080'!Base_Student_Allocation</vt:lpstr>
      <vt:lpstr>'4081'!Base_Student_Allocation</vt:lpstr>
      <vt:lpstr>'4090'!Base_Student_Allocation</vt:lpstr>
      <vt:lpstr>'4091'!Base_Student_Allocation</vt:lpstr>
      <vt:lpstr>'4100'!Base_Student_Allocation</vt:lpstr>
      <vt:lpstr>'4102'!Base_Student_Allocation</vt:lpstr>
      <vt:lpstr>'4103'!Base_Student_Allocation</vt:lpstr>
      <vt:lpstr>'4111'!Base_Student_Allocation</vt:lpstr>
      <vt:lpstr>'4131'!Base_Student_Allocation</vt:lpstr>
      <vt:lpstr>Base_Student_Allocation</vt:lpstr>
      <vt:lpstr>'0100'!Based_on_the_Second_Calculation_of_the_FEFP_2010_11</vt:lpstr>
      <vt:lpstr>'0571'!Based_on_the_Second_Calculation_of_the_FEFP_2010_11</vt:lpstr>
      <vt:lpstr>'1461'!Based_on_the_Second_Calculation_of_the_FEFP_2010_11</vt:lpstr>
      <vt:lpstr>'1571'!Based_on_the_Second_Calculation_of_the_FEFP_2010_11</vt:lpstr>
      <vt:lpstr>'2521'!Based_on_the_Second_Calculation_of_the_FEFP_2010_11</vt:lpstr>
      <vt:lpstr>'2531'!Based_on_the_Second_Calculation_of_the_FEFP_2010_11</vt:lpstr>
      <vt:lpstr>'2791'!Based_on_the_Second_Calculation_of_the_FEFP_2010_11</vt:lpstr>
      <vt:lpstr>'2801'!Based_on_the_Second_Calculation_of_the_FEFP_2010_11</vt:lpstr>
      <vt:lpstr>'2911'!Based_on_the_Second_Calculation_of_the_FEFP_2010_11</vt:lpstr>
      <vt:lpstr>'2941'!Based_on_the_Second_Calculation_of_the_FEFP_2010_11</vt:lpstr>
      <vt:lpstr>'3083'!Based_on_the_Second_Calculation_of_the_FEFP_2010_11</vt:lpstr>
      <vt:lpstr>'3345'!Based_on_the_Second_Calculation_of_the_FEFP_2010_11</vt:lpstr>
      <vt:lpstr>'3362'!Based_on_the_Second_Calculation_of_the_FEFP_2010_11</vt:lpstr>
      <vt:lpstr>'3381'!Based_on_the_Second_Calculation_of_the_FEFP_2010_11</vt:lpstr>
      <vt:lpstr>'3382'!Based_on_the_Second_Calculation_of_the_FEFP_2010_11</vt:lpstr>
      <vt:lpstr>'3391'!Based_on_the_Second_Calculation_of_the_FEFP_2010_11</vt:lpstr>
      <vt:lpstr>'3394'!Based_on_the_Second_Calculation_of_the_FEFP_2010_11</vt:lpstr>
      <vt:lpstr>'3395'!Based_on_the_Second_Calculation_of_the_FEFP_2010_11</vt:lpstr>
      <vt:lpstr>'3396'!Based_on_the_Second_Calculation_of_the_FEFP_2010_11</vt:lpstr>
      <vt:lpstr>'3398'!Based_on_the_Second_Calculation_of_the_FEFP_2010_11</vt:lpstr>
      <vt:lpstr>'3400'!Based_on_the_Second_Calculation_of_the_FEFP_2010_11</vt:lpstr>
      <vt:lpstr>'3401'!Based_on_the_Second_Calculation_of_the_FEFP_2010_11</vt:lpstr>
      <vt:lpstr>'3413'!Based_on_the_Second_Calculation_of_the_FEFP_2010_11</vt:lpstr>
      <vt:lpstr>'3421'!Based_on_the_Second_Calculation_of_the_FEFP_2010_11</vt:lpstr>
      <vt:lpstr>'3431'!Based_on_the_Second_Calculation_of_the_FEFP_2010_11</vt:lpstr>
      <vt:lpstr>'3441'!Based_on_the_Second_Calculation_of_the_FEFP_2010_11</vt:lpstr>
      <vt:lpstr>'3924'!Based_on_the_Second_Calculation_of_the_FEFP_2010_11</vt:lpstr>
      <vt:lpstr>'3941'!Based_on_the_Second_Calculation_of_the_FEFP_2010_11</vt:lpstr>
      <vt:lpstr>'3961'!Based_on_the_Second_Calculation_of_the_FEFP_2010_11</vt:lpstr>
      <vt:lpstr>'3971'!Based_on_the_Second_Calculation_of_the_FEFP_2010_11</vt:lpstr>
      <vt:lpstr>'4001'!Based_on_the_Second_Calculation_of_the_FEFP_2010_11</vt:lpstr>
      <vt:lpstr>'4002'!Based_on_the_Second_Calculation_of_the_FEFP_2010_11</vt:lpstr>
      <vt:lpstr>'4012'!Based_on_the_Second_Calculation_of_the_FEFP_2010_11</vt:lpstr>
      <vt:lpstr>'4013'!Based_on_the_Second_Calculation_of_the_FEFP_2010_11</vt:lpstr>
      <vt:lpstr>'4020'!Based_on_the_Second_Calculation_of_the_FEFP_2010_11</vt:lpstr>
      <vt:lpstr>'4030'!Based_on_the_Second_Calculation_of_the_FEFP_2010_11</vt:lpstr>
      <vt:lpstr>'4031'!Based_on_the_Second_Calculation_of_the_FEFP_2010_11</vt:lpstr>
      <vt:lpstr>'4041'!Based_on_the_Second_Calculation_of_the_FEFP_2010_11</vt:lpstr>
      <vt:lpstr>'4050'!Based_on_the_Second_Calculation_of_the_FEFP_2010_11</vt:lpstr>
      <vt:lpstr>'4051'!Based_on_the_Second_Calculation_of_the_FEFP_2010_11</vt:lpstr>
      <vt:lpstr>'4061'!Based_on_the_Second_Calculation_of_the_FEFP_2010_11</vt:lpstr>
      <vt:lpstr>'4080'!Based_on_the_Second_Calculation_of_the_FEFP_2010_11</vt:lpstr>
      <vt:lpstr>'4081'!Based_on_the_Second_Calculation_of_the_FEFP_2010_11</vt:lpstr>
      <vt:lpstr>'4090'!Based_on_the_Second_Calculation_of_the_FEFP_2010_11</vt:lpstr>
      <vt:lpstr>'4091'!Based_on_the_Second_Calculation_of_the_FEFP_2010_11</vt:lpstr>
      <vt:lpstr>'4100'!Based_on_the_Second_Calculation_of_the_FEFP_2010_11</vt:lpstr>
      <vt:lpstr>'4102'!Based_on_the_Second_Calculation_of_the_FEFP_2010_11</vt:lpstr>
      <vt:lpstr>'4103'!Based_on_the_Second_Calculation_of_the_FEFP_2010_11</vt:lpstr>
      <vt:lpstr>'4111'!Based_on_the_Second_Calculation_of_the_FEFP_2010_11</vt:lpstr>
      <vt:lpstr>'4131'!Based_on_the_Second_Calculation_of_the_FEFP_2010_11</vt:lpstr>
      <vt:lpstr>Based_on_the_Second_Calculation_of_the_FEFP_2010_11</vt:lpstr>
      <vt:lpstr>'0100'!DCD</vt:lpstr>
      <vt:lpstr>'0571'!DCD</vt:lpstr>
      <vt:lpstr>'1461'!DCD</vt:lpstr>
      <vt:lpstr>'1571'!DCD</vt:lpstr>
      <vt:lpstr>'2521'!DCD</vt:lpstr>
      <vt:lpstr>'2531'!DCD</vt:lpstr>
      <vt:lpstr>'2791'!DCD</vt:lpstr>
      <vt:lpstr>'2801'!DCD</vt:lpstr>
      <vt:lpstr>'2911'!DCD</vt:lpstr>
      <vt:lpstr>'2941'!DCD</vt:lpstr>
      <vt:lpstr>'3083'!DCD</vt:lpstr>
      <vt:lpstr>'3345'!DCD</vt:lpstr>
      <vt:lpstr>'3362'!DCD</vt:lpstr>
      <vt:lpstr>'3381'!DCD</vt:lpstr>
      <vt:lpstr>'3382'!DCD</vt:lpstr>
      <vt:lpstr>'3391'!DCD</vt:lpstr>
      <vt:lpstr>'3394'!DCD</vt:lpstr>
      <vt:lpstr>'3395'!DCD</vt:lpstr>
      <vt:lpstr>'3396'!DCD</vt:lpstr>
      <vt:lpstr>'3398'!DCD</vt:lpstr>
      <vt:lpstr>'3400'!DCD</vt:lpstr>
      <vt:lpstr>'3401'!DCD</vt:lpstr>
      <vt:lpstr>'3413'!DCD</vt:lpstr>
      <vt:lpstr>'3421'!DCD</vt:lpstr>
      <vt:lpstr>'3431'!DCD</vt:lpstr>
      <vt:lpstr>'3441'!DCD</vt:lpstr>
      <vt:lpstr>'3924'!DCD</vt:lpstr>
      <vt:lpstr>'3941'!DCD</vt:lpstr>
      <vt:lpstr>'3961'!DCD</vt:lpstr>
      <vt:lpstr>'3971'!DCD</vt:lpstr>
      <vt:lpstr>'4001'!DCD</vt:lpstr>
      <vt:lpstr>'4002'!DCD</vt:lpstr>
      <vt:lpstr>'4012'!DCD</vt:lpstr>
      <vt:lpstr>'4013'!DCD</vt:lpstr>
      <vt:lpstr>'4020'!DCD</vt:lpstr>
      <vt:lpstr>'4030'!DCD</vt:lpstr>
      <vt:lpstr>'4031'!DCD</vt:lpstr>
      <vt:lpstr>'4041'!DCD</vt:lpstr>
      <vt:lpstr>'4050'!DCD</vt:lpstr>
      <vt:lpstr>'4051'!DCD</vt:lpstr>
      <vt:lpstr>'4061'!DCD</vt:lpstr>
      <vt:lpstr>'4080'!DCD</vt:lpstr>
      <vt:lpstr>'4081'!DCD</vt:lpstr>
      <vt:lpstr>'4090'!DCD</vt:lpstr>
      <vt:lpstr>'4091'!DCD</vt:lpstr>
      <vt:lpstr>'4100'!DCD</vt:lpstr>
      <vt:lpstr>'4102'!DCD</vt:lpstr>
      <vt:lpstr>'4103'!DCD</vt:lpstr>
      <vt:lpstr>'4111'!DCD</vt:lpstr>
      <vt:lpstr>'4131'!DCD</vt:lpstr>
      <vt:lpstr>DCD</vt:lpstr>
      <vt:lpstr>'0100'!District_Cost_Differential</vt:lpstr>
      <vt:lpstr>'0571'!District_Cost_Differential</vt:lpstr>
      <vt:lpstr>'1461'!District_Cost_Differential</vt:lpstr>
      <vt:lpstr>'1571'!District_Cost_Differential</vt:lpstr>
      <vt:lpstr>'2521'!District_Cost_Differential</vt:lpstr>
      <vt:lpstr>'2531'!District_Cost_Differential</vt:lpstr>
      <vt:lpstr>'2791'!District_Cost_Differential</vt:lpstr>
      <vt:lpstr>'2801'!District_Cost_Differential</vt:lpstr>
      <vt:lpstr>'2911'!District_Cost_Differential</vt:lpstr>
      <vt:lpstr>'2941'!District_Cost_Differential</vt:lpstr>
      <vt:lpstr>'3083'!District_Cost_Differential</vt:lpstr>
      <vt:lpstr>'3345'!District_Cost_Differential</vt:lpstr>
      <vt:lpstr>'3362'!District_Cost_Differential</vt:lpstr>
      <vt:lpstr>'3381'!District_Cost_Differential</vt:lpstr>
      <vt:lpstr>'3382'!District_Cost_Differential</vt:lpstr>
      <vt:lpstr>'3391'!District_Cost_Differential</vt:lpstr>
      <vt:lpstr>'3394'!District_Cost_Differential</vt:lpstr>
      <vt:lpstr>'3395'!District_Cost_Differential</vt:lpstr>
      <vt:lpstr>'3396'!District_Cost_Differential</vt:lpstr>
      <vt:lpstr>'3398'!District_Cost_Differential</vt:lpstr>
      <vt:lpstr>'3400'!District_Cost_Differential</vt:lpstr>
      <vt:lpstr>'3401'!District_Cost_Differential</vt:lpstr>
      <vt:lpstr>'3413'!District_Cost_Differential</vt:lpstr>
      <vt:lpstr>'3421'!District_Cost_Differential</vt:lpstr>
      <vt:lpstr>'3431'!District_Cost_Differential</vt:lpstr>
      <vt:lpstr>'3441'!District_Cost_Differential</vt:lpstr>
      <vt:lpstr>'3924'!District_Cost_Differential</vt:lpstr>
      <vt:lpstr>'3941'!District_Cost_Differential</vt:lpstr>
      <vt:lpstr>'3961'!District_Cost_Differential</vt:lpstr>
      <vt:lpstr>'3971'!District_Cost_Differential</vt:lpstr>
      <vt:lpstr>'4001'!District_Cost_Differential</vt:lpstr>
      <vt:lpstr>'4002'!District_Cost_Differential</vt:lpstr>
      <vt:lpstr>'4012'!District_Cost_Differential</vt:lpstr>
      <vt:lpstr>'4013'!District_Cost_Differential</vt:lpstr>
      <vt:lpstr>'4020'!District_Cost_Differential</vt:lpstr>
      <vt:lpstr>'4030'!District_Cost_Differential</vt:lpstr>
      <vt:lpstr>'4031'!District_Cost_Differential</vt:lpstr>
      <vt:lpstr>'4041'!District_Cost_Differential</vt:lpstr>
      <vt:lpstr>'4050'!District_Cost_Differential</vt:lpstr>
      <vt:lpstr>'4051'!District_Cost_Differential</vt:lpstr>
      <vt:lpstr>'4061'!District_Cost_Differential</vt:lpstr>
      <vt:lpstr>'4080'!District_Cost_Differential</vt:lpstr>
      <vt:lpstr>'4081'!District_Cost_Differential</vt:lpstr>
      <vt:lpstr>'4090'!District_Cost_Differential</vt:lpstr>
      <vt:lpstr>'4091'!District_Cost_Differential</vt:lpstr>
      <vt:lpstr>'4100'!District_Cost_Differential</vt:lpstr>
      <vt:lpstr>'4102'!District_Cost_Differential</vt:lpstr>
      <vt:lpstr>'4103'!District_Cost_Differential</vt:lpstr>
      <vt:lpstr>'4111'!District_Cost_Differential</vt:lpstr>
      <vt:lpstr>'4131'!District_Cost_Differential</vt:lpstr>
      <vt:lpstr>District_Cost_Differential</vt:lpstr>
      <vt:lpstr>'0100'!Number_of_FTE</vt:lpstr>
      <vt:lpstr>'0571'!Number_of_FTE</vt:lpstr>
      <vt:lpstr>'1461'!Number_of_FTE</vt:lpstr>
      <vt:lpstr>'1571'!Number_of_FTE</vt:lpstr>
      <vt:lpstr>'2521'!Number_of_FTE</vt:lpstr>
      <vt:lpstr>'2531'!Number_of_FTE</vt:lpstr>
      <vt:lpstr>'2791'!Number_of_FTE</vt:lpstr>
      <vt:lpstr>'2801'!Number_of_FTE</vt:lpstr>
      <vt:lpstr>'2911'!Number_of_FTE</vt:lpstr>
      <vt:lpstr>'2941'!Number_of_FTE</vt:lpstr>
      <vt:lpstr>'3083'!Number_of_FTE</vt:lpstr>
      <vt:lpstr>'3345'!Number_of_FTE</vt:lpstr>
      <vt:lpstr>'3362'!Number_of_FTE</vt:lpstr>
      <vt:lpstr>'3381'!Number_of_FTE</vt:lpstr>
      <vt:lpstr>'3382'!Number_of_FTE</vt:lpstr>
      <vt:lpstr>'3391'!Number_of_FTE</vt:lpstr>
      <vt:lpstr>'3394'!Number_of_FTE</vt:lpstr>
      <vt:lpstr>'3395'!Number_of_FTE</vt:lpstr>
      <vt:lpstr>'3396'!Number_of_FTE</vt:lpstr>
      <vt:lpstr>'3398'!Number_of_FTE</vt:lpstr>
      <vt:lpstr>'3400'!Number_of_FTE</vt:lpstr>
      <vt:lpstr>'3401'!Number_of_FTE</vt:lpstr>
      <vt:lpstr>'3413'!Number_of_FTE</vt:lpstr>
      <vt:lpstr>'3421'!Number_of_FTE</vt:lpstr>
      <vt:lpstr>'3431'!Number_of_FTE</vt:lpstr>
      <vt:lpstr>'3441'!Number_of_FTE</vt:lpstr>
      <vt:lpstr>'3924'!Number_of_FTE</vt:lpstr>
      <vt:lpstr>'3941'!Number_of_FTE</vt:lpstr>
      <vt:lpstr>'3961'!Number_of_FTE</vt:lpstr>
      <vt:lpstr>'3971'!Number_of_FTE</vt:lpstr>
      <vt:lpstr>'4001'!Number_of_FTE</vt:lpstr>
      <vt:lpstr>'4002'!Number_of_FTE</vt:lpstr>
      <vt:lpstr>'4012'!Number_of_FTE</vt:lpstr>
      <vt:lpstr>'4013'!Number_of_FTE</vt:lpstr>
      <vt:lpstr>'4020'!Number_of_FTE</vt:lpstr>
      <vt:lpstr>'4030'!Number_of_FTE</vt:lpstr>
      <vt:lpstr>'4031'!Number_of_FTE</vt:lpstr>
      <vt:lpstr>'4041'!Number_of_FTE</vt:lpstr>
      <vt:lpstr>'4050'!Number_of_FTE</vt:lpstr>
      <vt:lpstr>'4051'!Number_of_FTE</vt:lpstr>
      <vt:lpstr>'4061'!Number_of_FTE</vt:lpstr>
      <vt:lpstr>'4080'!Number_of_FTE</vt:lpstr>
      <vt:lpstr>'4081'!Number_of_FTE</vt:lpstr>
      <vt:lpstr>'4090'!Number_of_FTE</vt:lpstr>
      <vt:lpstr>'4091'!Number_of_FTE</vt:lpstr>
      <vt:lpstr>'4100'!Number_of_FTE</vt:lpstr>
      <vt:lpstr>'4102'!Number_of_FTE</vt:lpstr>
      <vt:lpstr>'4103'!Number_of_FTE</vt:lpstr>
      <vt:lpstr>'4111'!Number_of_FTE</vt:lpstr>
      <vt:lpstr>'4131'!Number_of_FTE</vt:lpstr>
      <vt:lpstr>Number_of_FTE</vt:lpstr>
      <vt:lpstr>'0100'!PK___3</vt:lpstr>
      <vt:lpstr>'0571'!PK___3</vt:lpstr>
      <vt:lpstr>'1461'!PK___3</vt:lpstr>
      <vt:lpstr>'1571'!PK___3</vt:lpstr>
      <vt:lpstr>'2521'!PK___3</vt:lpstr>
      <vt:lpstr>'2531'!PK___3</vt:lpstr>
      <vt:lpstr>'2791'!PK___3</vt:lpstr>
      <vt:lpstr>'2801'!PK___3</vt:lpstr>
      <vt:lpstr>'2911'!PK___3</vt:lpstr>
      <vt:lpstr>'2941'!PK___3</vt:lpstr>
      <vt:lpstr>'3083'!PK___3</vt:lpstr>
      <vt:lpstr>'3345'!PK___3</vt:lpstr>
      <vt:lpstr>'3362'!PK___3</vt:lpstr>
      <vt:lpstr>'3381'!PK___3</vt:lpstr>
      <vt:lpstr>'3382'!PK___3</vt:lpstr>
      <vt:lpstr>'3391'!PK___3</vt:lpstr>
      <vt:lpstr>'3394'!PK___3</vt:lpstr>
      <vt:lpstr>'3395'!PK___3</vt:lpstr>
      <vt:lpstr>'3396'!PK___3</vt:lpstr>
      <vt:lpstr>'3398'!PK___3</vt:lpstr>
      <vt:lpstr>'3400'!PK___3</vt:lpstr>
      <vt:lpstr>'3401'!PK___3</vt:lpstr>
      <vt:lpstr>'3413'!PK___3</vt:lpstr>
      <vt:lpstr>'3421'!PK___3</vt:lpstr>
      <vt:lpstr>'3431'!PK___3</vt:lpstr>
      <vt:lpstr>'3441'!PK___3</vt:lpstr>
      <vt:lpstr>'3924'!PK___3</vt:lpstr>
      <vt:lpstr>'3941'!PK___3</vt:lpstr>
      <vt:lpstr>'3961'!PK___3</vt:lpstr>
      <vt:lpstr>'3971'!PK___3</vt:lpstr>
      <vt:lpstr>'4001'!PK___3</vt:lpstr>
      <vt:lpstr>'4002'!PK___3</vt:lpstr>
      <vt:lpstr>'4012'!PK___3</vt:lpstr>
      <vt:lpstr>'4013'!PK___3</vt:lpstr>
      <vt:lpstr>'4020'!PK___3</vt:lpstr>
      <vt:lpstr>'4030'!PK___3</vt:lpstr>
      <vt:lpstr>'4031'!PK___3</vt:lpstr>
      <vt:lpstr>'4041'!PK___3</vt:lpstr>
      <vt:lpstr>'4050'!PK___3</vt:lpstr>
      <vt:lpstr>'4051'!PK___3</vt:lpstr>
      <vt:lpstr>'4061'!PK___3</vt:lpstr>
      <vt:lpstr>'4080'!PK___3</vt:lpstr>
      <vt:lpstr>'4081'!PK___3</vt:lpstr>
      <vt:lpstr>'4090'!PK___3</vt:lpstr>
      <vt:lpstr>'4091'!PK___3</vt:lpstr>
      <vt:lpstr>'4100'!PK___3</vt:lpstr>
      <vt:lpstr>'4102'!PK___3</vt:lpstr>
      <vt:lpstr>'4103'!PK___3</vt:lpstr>
      <vt:lpstr>'4111'!PK___3</vt:lpstr>
      <vt:lpstr>'4131'!PK___3</vt:lpstr>
      <vt:lpstr>PK___3</vt:lpstr>
      <vt:lpstr>'0040'!Print_Area</vt:lpstr>
      <vt:lpstr>'0100'!Print_Area</vt:lpstr>
      <vt:lpstr>'0571'!Print_Area</vt:lpstr>
      <vt:lpstr>'1461'!Print_Area</vt:lpstr>
      <vt:lpstr>'1571'!Print_Area</vt:lpstr>
      <vt:lpstr>'2521'!Print_Area</vt:lpstr>
      <vt:lpstr>'2531'!Print_Area</vt:lpstr>
      <vt:lpstr>'2791'!Print_Area</vt:lpstr>
      <vt:lpstr>'2801'!Print_Area</vt:lpstr>
      <vt:lpstr>'2911'!Print_Area</vt:lpstr>
      <vt:lpstr>'2941'!Print_Area</vt:lpstr>
      <vt:lpstr>'3083'!Print_Area</vt:lpstr>
      <vt:lpstr>'3345'!Print_Area</vt:lpstr>
      <vt:lpstr>'3362'!Print_Area</vt:lpstr>
      <vt:lpstr>'3381'!Print_Area</vt:lpstr>
      <vt:lpstr>'3382'!Print_Area</vt:lpstr>
      <vt:lpstr>'3391'!Print_Area</vt:lpstr>
      <vt:lpstr>'3394'!Print_Area</vt:lpstr>
      <vt:lpstr>'3395'!Print_Area</vt:lpstr>
      <vt:lpstr>'3396'!Print_Area</vt:lpstr>
      <vt:lpstr>'3398'!Print_Area</vt:lpstr>
      <vt:lpstr>'3400'!Print_Area</vt:lpstr>
      <vt:lpstr>'3401'!Print_Area</vt:lpstr>
      <vt:lpstr>'3413'!Print_Area</vt:lpstr>
      <vt:lpstr>'3421'!Print_Area</vt:lpstr>
      <vt:lpstr>'3431'!Print_Area</vt:lpstr>
      <vt:lpstr>'3441'!Print_Area</vt:lpstr>
      <vt:lpstr>'3924'!Print_Area</vt:lpstr>
      <vt:lpstr>'3941'!Print_Area</vt:lpstr>
      <vt:lpstr>'3961'!Print_Area</vt:lpstr>
      <vt:lpstr>'3971'!Print_Area</vt:lpstr>
      <vt:lpstr>'4001'!Print_Area</vt:lpstr>
      <vt:lpstr>'4002'!Print_Area</vt:lpstr>
      <vt:lpstr>'4012'!Print_Area</vt:lpstr>
      <vt:lpstr>'4013'!Print_Area</vt:lpstr>
      <vt:lpstr>'4020'!Print_Area</vt:lpstr>
      <vt:lpstr>'4030'!Print_Area</vt:lpstr>
      <vt:lpstr>'4031'!Print_Area</vt:lpstr>
      <vt:lpstr>'4041'!Print_Area</vt:lpstr>
      <vt:lpstr>'4050'!Print_Area</vt:lpstr>
      <vt:lpstr>'4051'!Print_Area</vt:lpstr>
      <vt:lpstr>'4061'!Print_Area</vt:lpstr>
      <vt:lpstr>'4080'!Print_Area</vt:lpstr>
      <vt:lpstr>'4081'!Print_Area</vt:lpstr>
      <vt:lpstr>'4090'!Print_Area</vt:lpstr>
      <vt:lpstr>'4091'!Print_Area</vt:lpstr>
      <vt:lpstr>'4100'!Print_Area</vt:lpstr>
      <vt:lpstr>'4102'!Print_Area</vt:lpstr>
      <vt:lpstr>'4103'!Print_Area</vt:lpstr>
      <vt:lpstr>'4111'!Print_Area</vt:lpstr>
      <vt:lpstr>'4131'!Print_Area</vt:lpstr>
      <vt:lpstr>Consolidated!Print_Area</vt:lpstr>
      <vt:lpstr>'Net Payment'!Print_Area</vt:lpstr>
      <vt:lpstr>'Net Payment'!Print_Titles</vt:lpstr>
      <vt:lpstr>'0100'!Program</vt:lpstr>
      <vt:lpstr>'0571'!Program</vt:lpstr>
      <vt:lpstr>'1461'!Program</vt:lpstr>
      <vt:lpstr>'1571'!Program</vt:lpstr>
      <vt:lpstr>'2521'!Program</vt:lpstr>
      <vt:lpstr>'2531'!Program</vt:lpstr>
      <vt:lpstr>'2791'!Program</vt:lpstr>
      <vt:lpstr>'2801'!Program</vt:lpstr>
      <vt:lpstr>'2911'!Program</vt:lpstr>
      <vt:lpstr>'2941'!Program</vt:lpstr>
      <vt:lpstr>'3083'!Program</vt:lpstr>
      <vt:lpstr>'3345'!Program</vt:lpstr>
      <vt:lpstr>'3362'!Program</vt:lpstr>
      <vt:lpstr>'3381'!Program</vt:lpstr>
      <vt:lpstr>'3382'!Program</vt:lpstr>
      <vt:lpstr>'3391'!Program</vt:lpstr>
      <vt:lpstr>'3394'!Program</vt:lpstr>
      <vt:lpstr>'3395'!Program</vt:lpstr>
      <vt:lpstr>'3396'!Program</vt:lpstr>
      <vt:lpstr>'3398'!Program</vt:lpstr>
      <vt:lpstr>'3400'!Program</vt:lpstr>
      <vt:lpstr>'3401'!Program</vt:lpstr>
      <vt:lpstr>'3413'!Program</vt:lpstr>
      <vt:lpstr>'3421'!Program</vt:lpstr>
      <vt:lpstr>'3431'!Program</vt:lpstr>
      <vt:lpstr>'3441'!Program</vt:lpstr>
      <vt:lpstr>'3924'!Program</vt:lpstr>
      <vt:lpstr>'3941'!Program</vt:lpstr>
      <vt:lpstr>'3961'!Program</vt:lpstr>
      <vt:lpstr>'3971'!Program</vt:lpstr>
      <vt:lpstr>'4001'!Program</vt:lpstr>
      <vt:lpstr>'4002'!Program</vt:lpstr>
      <vt:lpstr>'4012'!Program</vt:lpstr>
      <vt:lpstr>'4013'!Program</vt:lpstr>
      <vt:lpstr>'4020'!Program</vt:lpstr>
      <vt:lpstr>'4030'!Program</vt:lpstr>
      <vt:lpstr>'4031'!Program</vt:lpstr>
      <vt:lpstr>'4041'!Program</vt:lpstr>
      <vt:lpstr>'4050'!Program</vt:lpstr>
      <vt:lpstr>'4051'!Program</vt:lpstr>
      <vt:lpstr>'4061'!Program</vt:lpstr>
      <vt:lpstr>'4080'!Program</vt:lpstr>
      <vt:lpstr>'4081'!Program</vt:lpstr>
      <vt:lpstr>'4090'!Program</vt:lpstr>
      <vt:lpstr>'4091'!Program</vt:lpstr>
      <vt:lpstr>'4100'!Program</vt:lpstr>
      <vt:lpstr>'4102'!Program</vt:lpstr>
      <vt:lpstr>'4103'!Program</vt:lpstr>
      <vt:lpstr>'4111'!Program</vt:lpstr>
      <vt:lpstr>'4131'!Program</vt:lpstr>
      <vt:lpstr>Program</vt:lpstr>
      <vt:lpstr>'0100'!Program______________________________Cost_Factor</vt:lpstr>
      <vt:lpstr>'0571'!Program______________________________Cost_Factor</vt:lpstr>
      <vt:lpstr>'1461'!Program______________________________Cost_Factor</vt:lpstr>
      <vt:lpstr>'1571'!Program______________________________Cost_Factor</vt:lpstr>
      <vt:lpstr>'2521'!Program______________________________Cost_Factor</vt:lpstr>
      <vt:lpstr>'2531'!Program______________________________Cost_Factor</vt:lpstr>
      <vt:lpstr>'2791'!Program______________________________Cost_Factor</vt:lpstr>
      <vt:lpstr>'2801'!Program______________________________Cost_Factor</vt:lpstr>
      <vt:lpstr>'2911'!Program______________________________Cost_Factor</vt:lpstr>
      <vt:lpstr>'2941'!Program______________________________Cost_Factor</vt:lpstr>
      <vt:lpstr>'3083'!Program______________________________Cost_Factor</vt:lpstr>
      <vt:lpstr>'3345'!Program______________________________Cost_Factor</vt:lpstr>
      <vt:lpstr>'3362'!Program______________________________Cost_Factor</vt:lpstr>
      <vt:lpstr>'3381'!Program______________________________Cost_Factor</vt:lpstr>
      <vt:lpstr>'3382'!Program______________________________Cost_Factor</vt:lpstr>
      <vt:lpstr>'3391'!Program______________________________Cost_Factor</vt:lpstr>
      <vt:lpstr>'3394'!Program______________________________Cost_Factor</vt:lpstr>
      <vt:lpstr>'3395'!Program______________________________Cost_Factor</vt:lpstr>
      <vt:lpstr>'3396'!Program______________________________Cost_Factor</vt:lpstr>
      <vt:lpstr>'3398'!Program______________________________Cost_Factor</vt:lpstr>
      <vt:lpstr>'3400'!Program______________________________Cost_Factor</vt:lpstr>
      <vt:lpstr>'3401'!Program______________________________Cost_Factor</vt:lpstr>
      <vt:lpstr>'3413'!Program______________________________Cost_Factor</vt:lpstr>
      <vt:lpstr>'3421'!Program______________________________Cost_Factor</vt:lpstr>
      <vt:lpstr>'3431'!Program______________________________Cost_Factor</vt:lpstr>
      <vt:lpstr>'3441'!Program______________________________Cost_Factor</vt:lpstr>
      <vt:lpstr>'3924'!Program______________________________Cost_Factor</vt:lpstr>
      <vt:lpstr>'3941'!Program______________________________Cost_Factor</vt:lpstr>
      <vt:lpstr>'3961'!Program______________________________Cost_Factor</vt:lpstr>
      <vt:lpstr>'3971'!Program______________________________Cost_Factor</vt:lpstr>
      <vt:lpstr>'4001'!Program______________________________Cost_Factor</vt:lpstr>
      <vt:lpstr>'4002'!Program______________________________Cost_Factor</vt:lpstr>
      <vt:lpstr>'4012'!Program______________________________Cost_Factor</vt:lpstr>
      <vt:lpstr>'4013'!Program______________________________Cost_Factor</vt:lpstr>
      <vt:lpstr>'4020'!Program______________________________Cost_Factor</vt:lpstr>
      <vt:lpstr>'4030'!Program______________________________Cost_Factor</vt:lpstr>
      <vt:lpstr>'4031'!Program______________________________Cost_Factor</vt:lpstr>
      <vt:lpstr>'4041'!Program______________________________Cost_Factor</vt:lpstr>
      <vt:lpstr>'4050'!Program______________________________Cost_Factor</vt:lpstr>
      <vt:lpstr>'4051'!Program______________________________Cost_Factor</vt:lpstr>
      <vt:lpstr>'4061'!Program______________________________Cost_Factor</vt:lpstr>
      <vt:lpstr>'4080'!Program______________________________Cost_Factor</vt:lpstr>
      <vt:lpstr>'4081'!Program______________________________Cost_Factor</vt:lpstr>
      <vt:lpstr>'4090'!Program______________________________Cost_Factor</vt:lpstr>
      <vt:lpstr>'4091'!Program______________________________Cost_Factor</vt:lpstr>
      <vt:lpstr>'4100'!Program______________________________Cost_Factor</vt:lpstr>
      <vt:lpstr>'4102'!Program______________________________Cost_Factor</vt:lpstr>
      <vt:lpstr>'4103'!Program______________________________Cost_Factor</vt:lpstr>
      <vt:lpstr>'4111'!Program______________________________Cost_Factor</vt:lpstr>
      <vt:lpstr>'4131'!Program______________________________Cost_Factor</vt:lpstr>
      <vt:lpstr>Program______________________________Cost_Factor</vt:lpstr>
      <vt:lpstr>'0100'!Revenue_Estimate_Worksheet_for___________Charter_School</vt:lpstr>
      <vt:lpstr>'0571'!Revenue_Estimate_Worksheet_for___________Charter_School</vt:lpstr>
      <vt:lpstr>'1461'!Revenue_Estimate_Worksheet_for___________Charter_School</vt:lpstr>
      <vt:lpstr>'1571'!Revenue_Estimate_Worksheet_for___________Charter_School</vt:lpstr>
      <vt:lpstr>'2521'!Revenue_Estimate_Worksheet_for___________Charter_School</vt:lpstr>
      <vt:lpstr>'2531'!Revenue_Estimate_Worksheet_for___________Charter_School</vt:lpstr>
      <vt:lpstr>'2791'!Revenue_Estimate_Worksheet_for___________Charter_School</vt:lpstr>
      <vt:lpstr>'2801'!Revenue_Estimate_Worksheet_for___________Charter_School</vt:lpstr>
      <vt:lpstr>'2911'!Revenue_Estimate_Worksheet_for___________Charter_School</vt:lpstr>
      <vt:lpstr>'2941'!Revenue_Estimate_Worksheet_for___________Charter_School</vt:lpstr>
      <vt:lpstr>'3083'!Revenue_Estimate_Worksheet_for___________Charter_School</vt:lpstr>
      <vt:lpstr>'3345'!Revenue_Estimate_Worksheet_for___________Charter_School</vt:lpstr>
      <vt:lpstr>'3362'!Revenue_Estimate_Worksheet_for___________Charter_School</vt:lpstr>
      <vt:lpstr>'3381'!Revenue_Estimate_Worksheet_for___________Charter_School</vt:lpstr>
      <vt:lpstr>'3382'!Revenue_Estimate_Worksheet_for___________Charter_School</vt:lpstr>
      <vt:lpstr>'3391'!Revenue_Estimate_Worksheet_for___________Charter_School</vt:lpstr>
      <vt:lpstr>'3394'!Revenue_Estimate_Worksheet_for___________Charter_School</vt:lpstr>
      <vt:lpstr>'3395'!Revenue_Estimate_Worksheet_for___________Charter_School</vt:lpstr>
      <vt:lpstr>'3396'!Revenue_Estimate_Worksheet_for___________Charter_School</vt:lpstr>
      <vt:lpstr>'3398'!Revenue_Estimate_Worksheet_for___________Charter_School</vt:lpstr>
      <vt:lpstr>'3400'!Revenue_Estimate_Worksheet_for___________Charter_School</vt:lpstr>
      <vt:lpstr>'3401'!Revenue_Estimate_Worksheet_for___________Charter_School</vt:lpstr>
      <vt:lpstr>'3413'!Revenue_Estimate_Worksheet_for___________Charter_School</vt:lpstr>
      <vt:lpstr>'3421'!Revenue_Estimate_Worksheet_for___________Charter_School</vt:lpstr>
      <vt:lpstr>'3431'!Revenue_Estimate_Worksheet_for___________Charter_School</vt:lpstr>
      <vt:lpstr>'3441'!Revenue_Estimate_Worksheet_for___________Charter_School</vt:lpstr>
      <vt:lpstr>'3924'!Revenue_Estimate_Worksheet_for___________Charter_School</vt:lpstr>
      <vt:lpstr>'3941'!Revenue_Estimate_Worksheet_for___________Charter_School</vt:lpstr>
      <vt:lpstr>'3961'!Revenue_Estimate_Worksheet_for___________Charter_School</vt:lpstr>
      <vt:lpstr>'3971'!Revenue_Estimate_Worksheet_for___________Charter_School</vt:lpstr>
      <vt:lpstr>'4001'!Revenue_Estimate_Worksheet_for___________Charter_School</vt:lpstr>
      <vt:lpstr>'4002'!Revenue_Estimate_Worksheet_for___________Charter_School</vt:lpstr>
      <vt:lpstr>'4012'!Revenue_Estimate_Worksheet_for___________Charter_School</vt:lpstr>
      <vt:lpstr>'4013'!Revenue_Estimate_Worksheet_for___________Charter_School</vt:lpstr>
      <vt:lpstr>'4020'!Revenue_Estimate_Worksheet_for___________Charter_School</vt:lpstr>
      <vt:lpstr>'4030'!Revenue_Estimate_Worksheet_for___________Charter_School</vt:lpstr>
      <vt:lpstr>'4031'!Revenue_Estimate_Worksheet_for___________Charter_School</vt:lpstr>
      <vt:lpstr>'4041'!Revenue_Estimate_Worksheet_for___________Charter_School</vt:lpstr>
      <vt:lpstr>'4050'!Revenue_Estimate_Worksheet_for___________Charter_School</vt:lpstr>
      <vt:lpstr>'4051'!Revenue_Estimate_Worksheet_for___________Charter_School</vt:lpstr>
      <vt:lpstr>'4061'!Revenue_Estimate_Worksheet_for___________Charter_School</vt:lpstr>
      <vt:lpstr>'4080'!Revenue_Estimate_Worksheet_for___________Charter_School</vt:lpstr>
      <vt:lpstr>'4081'!Revenue_Estimate_Worksheet_for___________Charter_School</vt:lpstr>
      <vt:lpstr>'4090'!Revenue_Estimate_Worksheet_for___________Charter_School</vt:lpstr>
      <vt:lpstr>'4091'!Revenue_Estimate_Worksheet_for___________Charter_School</vt:lpstr>
      <vt:lpstr>'4100'!Revenue_Estimate_Worksheet_for___________Charter_School</vt:lpstr>
      <vt:lpstr>'4102'!Revenue_Estimate_Worksheet_for___________Charter_School</vt:lpstr>
      <vt:lpstr>'4103'!Revenue_Estimate_Worksheet_for___________Charter_School</vt:lpstr>
      <vt:lpstr>'4111'!Revenue_Estimate_Worksheet_for___________Charter_School</vt:lpstr>
      <vt:lpstr>'4131'!Revenue_Estimate_Worksheet_for___________Charter_School</vt:lpstr>
      <vt:lpstr>Revenue_Estimate_Worksheet_for___________Charter_School</vt:lpstr>
      <vt:lpstr>'0100'!School_District</vt:lpstr>
      <vt:lpstr>'0571'!School_District</vt:lpstr>
      <vt:lpstr>'1461'!School_District</vt:lpstr>
      <vt:lpstr>'1571'!School_District</vt:lpstr>
      <vt:lpstr>'2521'!School_District</vt:lpstr>
      <vt:lpstr>'2531'!School_District</vt:lpstr>
      <vt:lpstr>'2791'!School_District</vt:lpstr>
      <vt:lpstr>'2801'!School_District</vt:lpstr>
      <vt:lpstr>'2911'!School_District</vt:lpstr>
      <vt:lpstr>'2941'!School_District</vt:lpstr>
      <vt:lpstr>'3083'!School_District</vt:lpstr>
      <vt:lpstr>'3345'!School_District</vt:lpstr>
      <vt:lpstr>'3362'!School_District</vt:lpstr>
      <vt:lpstr>'3381'!School_District</vt:lpstr>
      <vt:lpstr>'3382'!School_District</vt:lpstr>
      <vt:lpstr>'3391'!School_District</vt:lpstr>
      <vt:lpstr>'3394'!School_District</vt:lpstr>
      <vt:lpstr>'3395'!School_District</vt:lpstr>
      <vt:lpstr>'3396'!School_District</vt:lpstr>
      <vt:lpstr>'3398'!School_District</vt:lpstr>
      <vt:lpstr>'3400'!School_District</vt:lpstr>
      <vt:lpstr>'3401'!School_District</vt:lpstr>
      <vt:lpstr>'3413'!School_District</vt:lpstr>
      <vt:lpstr>'3421'!School_District</vt:lpstr>
      <vt:lpstr>'3431'!School_District</vt:lpstr>
      <vt:lpstr>'3441'!School_District</vt:lpstr>
      <vt:lpstr>'3924'!School_District</vt:lpstr>
      <vt:lpstr>'3941'!School_District</vt:lpstr>
      <vt:lpstr>'3961'!School_District</vt:lpstr>
      <vt:lpstr>'3971'!School_District</vt:lpstr>
      <vt:lpstr>'4001'!School_District</vt:lpstr>
      <vt:lpstr>'4002'!School_District</vt:lpstr>
      <vt:lpstr>'4012'!School_District</vt:lpstr>
      <vt:lpstr>'4013'!School_District</vt:lpstr>
      <vt:lpstr>'4020'!School_District</vt:lpstr>
      <vt:lpstr>'4030'!School_District</vt:lpstr>
      <vt:lpstr>'4031'!School_District</vt:lpstr>
      <vt:lpstr>'4041'!School_District</vt:lpstr>
      <vt:lpstr>'4050'!School_District</vt:lpstr>
      <vt:lpstr>'4051'!School_District</vt:lpstr>
      <vt:lpstr>'4061'!School_District</vt:lpstr>
      <vt:lpstr>'4080'!School_District</vt:lpstr>
      <vt:lpstr>'4081'!School_District</vt:lpstr>
      <vt:lpstr>'4090'!School_District</vt:lpstr>
      <vt:lpstr>'4091'!School_District</vt:lpstr>
      <vt:lpstr>'4100'!School_District</vt:lpstr>
      <vt:lpstr>'4102'!School_District</vt:lpstr>
      <vt:lpstr>'4103'!School_District</vt:lpstr>
      <vt:lpstr>'4111'!School_District</vt:lpstr>
      <vt:lpstr>'4131'!School_District</vt:lpstr>
      <vt:lpstr>School_District</vt:lpstr>
      <vt:lpstr>'0100'!Total</vt:lpstr>
      <vt:lpstr>'0571'!Total</vt:lpstr>
      <vt:lpstr>'1461'!Total</vt:lpstr>
      <vt:lpstr>'1571'!Total</vt:lpstr>
      <vt:lpstr>'2521'!Total</vt:lpstr>
      <vt:lpstr>'2531'!Total</vt:lpstr>
      <vt:lpstr>'2791'!Total</vt:lpstr>
      <vt:lpstr>'2801'!Total</vt:lpstr>
      <vt:lpstr>'2911'!Total</vt:lpstr>
      <vt:lpstr>'2941'!Total</vt:lpstr>
      <vt:lpstr>'3083'!Total</vt:lpstr>
      <vt:lpstr>'3345'!Total</vt:lpstr>
      <vt:lpstr>'3362'!Total</vt:lpstr>
      <vt:lpstr>'3381'!Total</vt:lpstr>
      <vt:lpstr>'3382'!Total</vt:lpstr>
      <vt:lpstr>'3391'!Total</vt:lpstr>
      <vt:lpstr>'3394'!Total</vt:lpstr>
      <vt:lpstr>'3395'!Total</vt:lpstr>
      <vt:lpstr>'3396'!Total</vt:lpstr>
      <vt:lpstr>'3398'!Total</vt:lpstr>
      <vt:lpstr>'3400'!Total</vt:lpstr>
      <vt:lpstr>'3401'!Total</vt:lpstr>
      <vt:lpstr>'3413'!Total</vt:lpstr>
      <vt:lpstr>'3421'!Total</vt:lpstr>
      <vt:lpstr>'3431'!Total</vt:lpstr>
      <vt:lpstr>'3441'!Total</vt:lpstr>
      <vt:lpstr>'3924'!Total</vt:lpstr>
      <vt:lpstr>'3941'!Total</vt:lpstr>
      <vt:lpstr>'3961'!Total</vt:lpstr>
      <vt:lpstr>'3971'!Total</vt:lpstr>
      <vt:lpstr>'4001'!Total</vt:lpstr>
      <vt:lpstr>'4002'!Total</vt:lpstr>
      <vt:lpstr>'4012'!Total</vt:lpstr>
      <vt:lpstr>'4013'!Total</vt:lpstr>
      <vt:lpstr>'4020'!Total</vt:lpstr>
      <vt:lpstr>'4030'!Total</vt:lpstr>
      <vt:lpstr>'4031'!Total</vt:lpstr>
      <vt:lpstr>'4041'!Total</vt:lpstr>
      <vt:lpstr>'4050'!Total</vt:lpstr>
      <vt:lpstr>'4051'!Total</vt:lpstr>
      <vt:lpstr>'4061'!Total</vt:lpstr>
      <vt:lpstr>'4080'!Total</vt:lpstr>
      <vt:lpstr>'4081'!Total</vt:lpstr>
      <vt:lpstr>'4090'!Total</vt:lpstr>
      <vt:lpstr>'4091'!Total</vt:lpstr>
      <vt:lpstr>'4100'!Total</vt:lpstr>
      <vt:lpstr>'4102'!Total</vt:lpstr>
      <vt:lpstr>'4103'!Total</vt:lpstr>
      <vt:lpstr>'4111'!Total</vt:lpstr>
      <vt:lpstr>'4131'!Total</vt:lpstr>
      <vt:lpstr>Total</vt:lpstr>
      <vt:lpstr>'0100'!Total_Class_Size_Reduction_Funds</vt:lpstr>
      <vt:lpstr>'0571'!Total_Class_Size_Reduction_Funds</vt:lpstr>
      <vt:lpstr>'1461'!Total_Class_Size_Reduction_Funds</vt:lpstr>
      <vt:lpstr>'1571'!Total_Class_Size_Reduction_Funds</vt:lpstr>
      <vt:lpstr>'2521'!Total_Class_Size_Reduction_Funds</vt:lpstr>
      <vt:lpstr>'2531'!Total_Class_Size_Reduction_Funds</vt:lpstr>
      <vt:lpstr>'2791'!Total_Class_Size_Reduction_Funds</vt:lpstr>
      <vt:lpstr>'2801'!Total_Class_Size_Reduction_Funds</vt:lpstr>
      <vt:lpstr>'2911'!Total_Class_Size_Reduction_Funds</vt:lpstr>
      <vt:lpstr>'2941'!Total_Class_Size_Reduction_Funds</vt:lpstr>
      <vt:lpstr>'3083'!Total_Class_Size_Reduction_Funds</vt:lpstr>
      <vt:lpstr>'3345'!Total_Class_Size_Reduction_Funds</vt:lpstr>
      <vt:lpstr>'3362'!Total_Class_Size_Reduction_Funds</vt:lpstr>
      <vt:lpstr>'3381'!Total_Class_Size_Reduction_Funds</vt:lpstr>
      <vt:lpstr>'3382'!Total_Class_Size_Reduction_Funds</vt:lpstr>
      <vt:lpstr>'3391'!Total_Class_Size_Reduction_Funds</vt:lpstr>
      <vt:lpstr>'3394'!Total_Class_Size_Reduction_Funds</vt:lpstr>
      <vt:lpstr>'3395'!Total_Class_Size_Reduction_Funds</vt:lpstr>
      <vt:lpstr>'3396'!Total_Class_Size_Reduction_Funds</vt:lpstr>
      <vt:lpstr>'3398'!Total_Class_Size_Reduction_Funds</vt:lpstr>
      <vt:lpstr>'3400'!Total_Class_Size_Reduction_Funds</vt:lpstr>
      <vt:lpstr>'3401'!Total_Class_Size_Reduction_Funds</vt:lpstr>
      <vt:lpstr>'3413'!Total_Class_Size_Reduction_Funds</vt:lpstr>
      <vt:lpstr>'3421'!Total_Class_Size_Reduction_Funds</vt:lpstr>
      <vt:lpstr>'3431'!Total_Class_Size_Reduction_Funds</vt:lpstr>
      <vt:lpstr>'3441'!Total_Class_Size_Reduction_Funds</vt:lpstr>
      <vt:lpstr>'3924'!Total_Class_Size_Reduction_Funds</vt:lpstr>
      <vt:lpstr>'3941'!Total_Class_Size_Reduction_Funds</vt:lpstr>
      <vt:lpstr>'3961'!Total_Class_Size_Reduction_Funds</vt:lpstr>
      <vt:lpstr>'3971'!Total_Class_Size_Reduction_Funds</vt:lpstr>
      <vt:lpstr>'4001'!Total_Class_Size_Reduction_Funds</vt:lpstr>
      <vt:lpstr>'4002'!Total_Class_Size_Reduction_Funds</vt:lpstr>
      <vt:lpstr>'4012'!Total_Class_Size_Reduction_Funds</vt:lpstr>
      <vt:lpstr>'4013'!Total_Class_Size_Reduction_Funds</vt:lpstr>
      <vt:lpstr>'4020'!Total_Class_Size_Reduction_Funds</vt:lpstr>
      <vt:lpstr>'4030'!Total_Class_Size_Reduction_Funds</vt:lpstr>
      <vt:lpstr>'4031'!Total_Class_Size_Reduction_Funds</vt:lpstr>
      <vt:lpstr>'4041'!Total_Class_Size_Reduction_Funds</vt:lpstr>
      <vt:lpstr>'4050'!Total_Class_Size_Reduction_Funds</vt:lpstr>
      <vt:lpstr>'4051'!Total_Class_Size_Reduction_Funds</vt:lpstr>
      <vt:lpstr>'4061'!Total_Class_Size_Reduction_Funds</vt:lpstr>
      <vt:lpstr>'4080'!Total_Class_Size_Reduction_Funds</vt:lpstr>
      <vt:lpstr>'4081'!Total_Class_Size_Reduction_Funds</vt:lpstr>
      <vt:lpstr>'4090'!Total_Class_Size_Reduction_Funds</vt:lpstr>
      <vt:lpstr>'4091'!Total_Class_Size_Reduction_Funds</vt:lpstr>
      <vt:lpstr>'4100'!Total_Class_Size_Reduction_Funds</vt:lpstr>
      <vt:lpstr>'4102'!Total_Class_Size_Reduction_Funds</vt:lpstr>
      <vt:lpstr>'4103'!Total_Class_Size_Reduction_Funds</vt:lpstr>
      <vt:lpstr>'4111'!Total_Class_Size_Reduction_Funds</vt:lpstr>
      <vt:lpstr>'4131'!Total_Class_Size_Reduction_Funds</vt:lpstr>
      <vt:lpstr>Total_Class_Size_Reduction_Funds</vt:lpstr>
      <vt:lpstr>'0100'!Totals</vt:lpstr>
      <vt:lpstr>'0571'!Totals</vt:lpstr>
      <vt:lpstr>'1461'!Totals</vt:lpstr>
      <vt:lpstr>'1571'!Totals</vt:lpstr>
      <vt:lpstr>'2521'!Totals</vt:lpstr>
      <vt:lpstr>'2531'!Totals</vt:lpstr>
      <vt:lpstr>'2791'!Totals</vt:lpstr>
      <vt:lpstr>'2801'!Totals</vt:lpstr>
      <vt:lpstr>'2911'!Totals</vt:lpstr>
      <vt:lpstr>'2941'!Totals</vt:lpstr>
      <vt:lpstr>'3083'!Totals</vt:lpstr>
      <vt:lpstr>'3345'!Totals</vt:lpstr>
      <vt:lpstr>'3362'!Totals</vt:lpstr>
      <vt:lpstr>'3381'!Totals</vt:lpstr>
      <vt:lpstr>'3382'!Totals</vt:lpstr>
      <vt:lpstr>'3391'!Totals</vt:lpstr>
      <vt:lpstr>'3394'!Totals</vt:lpstr>
      <vt:lpstr>'3395'!Totals</vt:lpstr>
      <vt:lpstr>'3396'!Totals</vt:lpstr>
      <vt:lpstr>'3398'!Totals</vt:lpstr>
      <vt:lpstr>'3400'!Totals</vt:lpstr>
      <vt:lpstr>'3401'!Totals</vt:lpstr>
      <vt:lpstr>'3413'!Totals</vt:lpstr>
      <vt:lpstr>'3421'!Totals</vt:lpstr>
      <vt:lpstr>'3431'!Totals</vt:lpstr>
      <vt:lpstr>'3441'!Totals</vt:lpstr>
      <vt:lpstr>'3924'!Totals</vt:lpstr>
      <vt:lpstr>'3941'!Totals</vt:lpstr>
      <vt:lpstr>'3961'!Totals</vt:lpstr>
      <vt:lpstr>'3971'!Totals</vt:lpstr>
      <vt:lpstr>'4001'!Totals</vt:lpstr>
      <vt:lpstr>'4002'!Totals</vt:lpstr>
      <vt:lpstr>'4012'!Totals</vt:lpstr>
      <vt:lpstr>'4013'!Totals</vt:lpstr>
      <vt:lpstr>'4020'!Totals</vt:lpstr>
      <vt:lpstr>'4030'!Totals</vt:lpstr>
      <vt:lpstr>'4031'!Totals</vt:lpstr>
      <vt:lpstr>'4041'!Totals</vt:lpstr>
      <vt:lpstr>'4050'!Totals</vt:lpstr>
      <vt:lpstr>'4051'!Totals</vt:lpstr>
      <vt:lpstr>'4061'!Totals</vt:lpstr>
      <vt:lpstr>'4080'!Totals</vt:lpstr>
      <vt:lpstr>'4081'!Totals</vt:lpstr>
      <vt:lpstr>'4090'!Totals</vt:lpstr>
      <vt:lpstr>'4091'!Totals</vt:lpstr>
      <vt:lpstr>'4100'!Totals</vt:lpstr>
      <vt:lpstr>'4102'!Totals</vt:lpstr>
      <vt:lpstr>'4103'!Totals</vt:lpstr>
      <vt:lpstr>'4111'!Totals</vt:lpstr>
      <vt:lpstr>'4131'!Totals</vt:lpstr>
      <vt:lpstr>Totals</vt:lpstr>
      <vt:lpstr>'0100'!Weighted_FTE____________b__x__c</vt:lpstr>
      <vt:lpstr>'0571'!Weighted_FTE____________b__x__c</vt:lpstr>
      <vt:lpstr>'1461'!Weighted_FTE____________b__x__c</vt:lpstr>
      <vt:lpstr>'1571'!Weighted_FTE____________b__x__c</vt:lpstr>
      <vt:lpstr>'2521'!Weighted_FTE____________b__x__c</vt:lpstr>
      <vt:lpstr>'2531'!Weighted_FTE____________b__x__c</vt:lpstr>
      <vt:lpstr>'2791'!Weighted_FTE____________b__x__c</vt:lpstr>
      <vt:lpstr>'2801'!Weighted_FTE____________b__x__c</vt:lpstr>
      <vt:lpstr>'2911'!Weighted_FTE____________b__x__c</vt:lpstr>
      <vt:lpstr>'2941'!Weighted_FTE____________b__x__c</vt:lpstr>
      <vt:lpstr>'3083'!Weighted_FTE____________b__x__c</vt:lpstr>
      <vt:lpstr>'3345'!Weighted_FTE____________b__x__c</vt:lpstr>
      <vt:lpstr>'3362'!Weighted_FTE____________b__x__c</vt:lpstr>
      <vt:lpstr>'3381'!Weighted_FTE____________b__x__c</vt:lpstr>
      <vt:lpstr>'3382'!Weighted_FTE____________b__x__c</vt:lpstr>
      <vt:lpstr>'3391'!Weighted_FTE____________b__x__c</vt:lpstr>
      <vt:lpstr>'3394'!Weighted_FTE____________b__x__c</vt:lpstr>
      <vt:lpstr>'3395'!Weighted_FTE____________b__x__c</vt:lpstr>
      <vt:lpstr>'3396'!Weighted_FTE____________b__x__c</vt:lpstr>
      <vt:lpstr>'3398'!Weighted_FTE____________b__x__c</vt:lpstr>
      <vt:lpstr>'3400'!Weighted_FTE____________b__x__c</vt:lpstr>
      <vt:lpstr>'3401'!Weighted_FTE____________b__x__c</vt:lpstr>
      <vt:lpstr>'3413'!Weighted_FTE____________b__x__c</vt:lpstr>
      <vt:lpstr>'3421'!Weighted_FTE____________b__x__c</vt:lpstr>
      <vt:lpstr>'3431'!Weighted_FTE____________b__x__c</vt:lpstr>
      <vt:lpstr>'3441'!Weighted_FTE____________b__x__c</vt:lpstr>
      <vt:lpstr>'3924'!Weighted_FTE____________b__x__c</vt:lpstr>
      <vt:lpstr>'3941'!Weighted_FTE____________b__x__c</vt:lpstr>
      <vt:lpstr>'3961'!Weighted_FTE____________b__x__c</vt:lpstr>
      <vt:lpstr>'3971'!Weighted_FTE____________b__x__c</vt:lpstr>
      <vt:lpstr>'4001'!Weighted_FTE____________b__x__c</vt:lpstr>
      <vt:lpstr>'4002'!Weighted_FTE____________b__x__c</vt:lpstr>
      <vt:lpstr>'4012'!Weighted_FTE____________b__x__c</vt:lpstr>
      <vt:lpstr>'4013'!Weighted_FTE____________b__x__c</vt:lpstr>
      <vt:lpstr>'4020'!Weighted_FTE____________b__x__c</vt:lpstr>
      <vt:lpstr>'4030'!Weighted_FTE____________b__x__c</vt:lpstr>
      <vt:lpstr>'4031'!Weighted_FTE____________b__x__c</vt:lpstr>
      <vt:lpstr>'4041'!Weighted_FTE____________b__x__c</vt:lpstr>
      <vt:lpstr>'4050'!Weighted_FTE____________b__x__c</vt:lpstr>
      <vt:lpstr>'4051'!Weighted_FTE____________b__x__c</vt:lpstr>
      <vt:lpstr>'4061'!Weighted_FTE____________b__x__c</vt:lpstr>
      <vt:lpstr>'4080'!Weighted_FTE____________b__x__c</vt:lpstr>
      <vt:lpstr>'4081'!Weighted_FTE____________b__x__c</vt:lpstr>
      <vt:lpstr>'4090'!Weighted_FTE____________b__x__c</vt:lpstr>
      <vt:lpstr>'4091'!Weighted_FTE____________b__x__c</vt:lpstr>
      <vt:lpstr>'4100'!Weighted_FTE____________b__x__c</vt:lpstr>
      <vt:lpstr>'4102'!Weighted_FTE____________b__x__c</vt:lpstr>
      <vt:lpstr>'4103'!Weighted_FTE____________b__x__c</vt:lpstr>
      <vt:lpstr>'4111'!Weighted_FTE____________b__x__c</vt:lpstr>
      <vt:lpstr>'4131'!Weighted_FTE____________b__x__c</vt:lpstr>
      <vt:lpstr>Weighted_FTE____________b__x__c</vt:lpstr>
      <vt:lpstr>'0100'!Weighted_FTE__From_Section_1</vt:lpstr>
      <vt:lpstr>'0571'!Weighted_FTE__From_Section_1</vt:lpstr>
      <vt:lpstr>'1461'!Weighted_FTE__From_Section_1</vt:lpstr>
      <vt:lpstr>'1571'!Weighted_FTE__From_Section_1</vt:lpstr>
      <vt:lpstr>'2521'!Weighted_FTE__From_Section_1</vt:lpstr>
      <vt:lpstr>'2531'!Weighted_FTE__From_Section_1</vt:lpstr>
      <vt:lpstr>'2791'!Weighted_FTE__From_Section_1</vt:lpstr>
      <vt:lpstr>'2801'!Weighted_FTE__From_Section_1</vt:lpstr>
      <vt:lpstr>'2911'!Weighted_FTE__From_Section_1</vt:lpstr>
      <vt:lpstr>'2941'!Weighted_FTE__From_Section_1</vt:lpstr>
      <vt:lpstr>'3083'!Weighted_FTE__From_Section_1</vt:lpstr>
      <vt:lpstr>'3345'!Weighted_FTE__From_Section_1</vt:lpstr>
      <vt:lpstr>'3362'!Weighted_FTE__From_Section_1</vt:lpstr>
      <vt:lpstr>'3381'!Weighted_FTE__From_Section_1</vt:lpstr>
      <vt:lpstr>'3382'!Weighted_FTE__From_Section_1</vt:lpstr>
      <vt:lpstr>'3391'!Weighted_FTE__From_Section_1</vt:lpstr>
      <vt:lpstr>'3394'!Weighted_FTE__From_Section_1</vt:lpstr>
      <vt:lpstr>'3395'!Weighted_FTE__From_Section_1</vt:lpstr>
      <vt:lpstr>'3396'!Weighted_FTE__From_Section_1</vt:lpstr>
      <vt:lpstr>'3398'!Weighted_FTE__From_Section_1</vt:lpstr>
      <vt:lpstr>'3400'!Weighted_FTE__From_Section_1</vt:lpstr>
      <vt:lpstr>'3401'!Weighted_FTE__From_Section_1</vt:lpstr>
      <vt:lpstr>'3413'!Weighted_FTE__From_Section_1</vt:lpstr>
      <vt:lpstr>'3421'!Weighted_FTE__From_Section_1</vt:lpstr>
      <vt:lpstr>'3431'!Weighted_FTE__From_Section_1</vt:lpstr>
      <vt:lpstr>'3441'!Weighted_FTE__From_Section_1</vt:lpstr>
      <vt:lpstr>'3924'!Weighted_FTE__From_Section_1</vt:lpstr>
      <vt:lpstr>'3941'!Weighted_FTE__From_Section_1</vt:lpstr>
      <vt:lpstr>'3961'!Weighted_FTE__From_Section_1</vt:lpstr>
      <vt:lpstr>'3971'!Weighted_FTE__From_Section_1</vt:lpstr>
      <vt:lpstr>'4001'!Weighted_FTE__From_Section_1</vt:lpstr>
      <vt:lpstr>'4002'!Weighted_FTE__From_Section_1</vt:lpstr>
      <vt:lpstr>'4012'!Weighted_FTE__From_Section_1</vt:lpstr>
      <vt:lpstr>'4013'!Weighted_FTE__From_Section_1</vt:lpstr>
      <vt:lpstr>'4020'!Weighted_FTE__From_Section_1</vt:lpstr>
      <vt:lpstr>'4030'!Weighted_FTE__From_Section_1</vt:lpstr>
      <vt:lpstr>'4031'!Weighted_FTE__From_Section_1</vt:lpstr>
      <vt:lpstr>'4041'!Weighted_FTE__From_Section_1</vt:lpstr>
      <vt:lpstr>'4050'!Weighted_FTE__From_Section_1</vt:lpstr>
      <vt:lpstr>'4051'!Weighted_FTE__From_Section_1</vt:lpstr>
      <vt:lpstr>'4061'!Weighted_FTE__From_Section_1</vt:lpstr>
      <vt:lpstr>'4080'!Weighted_FTE__From_Section_1</vt:lpstr>
      <vt:lpstr>'4081'!Weighted_FTE__From_Section_1</vt:lpstr>
      <vt:lpstr>'4090'!Weighted_FTE__From_Section_1</vt:lpstr>
      <vt:lpstr>'4091'!Weighted_FTE__From_Section_1</vt:lpstr>
      <vt:lpstr>'4100'!Weighted_FTE__From_Section_1</vt:lpstr>
      <vt:lpstr>'4102'!Weighted_FTE__From_Section_1</vt:lpstr>
      <vt:lpstr>'4103'!Weighted_FTE__From_Section_1</vt:lpstr>
      <vt:lpstr>'4111'!Weighted_FTE__From_Section_1</vt:lpstr>
      <vt:lpstr>'4131'!Weighted_FTE__From_Section_1</vt:lpstr>
      <vt:lpstr>Weighted_FTE__From_Section_1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Passelli</dc:creator>
  <cp:lastModifiedBy>Stefanie Johnson</cp:lastModifiedBy>
  <cp:lastPrinted>2025-10-27T14:56:48Z</cp:lastPrinted>
  <dcterms:created xsi:type="dcterms:W3CDTF">2015-06-05T18:17:20Z</dcterms:created>
  <dcterms:modified xsi:type="dcterms:W3CDTF">2026-07-01T17:04:39Z</dcterms:modified>
</cp:coreProperties>
</file>