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dcoleman\My Drive\Google Drive\2024-2025 Bond\"/>
    </mc:Choice>
  </mc:AlternateContent>
  <xr:revisionPtr revIDLastSave="0" documentId="8_{6BD85ADA-47DF-445E-AABD-9CD928A364CB}" xr6:coauthVersionLast="47" xr6:coauthVersionMax="47" xr10:uidLastSave="{00000000-0000-0000-0000-000000000000}"/>
  <bookViews>
    <workbookView xWindow="765" yWindow="1950" windowWidth="28035" windowHeight="11295" xr2:uid="{838135DA-314C-4BEE-83E8-E8EDA90AC97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6" i="1" l="1"/>
  <c r="G121" i="1"/>
  <c r="E121" i="1"/>
  <c r="B118" i="1"/>
  <c r="E120" i="1" s="1"/>
  <c r="L97" i="1"/>
  <c r="L98" i="1" s="1"/>
  <c r="L99" i="1" s="1"/>
  <c r="L100" i="1" s="1"/>
  <c r="L101" i="1" s="1"/>
  <c r="L102" i="1" s="1"/>
  <c r="L103" i="1" s="1"/>
  <c r="L104" i="1" s="1"/>
  <c r="L105" i="1" s="1"/>
  <c r="L106" i="1" s="1"/>
  <c r="L107" i="1" s="1"/>
  <c r="L108" i="1" s="1"/>
  <c r="L109" i="1" s="1"/>
  <c r="L110" i="1" s="1"/>
  <c r="L111" i="1" s="1"/>
  <c r="L112" i="1" s="1"/>
  <c r="L113" i="1" s="1"/>
  <c r="L114" i="1" s="1"/>
  <c r="L115" i="1" s="1"/>
  <c r="L116" i="1" s="1"/>
  <c r="E125" i="1" l="1"/>
  <c r="E128" i="1" s="1"/>
  <c r="E122" i="1"/>
  <c r="E116" i="1" l="1"/>
  <c r="D115" i="1"/>
  <c r="D114" i="1" l="1"/>
  <c r="E115" i="1"/>
  <c r="F116" i="1"/>
  <c r="I116" i="1" s="1"/>
  <c r="J116" i="1" l="1"/>
  <c r="M116" i="1" s="1"/>
  <c r="N116" i="1" s="1"/>
  <c r="F115" i="1"/>
  <c r="I115" i="1" s="1"/>
  <c r="E114" i="1"/>
  <c r="D113" i="1"/>
  <c r="J115" i="1" l="1"/>
  <c r="M115" i="1" s="1"/>
  <c r="N115" i="1" s="1"/>
  <c r="E113" i="1"/>
  <c r="D112" i="1"/>
  <c r="F114" i="1"/>
  <c r="I114" i="1" s="1"/>
  <c r="J114" i="1" l="1"/>
  <c r="M114" i="1" s="1"/>
  <c r="N114" i="1" s="1"/>
  <c r="D111" i="1"/>
  <c r="E112" i="1"/>
  <c r="F113" i="1"/>
  <c r="I113" i="1" s="1"/>
  <c r="J113" i="1" l="1"/>
  <c r="M113" i="1" s="1"/>
  <c r="N113" i="1" s="1"/>
  <c r="F112" i="1"/>
  <c r="I112" i="1" s="1"/>
  <c r="D110" i="1"/>
  <c r="E111" i="1"/>
  <c r="J112" i="1" l="1"/>
  <c r="M112" i="1" s="1"/>
  <c r="N112" i="1" s="1"/>
  <c r="F111" i="1"/>
  <c r="I111" i="1" s="1"/>
  <c r="D109" i="1"/>
  <c r="E110" i="1"/>
  <c r="J111" i="1" l="1"/>
  <c r="M111" i="1" s="1"/>
  <c r="N111" i="1" s="1"/>
  <c r="F110" i="1"/>
  <c r="I110" i="1" s="1"/>
  <c r="E109" i="1"/>
  <c r="D108" i="1"/>
  <c r="J110" i="1" l="1"/>
  <c r="M110" i="1" s="1"/>
  <c r="N110" i="1" s="1"/>
  <c r="F109" i="1"/>
  <c r="I109" i="1" s="1"/>
  <c r="E108" i="1"/>
  <c r="D107" i="1"/>
  <c r="J109" i="1" l="1"/>
  <c r="M109" i="1" s="1"/>
  <c r="N109" i="1" s="1"/>
  <c r="F108" i="1"/>
  <c r="I108" i="1" s="1"/>
  <c r="D106" i="1"/>
  <c r="E107" i="1"/>
  <c r="J108" i="1" l="1"/>
  <c r="M108" i="1" s="1"/>
  <c r="N108" i="1" s="1"/>
  <c r="F107" i="1"/>
  <c r="I107" i="1" s="1"/>
  <c r="E106" i="1"/>
  <c r="D105" i="1"/>
  <c r="J107" i="1" l="1"/>
  <c r="M107" i="1" s="1"/>
  <c r="N107" i="1" s="1"/>
  <c r="F106" i="1"/>
  <c r="I106" i="1" s="1"/>
  <c r="E105" i="1"/>
  <c r="D104" i="1"/>
  <c r="J106" i="1" l="1"/>
  <c r="M106" i="1" s="1"/>
  <c r="F105" i="1"/>
  <c r="I105" i="1" s="1"/>
  <c r="E104" i="1"/>
  <c r="D103" i="1"/>
  <c r="J105" i="1" l="1"/>
  <c r="M105" i="1" s="1"/>
  <c r="E103" i="1"/>
  <c r="D102" i="1"/>
  <c r="F104" i="1"/>
  <c r="I104" i="1" s="1"/>
  <c r="J104" i="1" l="1"/>
  <c r="M104" i="1" s="1"/>
  <c r="E102" i="1"/>
  <c r="D101" i="1"/>
  <c r="F103" i="1"/>
  <c r="I103" i="1" s="1"/>
  <c r="J103" i="1" l="1"/>
  <c r="M103" i="1" s="1"/>
  <c r="F102" i="1"/>
  <c r="I102" i="1" s="1"/>
  <c r="E101" i="1"/>
  <c r="D100" i="1"/>
  <c r="D99" i="1" l="1"/>
  <c r="E100" i="1"/>
  <c r="F101" i="1"/>
  <c r="I101" i="1" s="1"/>
  <c r="J102" i="1"/>
  <c r="M102" i="1" s="1"/>
  <c r="J101" i="1" l="1"/>
  <c r="M101" i="1" s="1"/>
  <c r="F100" i="1"/>
  <c r="I100" i="1" s="1"/>
  <c r="E99" i="1"/>
  <c r="D98" i="1"/>
  <c r="J100" i="1" l="1"/>
  <c r="M100" i="1" s="1"/>
  <c r="F99" i="1"/>
  <c r="I99" i="1" s="1"/>
  <c r="E98" i="1"/>
  <c r="D97" i="1"/>
  <c r="J99" i="1" l="1"/>
  <c r="M99" i="1" s="1"/>
  <c r="D118" i="1"/>
  <c r="E97" i="1"/>
  <c r="F98" i="1"/>
  <c r="I98" i="1" s="1"/>
  <c r="J98" i="1" l="1"/>
  <c r="M98" i="1" s="1"/>
  <c r="E118" i="1"/>
  <c r="F97" i="1"/>
  <c r="F118" i="1" s="1"/>
  <c r="I97" i="1" l="1"/>
  <c r="J97" i="1" l="1"/>
  <c r="M97" i="1" s="1"/>
  <c r="I118" i="1"/>
  <c r="N118" i="1" l="1"/>
  <c r="M118" i="1"/>
  <c r="E73" i="1" l="1"/>
  <c r="G73" i="1"/>
  <c r="C13" i="1" l="1"/>
  <c r="C15" i="1" s="1"/>
  <c r="M10" i="1"/>
  <c r="N10" i="1" s="1"/>
  <c r="N11" i="1" s="1"/>
  <c r="D68" i="1"/>
  <c r="E68" i="1" s="1"/>
  <c r="B70" i="1"/>
  <c r="E72" i="1" s="1"/>
  <c r="E77" i="1" s="1"/>
  <c r="D67" i="1" l="1"/>
  <c r="D66" i="1" s="1"/>
  <c r="I68" i="1"/>
  <c r="L44" i="1"/>
  <c r="L45" i="1" s="1"/>
  <c r="L46" i="1" s="1"/>
  <c r="L47" i="1" s="1"/>
  <c r="L48" i="1" s="1"/>
  <c r="L49" i="1" s="1"/>
  <c r="L50" i="1" s="1"/>
  <c r="L51" i="1" s="1"/>
  <c r="L52" i="1" s="1"/>
  <c r="L53" i="1" s="1"/>
  <c r="L54" i="1" s="1"/>
  <c r="L55" i="1" s="1"/>
  <c r="L56" i="1" s="1"/>
  <c r="L57" i="1" s="1"/>
  <c r="L58" i="1" s="1"/>
  <c r="L59" i="1" s="1"/>
  <c r="L60" i="1" s="1"/>
  <c r="L61" i="1" s="1"/>
  <c r="L62" i="1" s="1"/>
  <c r="L63" i="1" s="1"/>
  <c r="L64" i="1" s="1"/>
  <c r="L65" i="1" s="1"/>
  <c r="L66" i="1" s="1"/>
  <c r="L67" i="1" s="1"/>
  <c r="L68" i="1" s="1"/>
  <c r="E80" i="1"/>
  <c r="E74" i="1"/>
  <c r="J68" i="1" l="1"/>
  <c r="M68" i="1" s="1"/>
  <c r="N68" i="1" s="1"/>
  <c r="E66" i="1"/>
  <c r="I66" i="1" s="1"/>
  <c r="D65" i="1"/>
  <c r="E67" i="1"/>
  <c r="I67" i="1" s="1"/>
  <c r="J66" i="1" l="1"/>
  <c r="M66" i="1" s="1"/>
  <c r="N66" i="1" s="1"/>
  <c r="J67" i="1"/>
  <c r="M67" i="1" s="1"/>
  <c r="N67" i="1" s="1"/>
  <c r="E65" i="1"/>
  <c r="I65" i="1" s="1"/>
  <c r="D64" i="1"/>
  <c r="J65" i="1" l="1"/>
  <c r="M65" i="1" s="1"/>
  <c r="N65" i="1" s="1"/>
  <c r="D63" i="1"/>
  <c r="E64" i="1"/>
  <c r="F64" i="1" l="1"/>
  <c r="I64" i="1" s="1"/>
  <c r="E63" i="1"/>
  <c r="D62" i="1"/>
  <c r="J64" i="1" l="1"/>
  <c r="M64" i="1" s="1"/>
  <c r="N64" i="1" s="1"/>
  <c r="F63" i="1"/>
  <c r="I63" i="1" s="1"/>
  <c r="D61" i="1"/>
  <c r="E62" i="1"/>
  <c r="J63" i="1" l="1"/>
  <c r="M63" i="1" s="1"/>
  <c r="N63" i="1" s="1"/>
  <c r="F62" i="1"/>
  <c r="I62" i="1" s="1"/>
  <c r="E61" i="1"/>
  <c r="D60" i="1"/>
  <c r="J62" i="1" l="1"/>
  <c r="M62" i="1" s="1"/>
  <c r="N62" i="1" s="1"/>
  <c r="F61" i="1"/>
  <c r="I61" i="1" s="1"/>
  <c r="E60" i="1"/>
  <c r="D59" i="1"/>
  <c r="J61" i="1" l="1"/>
  <c r="M61" i="1" s="1"/>
  <c r="N61" i="1" s="1"/>
  <c r="F60" i="1"/>
  <c r="I60" i="1" s="1"/>
  <c r="D58" i="1"/>
  <c r="E59" i="1"/>
  <c r="J60" i="1" l="1"/>
  <c r="M60" i="1" s="1"/>
  <c r="N60" i="1" s="1"/>
  <c r="F59" i="1"/>
  <c r="I59" i="1" s="1"/>
  <c r="D57" i="1"/>
  <c r="E58" i="1"/>
  <c r="J59" i="1" l="1"/>
  <c r="M59" i="1" s="1"/>
  <c r="N59" i="1" s="1"/>
  <c r="F58" i="1"/>
  <c r="I58" i="1" s="1"/>
  <c r="E57" i="1"/>
  <c r="F57" i="1" s="1"/>
  <c r="I57" i="1" s="1"/>
  <c r="D56" i="1"/>
  <c r="J58" i="1" l="1"/>
  <c r="M58" i="1" s="1"/>
  <c r="N58" i="1" s="1"/>
  <c r="J57" i="1"/>
  <c r="M57" i="1" s="1"/>
  <c r="N57" i="1" s="1"/>
  <c r="E56" i="1"/>
  <c r="F56" i="1" s="1"/>
  <c r="I56" i="1" s="1"/>
  <c r="D55" i="1"/>
  <c r="J56" i="1" l="1"/>
  <c r="M56" i="1" s="1"/>
  <c r="N56" i="1" s="1"/>
  <c r="D54" i="1"/>
  <c r="E55" i="1"/>
  <c r="F55" i="1" s="1"/>
  <c r="I55" i="1" s="1"/>
  <c r="J55" i="1" l="1"/>
  <c r="M55" i="1" s="1"/>
  <c r="N55" i="1" s="1"/>
  <c r="D53" i="1"/>
  <c r="E54" i="1"/>
  <c r="F54" i="1" s="1"/>
  <c r="I54" i="1" s="1"/>
  <c r="J54" i="1" l="1"/>
  <c r="M54" i="1" s="1"/>
  <c r="N54" i="1" s="1"/>
  <c r="D52" i="1"/>
  <c r="E53" i="1"/>
  <c r="F53" i="1" l="1"/>
  <c r="I53" i="1" s="1"/>
  <c r="E52" i="1"/>
  <c r="F52" i="1" s="1"/>
  <c r="I52" i="1" s="1"/>
  <c r="D51" i="1"/>
  <c r="J53" i="1" l="1"/>
  <c r="M53" i="1" s="1"/>
  <c r="J52" i="1"/>
  <c r="M52" i="1" s="1"/>
  <c r="D50" i="1"/>
  <c r="E51" i="1"/>
  <c r="F51" i="1" s="1"/>
  <c r="I51" i="1" s="1"/>
  <c r="J51" i="1" l="1"/>
  <c r="M51" i="1" s="1"/>
  <c r="D49" i="1"/>
  <c r="E50" i="1"/>
  <c r="F50" i="1" s="1"/>
  <c r="I50" i="1" s="1"/>
  <c r="J50" i="1" l="1"/>
  <c r="M50" i="1" s="1"/>
  <c r="D48" i="1"/>
  <c r="E49" i="1"/>
  <c r="F49" i="1" s="1"/>
  <c r="I49" i="1" s="1"/>
  <c r="J49" i="1" l="1"/>
  <c r="M49" i="1" s="1"/>
  <c r="D47" i="1"/>
  <c r="E48" i="1"/>
  <c r="F48" i="1" s="1"/>
  <c r="I48" i="1" s="1"/>
  <c r="J48" i="1" l="1"/>
  <c r="M48" i="1" s="1"/>
  <c r="D46" i="1"/>
  <c r="E47" i="1"/>
  <c r="F47" i="1" s="1"/>
  <c r="I47" i="1" s="1"/>
  <c r="J47" i="1" l="1"/>
  <c r="M47" i="1" s="1"/>
  <c r="E46" i="1"/>
  <c r="F46" i="1" s="1"/>
  <c r="I46" i="1" s="1"/>
  <c r="D45" i="1"/>
  <c r="D44" i="1" s="1"/>
  <c r="J46" i="1" l="1"/>
  <c r="M46" i="1" s="1"/>
  <c r="E45" i="1"/>
  <c r="F45" i="1" s="1"/>
  <c r="I45" i="1" s="1"/>
  <c r="J45" i="1" l="1"/>
  <c r="M45" i="1" s="1"/>
  <c r="E44" i="1"/>
  <c r="D70" i="1"/>
  <c r="F44" i="1" l="1"/>
  <c r="F70" i="1" s="1"/>
  <c r="E70" i="1"/>
  <c r="I44" i="1" l="1"/>
  <c r="J44" i="1" l="1"/>
  <c r="M44" i="1" s="1"/>
  <c r="I70" i="1"/>
  <c r="N70" i="1" l="1"/>
</calcChain>
</file>

<file path=xl/sharedStrings.xml><?xml version="1.0" encoding="utf-8"?>
<sst xmlns="http://schemas.openxmlformats.org/spreadsheetml/2006/main" count="130" uniqueCount="90">
  <si>
    <t>Sedgwick County, Kansas</t>
  </si>
  <si>
    <t>Unified School District No. 261</t>
  </si>
  <si>
    <t>Haysville Schools</t>
  </si>
  <si>
    <t>Rate</t>
  </si>
  <si>
    <t>Interest</t>
  </si>
  <si>
    <t>P &amp; I</t>
  </si>
  <si>
    <t>Totals</t>
  </si>
  <si>
    <t>Net P &amp; I</t>
  </si>
  <si>
    <t>Total</t>
  </si>
  <si>
    <t>Assumed</t>
  </si>
  <si>
    <t>Less State Aid</t>
  </si>
  <si>
    <t>Series 2011 QZAB</t>
  </si>
  <si>
    <t>Sept.</t>
  </si>
  <si>
    <t>Principal</t>
  </si>
  <si>
    <t>Sources:</t>
  </si>
  <si>
    <t>2025 Bond Amount</t>
  </si>
  <si>
    <t>Uses:</t>
  </si>
  <si>
    <t>2025 Project Fund</t>
  </si>
  <si>
    <t>Capitalized Interest</t>
  </si>
  <si>
    <t>Contingency</t>
  </si>
  <si>
    <t>Local Mills</t>
  </si>
  <si>
    <t>Average Mills</t>
  </si>
  <si>
    <t>The Wichita Public Finance Office of</t>
  </si>
  <si>
    <t>2011 AV</t>
  </si>
  <si>
    <t>Series 2025 New Money Bond Issue</t>
  </si>
  <si>
    <t>2024 AV</t>
  </si>
  <si>
    <t>EAV*</t>
  </si>
  <si>
    <t>*</t>
  </si>
  <si>
    <t>Steve Shogren &amp; Bret Shogren</t>
  </si>
  <si>
    <t>25-Year Finance at 13.991 Mills (No Increase)</t>
  </si>
  <si>
    <t>Plus 2.5%</t>
  </si>
  <si>
    <t>Dated: June 1, 2025</t>
  </si>
  <si>
    <t>Tax Delinqu.</t>
  </si>
  <si>
    <t>2025 School Improvement Bond Issue</t>
  </si>
  <si>
    <t>Finance Assumptions</t>
  </si>
  <si>
    <t>Existing Outstanding Bonded Indebtedness</t>
  </si>
  <si>
    <t>Series 2013</t>
  </si>
  <si>
    <t>2.0 -2.3%</t>
  </si>
  <si>
    <t>matures 2027</t>
  </si>
  <si>
    <t>Series 2015</t>
  </si>
  <si>
    <t>matures  2032</t>
  </si>
  <si>
    <t>Series 2015-2</t>
  </si>
  <si>
    <t>matures 2035</t>
  </si>
  <si>
    <t>Series 2016</t>
  </si>
  <si>
    <t>Series 2020</t>
  </si>
  <si>
    <t>matures 2030</t>
  </si>
  <si>
    <t>matures 2028</t>
  </si>
  <si>
    <t>Current Balance</t>
  </si>
  <si>
    <t>Fall 2024 Retiring</t>
  </si>
  <si>
    <t>January 1, 2025 Balance</t>
  </si>
  <si>
    <t>2024 Equalized Assessed Valuation  $251,981,840</t>
  </si>
  <si>
    <t>13-Year Increase</t>
  </si>
  <si>
    <t>Average Yearly Growth</t>
  </si>
  <si>
    <t>Next 10 Years</t>
  </si>
  <si>
    <t>Assumed Annual Future Growth</t>
  </si>
  <si>
    <t>After 2035</t>
  </si>
  <si>
    <t>Bond &amp; Interest State Aid</t>
  </si>
  <si>
    <t>Bonds Approved Prior to 7/1/2015   94%</t>
  </si>
  <si>
    <t>Bonds Approved Currently 43%</t>
  </si>
  <si>
    <t>Estimated Finance Rates</t>
  </si>
  <si>
    <t>20-Year Bonds</t>
  </si>
  <si>
    <t>25-Year Bonds</t>
  </si>
  <si>
    <t>Historic Valuation Growth (not incl. motor vehicles)</t>
  </si>
  <si>
    <t>$77 Million Project Fund</t>
  </si>
  <si>
    <t>Current USD 261 Bond &amp; Interest Mills</t>
  </si>
  <si>
    <t>13.991 Mills</t>
  </si>
  <si>
    <t>Information Provided By:</t>
  </si>
  <si>
    <t>COI (1.40%)</t>
  </si>
  <si>
    <t>(But assumed to reduce by 2% per year)</t>
  </si>
  <si>
    <t>Comb. Mills**</t>
  </si>
  <si>
    <t>**</t>
  </si>
  <si>
    <t>outstanding</t>
  </si>
  <si>
    <t xml:space="preserve">Combined mills 2026-2035 include mills for existing bonds </t>
  </si>
  <si>
    <t>2035 and at 1.5% per year thereafter.</t>
  </si>
  <si>
    <t>Stifel, Nicolaus &amp; Company, Inc.</t>
  </si>
  <si>
    <t>3.0 - 5.0%</t>
  </si>
  <si>
    <t>2.0 - 4.0%</t>
  </si>
  <si>
    <t>2.0 - 3.0%</t>
  </si>
  <si>
    <t>at 4%</t>
  </si>
  <si>
    <t>Reinv. Interest 2.15%</t>
  </si>
  <si>
    <t xml:space="preserve">Less Transfer </t>
  </si>
  <si>
    <t>from CBR</t>
  </si>
  <si>
    <t>COI (1.45%)</t>
  </si>
  <si>
    <t>Reinvestment Interest at 2%</t>
  </si>
  <si>
    <t>$80.15 Million Project Fund</t>
  </si>
  <si>
    <t>20-Year Finance at 13.991 Mills (No Increase)</t>
  </si>
  <si>
    <t xml:space="preserve">Assessed Valuation assumed to grow at 2.5% per year thru </t>
  </si>
  <si>
    <t>ORIGINAL PLAN OF FINANCE</t>
  </si>
  <si>
    <t>REVISED PLAN WITH CASH BASIS</t>
  </si>
  <si>
    <t>RESERVE INJECTIONS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</si>
</sst>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0.000"/>
    <numFmt numFmtId="166" formatCode="_(&quot;$&quot;* #,##0_);_(&quot;$&quot;* \(#,##0\);_(&quot;$&quot;* &quot;-&quot;????_);_(@_)"/>
    <numFmt numFmtId="167" formatCode="0.0%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57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 val="singleAccounting"/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u/>
      <sz val="18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u/>
      <sz val="18"/>
      <color theme="1"/>
      <name val="Aptos Narrow"/>
      <family val="2"/>
      <scheme val="minor"/>
    </font>
    <font>
      <u val="singleAccounting"/>
      <sz val="18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5"/>
      </patternFill>
    </fill>
    <fill>
      <patternFill patternType="solid">
        <fgColor theme="7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2" borderId="0" applyNumberFormat="0" applyBorder="0" applyAlignment="0" applyProtection="0"/>
    <xf numFmtId="0" fontId="5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</cellStyleXfs>
  <cellXfs count="52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10" fontId="0" fillId="0" borderId="0" xfId="2" applyNumberFormat="1" applyFont="1"/>
    <xf numFmtId="44" fontId="0" fillId="0" borderId="0" xfId="1" applyFont="1"/>
    <xf numFmtId="164" fontId="0" fillId="0" borderId="0" xfId="1" applyNumberFormat="1" applyFont="1"/>
    <xf numFmtId="165" fontId="0" fillId="0" borderId="0" xfId="0" applyNumberFormat="1" applyAlignment="1">
      <alignment horizontal="center"/>
    </xf>
    <xf numFmtId="0" fontId="3" fillId="0" borderId="0" xfId="0" applyFont="1"/>
    <xf numFmtId="0" fontId="6" fillId="0" borderId="0" xfId="0" applyFont="1"/>
    <xf numFmtId="164" fontId="0" fillId="0" borderId="0" xfId="0" applyNumberFormat="1"/>
    <xf numFmtId="44" fontId="0" fillId="0" borderId="0" xfId="0" applyNumberFormat="1"/>
    <xf numFmtId="164" fontId="8" fillId="0" borderId="0" xfId="1" applyNumberFormat="1" applyFont="1"/>
    <xf numFmtId="0" fontId="4" fillId="2" borderId="0" xfId="3"/>
    <xf numFmtId="10" fontId="7" fillId="5" borderId="0" xfId="6" applyNumberFormat="1"/>
    <xf numFmtId="2" fontId="0" fillId="0" borderId="0" xfId="0" applyNumberFormat="1" applyAlignment="1">
      <alignment horizontal="center"/>
    </xf>
    <xf numFmtId="44" fontId="2" fillId="0" borderId="0" xfId="1" applyFont="1"/>
    <xf numFmtId="44" fontId="8" fillId="0" borderId="0" xfId="1" applyFont="1"/>
    <xf numFmtId="0" fontId="9" fillId="0" borderId="0" xfId="0" applyFont="1"/>
    <xf numFmtId="165" fontId="5" fillId="3" borderId="0" xfId="4" applyNumberFormat="1" applyAlignment="1">
      <alignment horizontal="center"/>
    </xf>
    <xf numFmtId="44" fontId="4" fillId="2" borderId="0" xfId="3" applyNumberFormat="1"/>
    <xf numFmtId="2" fontId="7" fillId="4" borderId="0" xfId="5" applyNumberFormat="1" applyAlignment="1">
      <alignment horizontal="left"/>
    </xf>
    <xf numFmtId="0" fontId="5" fillId="3" borderId="0" xfId="4" applyAlignment="1">
      <alignment horizontal="center"/>
    </xf>
    <xf numFmtId="164" fontId="1" fillId="0" borderId="0" xfId="1" applyNumberFormat="1" applyFont="1"/>
    <xf numFmtId="0" fontId="0" fillId="0" borderId="0" xfId="0" applyAlignment="1">
      <alignment horizontal="right"/>
    </xf>
    <xf numFmtId="164" fontId="8" fillId="0" borderId="0" xfId="0" applyNumberFormat="1" applyFont="1"/>
    <xf numFmtId="10" fontId="2" fillId="0" borderId="0" xfId="2" applyNumberFormat="1" applyFont="1"/>
    <xf numFmtId="10" fontId="0" fillId="0" borderId="0" xfId="0" applyNumberFormat="1"/>
    <xf numFmtId="0" fontId="8" fillId="0" borderId="0" xfId="0" applyFont="1"/>
    <xf numFmtId="166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10" fillId="0" borderId="0" xfId="0" applyFont="1" applyAlignment="1">
      <alignment horizontal="center"/>
    </xf>
    <xf numFmtId="0" fontId="11" fillId="0" borderId="0" xfId="0" applyFont="1"/>
    <xf numFmtId="0" fontId="9" fillId="0" borderId="0" xfId="0" applyFont="1" applyAlignment="1">
      <alignment horizontal="center"/>
    </xf>
    <xf numFmtId="10" fontId="7" fillId="5" borderId="0" xfId="6" applyNumberFormat="1" applyAlignment="1">
      <alignment horizontal="center"/>
    </xf>
    <xf numFmtId="0" fontId="5" fillId="3" borderId="0" xfId="4" applyAlignment="1">
      <alignment horizontal="right"/>
    </xf>
    <xf numFmtId="164" fontId="11" fillId="0" borderId="0" xfId="1" applyNumberFormat="1" applyFont="1"/>
    <xf numFmtId="0" fontId="11" fillId="0" borderId="0" xfId="0" applyFont="1" applyAlignment="1">
      <alignment horizontal="center"/>
    </xf>
    <xf numFmtId="167" fontId="11" fillId="0" borderId="0" xfId="0" applyNumberFormat="1" applyFont="1" applyAlignment="1">
      <alignment horizontal="center"/>
    </xf>
    <xf numFmtId="164" fontId="12" fillId="0" borderId="0" xfId="1" applyNumberFormat="1" applyFont="1"/>
    <xf numFmtId="164" fontId="13" fillId="0" borderId="0" xfId="1" applyNumberFormat="1" applyFont="1"/>
    <xf numFmtId="9" fontId="11" fillId="0" borderId="0" xfId="2" applyFont="1" applyAlignment="1">
      <alignment horizontal="center"/>
    </xf>
    <xf numFmtId="164" fontId="11" fillId="0" borderId="0" xfId="0" applyNumberFormat="1" applyFont="1"/>
    <xf numFmtId="164" fontId="13" fillId="0" borderId="0" xfId="0" applyNumberFormat="1" applyFont="1"/>
    <xf numFmtId="10" fontId="11" fillId="0" borderId="0" xfId="2" applyNumberFormat="1" applyFont="1" applyAlignment="1">
      <alignment horizontal="center"/>
    </xf>
    <xf numFmtId="10" fontId="11" fillId="0" borderId="0" xfId="2" applyNumberFormat="1" applyFont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2" xfId="0" applyBorder="1"/>
    <xf numFmtId="164" fontId="0" fillId="0" borderId="2" xfId="0" applyNumberFormat="1" applyBorder="1"/>
    <xf numFmtId="164" fontId="0" fillId="0" borderId="3" xfId="0" applyNumberFormat="1" applyBorder="1"/>
    <xf numFmtId="0" fontId="5" fillId="3" borderId="0" xfId="4"/>
    <xf numFmtId="165" fontId="0" fillId="0" borderId="0" xfId="0" applyNumberFormat="1"/>
  </cellXfs>
  <cellStyles count="7">
    <cellStyle name="Accent2" xfId="5" builtinId="33"/>
    <cellStyle name="Accent4" xfId="6" builtinId="41"/>
    <cellStyle name="Currency" xfId="1" builtinId="4"/>
    <cellStyle name="Good" xfId="3" builtinId="26"/>
    <cellStyle name="Neutral" xfId="4" builtinId="2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742950</xdr:colOff>
      <xdr:row>28</xdr:row>
      <xdr:rowOff>138764</xdr:rowOff>
    </xdr:from>
    <xdr:to>
      <xdr:col>12</xdr:col>
      <xdr:colOff>390525</xdr:colOff>
      <xdr:row>30</xdr:row>
      <xdr:rowOff>173647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F04AD7B-9C70-0CBB-65AD-459B64DAD4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10575" y="7653989"/>
          <a:ext cx="3552825" cy="6381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6651D-16CD-44AC-8F13-0CE0984AE1A3}">
  <dimension ref="A1:P128"/>
  <sheetViews>
    <sheetView tabSelected="1" topLeftCell="A28" zoomScaleNormal="100" workbookViewId="0">
      <selection activeCell="R100" sqref="R100"/>
    </sheetView>
  </sheetViews>
  <sheetFormatPr defaultRowHeight="15" x14ac:dyDescent="0.25"/>
  <cols>
    <col min="1" max="1" width="16" style="1" customWidth="1"/>
    <col min="2" max="2" width="25.7109375" customWidth="1"/>
    <col min="3" max="3" width="20.7109375" customWidth="1"/>
    <col min="4" max="4" width="14" customWidth="1"/>
    <col min="5" max="5" width="16.140625" customWidth="1"/>
    <col min="6" max="6" width="15.7109375" customWidth="1"/>
    <col min="7" max="7" width="13.42578125" customWidth="1"/>
    <col min="8" max="8" width="3.7109375" customWidth="1"/>
    <col min="9" max="9" width="15.5703125" customWidth="1"/>
    <col min="10" max="11" width="13.85546875" customWidth="1"/>
    <col min="12" max="12" width="15.28515625" customWidth="1"/>
    <col min="13" max="13" width="22.85546875" customWidth="1"/>
    <col min="14" max="14" width="14.5703125" customWidth="1"/>
    <col min="15" max="15" width="3.7109375" customWidth="1"/>
    <col min="16" max="16" width="12" customWidth="1"/>
    <col min="17" max="17" width="5.140625" customWidth="1"/>
    <col min="18" max="18" width="15.7109375" customWidth="1"/>
    <col min="19" max="19" width="16.28515625" bestFit="1" customWidth="1"/>
    <col min="20" max="20" width="16" bestFit="1" customWidth="1"/>
    <col min="21" max="21" width="13.85546875" customWidth="1"/>
    <col min="22" max="22" width="3.7109375" customWidth="1"/>
    <col min="23" max="23" width="12.42578125" customWidth="1"/>
    <col min="24" max="24" width="7.140625" customWidth="1"/>
    <col min="25" max="25" width="14.28515625" bestFit="1" customWidth="1"/>
    <col min="26" max="26" width="15.28515625" bestFit="1" customWidth="1"/>
    <col min="27" max="27" width="15" bestFit="1" customWidth="1"/>
    <col min="28" max="28" width="15.28515625" bestFit="1" customWidth="1"/>
    <col min="29" max="29" width="3.7109375" customWidth="1"/>
    <col min="30" max="30" width="11.5703125" customWidth="1"/>
    <col min="31" max="31" width="6.7109375" customWidth="1"/>
    <col min="32" max="33" width="14.28515625" bestFit="1" customWidth="1"/>
    <col min="34" max="34" width="15" bestFit="1" customWidth="1"/>
    <col min="35" max="35" width="12.5703125" bestFit="1" customWidth="1"/>
    <col min="36" max="36" width="3.7109375" customWidth="1"/>
    <col min="37" max="37" width="14.28515625" bestFit="1" customWidth="1"/>
  </cols>
  <sheetData>
    <row r="1" spans="1:14" ht="24" x14ac:dyDescent="0.4">
      <c r="A1" s="36"/>
      <c r="B1" s="31"/>
      <c r="C1" s="32" t="s">
        <v>0</v>
      </c>
      <c r="D1" s="31"/>
      <c r="E1" s="31"/>
      <c r="F1" s="32"/>
      <c r="G1" s="31"/>
      <c r="H1" s="31"/>
      <c r="I1" s="32"/>
      <c r="J1" s="31"/>
      <c r="K1" s="31"/>
      <c r="L1" s="32" t="s">
        <v>33</v>
      </c>
      <c r="M1" s="31"/>
      <c r="N1" s="31"/>
    </row>
    <row r="2" spans="1:14" ht="24" x14ac:dyDescent="0.4">
      <c r="A2" s="36"/>
      <c r="B2" s="31"/>
      <c r="C2" s="32" t="s">
        <v>1</v>
      </c>
      <c r="D2" s="31"/>
      <c r="E2" s="31"/>
      <c r="F2" s="32"/>
      <c r="G2" s="31"/>
      <c r="H2" s="31"/>
      <c r="I2" s="32"/>
      <c r="J2" s="31"/>
      <c r="K2" s="31"/>
      <c r="L2" s="32" t="s">
        <v>34</v>
      </c>
      <c r="M2" s="31"/>
      <c r="N2" s="31"/>
    </row>
    <row r="3" spans="1:14" ht="24" x14ac:dyDescent="0.4">
      <c r="A3" s="36"/>
      <c r="B3" s="31"/>
      <c r="C3" s="32" t="s">
        <v>2</v>
      </c>
      <c r="D3" s="31"/>
      <c r="E3" s="31"/>
      <c r="F3" s="32"/>
      <c r="G3" s="31"/>
      <c r="H3" s="31"/>
      <c r="I3" s="32"/>
      <c r="J3" s="31"/>
      <c r="K3" s="31"/>
      <c r="L3" s="31"/>
      <c r="M3" s="31"/>
      <c r="N3" s="31"/>
    </row>
    <row r="4" spans="1:14" ht="24" x14ac:dyDescent="0.4">
      <c r="A4" s="36"/>
      <c r="B4" s="31"/>
      <c r="C4" s="31"/>
      <c r="D4" s="31"/>
      <c r="E4" s="31"/>
      <c r="F4" s="31"/>
      <c r="G4" s="31"/>
      <c r="H4" s="32"/>
      <c r="I4" s="31"/>
      <c r="J4" s="31"/>
      <c r="K4" s="31"/>
      <c r="L4" s="31"/>
      <c r="M4" s="31"/>
      <c r="N4" s="31"/>
    </row>
    <row r="5" spans="1:14" ht="24" x14ac:dyDescent="0.4">
      <c r="A5" s="36"/>
      <c r="B5" s="31"/>
      <c r="C5" s="31"/>
      <c r="D5" s="32" t="s">
        <v>35</v>
      </c>
      <c r="E5" s="31"/>
      <c r="F5" s="31"/>
      <c r="G5" s="31"/>
      <c r="H5" s="31"/>
      <c r="I5" s="32"/>
      <c r="J5" s="31"/>
      <c r="K5" s="31"/>
      <c r="L5" s="32" t="s">
        <v>50</v>
      </c>
      <c r="M5" s="31"/>
      <c r="N5" s="31"/>
    </row>
    <row r="6" spans="1:14" ht="24" x14ac:dyDescent="0.4">
      <c r="A6" s="36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</row>
    <row r="7" spans="1:14" ht="24" x14ac:dyDescent="0.4">
      <c r="A7" s="36"/>
      <c r="B7" s="31" t="s">
        <v>36</v>
      </c>
      <c r="C7" s="35">
        <v>7285000</v>
      </c>
      <c r="D7" s="31"/>
      <c r="E7" s="36" t="s">
        <v>37</v>
      </c>
      <c r="F7" s="31" t="s">
        <v>38</v>
      </c>
      <c r="G7" s="31"/>
      <c r="H7" s="35"/>
      <c r="I7" s="31"/>
      <c r="J7" s="36"/>
      <c r="K7" s="36"/>
      <c r="L7" s="30" t="s">
        <v>62</v>
      </c>
      <c r="M7" s="31"/>
      <c r="N7" s="31"/>
    </row>
    <row r="8" spans="1:14" ht="24" x14ac:dyDescent="0.4">
      <c r="A8" s="36"/>
      <c r="B8" s="31" t="s">
        <v>39</v>
      </c>
      <c r="C8" s="35">
        <v>18010000</v>
      </c>
      <c r="D8" s="31"/>
      <c r="E8" s="37">
        <v>0.04</v>
      </c>
      <c r="F8" s="31" t="s">
        <v>40</v>
      </c>
      <c r="G8" s="31"/>
      <c r="H8" s="35"/>
      <c r="I8" s="31"/>
      <c r="J8" s="31" t="s">
        <v>23</v>
      </c>
      <c r="K8" s="31"/>
      <c r="L8" s="31"/>
      <c r="M8" s="35">
        <v>133326364</v>
      </c>
      <c r="N8" s="31"/>
    </row>
    <row r="9" spans="1:14" ht="24" x14ac:dyDescent="0.4">
      <c r="A9" s="36"/>
      <c r="B9" s="31" t="s">
        <v>41</v>
      </c>
      <c r="C9" s="35">
        <v>23895000</v>
      </c>
      <c r="D9" s="31"/>
      <c r="E9" s="36" t="s">
        <v>75</v>
      </c>
      <c r="F9" s="31" t="s">
        <v>42</v>
      </c>
      <c r="G9" s="31"/>
      <c r="H9" s="35"/>
      <c r="I9" s="31"/>
      <c r="J9" s="31" t="s">
        <v>25</v>
      </c>
      <c r="K9" s="31"/>
      <c r="L9" s="31"/>
      <c r="M9" s="38">
        <v>224105551</v>
      </c>
      <c r="N9" s="31"/>
    </row>
    <row r="10" spans="1:14" ht="24" x14ac:dyDescent="0.4">
      <c r="A10" s="36"/>
      <c r="B10" s="31" t="s">
        <v>43</v>
      </c>
      <c r="C10" s="35">
        <v>20750000</v>
      </c>
      <c r="D10" s="31"/>
      <c r="E10" s="36" t="s">
        <v>76</v>
      </c>
      <c r="F10" s="31" t="s">
        <v>42</v>
      </c>
      <c r="G10" s="31"/>
      <c r="H10" s="35"/>
      <c r="I10" s="31"/>
      <c r="J10" s="31" t="s">
        <v>51</v>
      </c>
      <c r="K10" s="31"/>
      <c r="L10" s="31"/>
      <c r="M10" s="35">
        <f>M9-M8</f>
        <v>90779187</v>
      </c>
      <c r="N10" s="44">
        <f>M10/M8</f>
        <v>0.68087949207105058</v>
      </c>
    </row>
    <row r="11" spans="1:14" ht="24" x14ac:dyDescent="0.4">
      <c r="A11" s="36"/>
      <c r="B11" s="31" t="s">
        <v>44</v>
      </c>
      <c r="C11" s="35">
        <v>6470000</v>
      </c>
      <c r="D11" s="31"/>
      <c r="E11" s="36" t="s">
        <v>77</v>
      </c>
      <c r="F11" s="31" t="s">
        <v>45</v>
      </c>
      <c r="G11" s="31"/>
      <c r="H11" s="35"/>
      <c r="I11" s="31"/>
      <c r="J11" s="31" t="s">
        <v>52</v>
      </c>
      <c r="K11" s="31"/>
      <c r="L11" s="31"/>
      <c r="M11" s="31"/>
      <c r="N11" s="44">
        <f>N10/13</f>
        <v>5.237534554392697E-2</v>
      </c>
    </row>
    <row r="12" spans="1:14" ht="26.25" x14ac:dyDescent="0.55000000000000004">
      <c r="A12" s="36"/>
      <c r="B12" s="31" t="s">
        <v>11</v>
      </c>
      <c r="C12" s="39">
        <v>1025000</v>
      </c>
      <c r="D12" s="31"/>
      <c r="E12" s="40">
        <v>0</v>
      </c>
      <c r="F12" s="31" t="s">
        <v>46</v>
      </c>
      <c r="G12" s="31"/>
      <c r="H12" s="39"/>
      <c r="I12" s="31"/>
      <c r="J12" s="31"/>
      <c r="K12" s="31"/>
      <c r="L12" s="31"/>
      <c r="M12" s="31"/>
      <c r="N12" s="31"/>
    </row>
    <row r="13" spans="1:14" ht="24" x14ac:dyDescent="0.4">
      <c r="A13" s="36"/>
      <c r="B13" s="31"/>
      <c r="C13" s="41">
        <f>SUM(C7:C12)</f>
        <v>77435000</v>
      </c>
      <c r="D13" s="31"/>
      <c r="E13" s="36" t="s">
        <v>47</v>
      </c>
      <c r="F13" s="31"/>
      <c r="G13" s="31"/>
      <c r="H13" s="31"/>
      <c r="I13" s="31"/>
      <c r="J13" s="40"/>
      <c r="K13" s="40"/>
      <c r="L13" s="31"/>
      <c r="M13" s="31"/>
      <c r="N13" s="31"/>
    </row>
    <row r="14" spans="1:14" ht="26.25" x14ac:dyDescent="0.55000000000000004">
      <c r="A14" s="36"/>
      <c r="B14" s="31"/>
      <c r="C14" s="42">
        <v>-5350000</v>
      </c>
      <c r="D14" s="31"/>
      <c r="E14" s="36" t="s">
        <v>48</v>
      </c>
      <c r="F14" s="31"/>
      <c r="G14" s="31"/>
      <c r="H14" s="31"/>
      <c r="I14" s="31"/>
      <c r="J14" s="31"/>
      <c r="K14" s="31"/>
      <c r="L14" s="30" t="s">
        <v>54</v>
      </c>
      <c r="M14" s="31"/>
      <c r="N14" s="31"/>
    </row>
    <row r="15" spans="1:14" ht="24" x14ac:dyDescent="0.4">
      <c r="A15" s="36"/>
      <c r="B15" s="31"/>
      <c r="C15" s="41">
        <f>C13+C14</f>
        <v>72085000</v>
      </c>
      <c r="D15" s="31"/>
      <c r="E15" s="36" t="s">
        <v>49</v>
      </c>
      <c r="F15" s="31"/>
      <c r="G15" s="31"/>
      <c r="H15" s="31"/>
      <c r="I15" s="31"/>
      <c r="J15" s="31" t="s">
        <v>53</v>
      </c>
      <c r="K15" s="31"/>
      <c r="L15" s="31"/>
      <c r="M15" s="43">
        <v>2.5000000000000001E-2</v>
      </c>
      <c r="N15" s="31"/>
    </row>
    <row r="16" spans="1:14" ht="24" x14ac:dyDescent="0.4">
      <c r="A16" s="36"/>
      <c r="B16" s="31"/>
      <c r="C16" s="41"/>
      <c r="D16" s="31"/>
      <c r="E16" s="36"/>
      <c r="F16" s="31"/>
      <c r="G16" s="31"/>
      <c r="H16" s="31"/>
      <c r="I16" s="31"/>
      <c r="J16" s="31" t="s">
        <v>55</v>
      </c>
      <c r="K16" s="31"/>
      <c r="L16" s="31"/>
      <c r="M16" s="43">
        <v>1.4999999999999999E-2</v>
      </c>
      <c r="N16" s="31"/>
    </row>
    <row r="17" spans="1:14" ht="24" x14ac:dyDescent="0.4">
      <c r="A17" s="36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43"/>
      <c r="N17" s="31"/>
    </row>
    <row r="18" spans="1:14" ht="24" x14ac:dyDescent="0.4">
      <c r="A18" s="36"/>
      <c r="B18" s="31"/>
      <c r="C18" s="31"/>
      <c r="D18" s="30" t="s">
        <v>56</v>
      </c>
      <c r="E18" s="31"/>
      <c r="F18" s="31"/>
      <c r="G18" s="31"/>
      <c r="H18" s="31"/>
      <c r="I18" s="31"/>
      <c r="J18" s="31"/>
      <c r="K18" s="31"/>
      <c r="L18" s="31"/>
      <c r="M18" s="31"/>
      <c r="N18" s="31"/>
    </row>
    <row r="19" spans="1:14" ht="24" x14ac:dyDescent="0.4">
      <c r="A19" s="36"/>
      <c r="B19" s="31"/>
      <c r="C19" s="31"/>
      <c r="D19" s="36" t="s">
        <v>57</v>
      </c>
      <c r="E19" s="31"/>
      <c r="F19" s="31"/>
      <c r="G19" s="31"/>
      <c r="H19" s="31"/>
      <c r="I19" s="31"/>
      <c r="J19" s="31"/>
      <c r="K19" s="31"/>
      <c r="L19" s="30" t="s">
        <v>64</v>
      </c>
      <c r="M19" s="31"/>
      <c r="N19" s="31"/>
    </row>
    <row r="20" spans="1:14" ht="24" x14ac:dyDescent="0.4">
      <c r="A20" s="36"/>
      <c r="B20" s="31"/>
      <c r="C20" s="31"/>
      <c r="D20" s="36" t="s">
        <v>58</v>
      </c>
      <c r="E20" s="31"/>
      <c r="F20" s="31"/>
      <c r="G20" s="31"/>
      <c r="H20" s="31"/>
      <c r="I20" s="31"/>
      <c r="J20" s="31"/>
      <c r="K20" s="31"/>
      <c r="L20" s="36" t="s">
        <v>65</v>
      </c>
      <c r="M20" s="31"/>
      <c r="N20" s="31"/>
    </row>
    <row r="21" spans="1:14" ht="24" x14ac:dyDescent="0.4">
      <c r="A21" s="36"/>
      <c r="B21" s="31"/>
      <c r="C21" s="31"/>
      <c r="D21" s="36" t="s">
        <v>68</v>
      </c>
      <c r="E21" s="31"/>
      <c r="F21" s="31"/>
      <c r="G21" s="31"/>
      <c r="H21" s="31"/>
      <c r="I21" s="30"/>
      <c r="J21" s="31"/>
      <c r="K21" s="31"/>
      <c r="L21" s="36"/>
      <c r="M21" s="31"/>
      <c r="N21" s="31"/>
    </row>
    <row r="22" spans="1:14" ht="24" x14ac:dyDescent="0.4">
      <c r="A22" s="36"/>
      <c r="B22" s="31"/>
      <c r="C22" s="31"/>
      <c r="D22" s="36"/>
      <c r="E22" s="31"/>
      <c r="F22" s="31"/>
      <c r="G22" s="31"/>
      <c r="H22" s="31"/>
      <c r="I22" s="31"/>
      <c r="J22" s="35"/>
      <c r="K22" s="35"/>
      <c r="L22" s="36"/>
      <c r="M22" s="31"/>
      <c r="N22" s="31"/>
    </row>
    <row r="23" spans="1:14" ht="24" x14ac:dyDescent="0.4">
      <c r="A23" s="36"/>
      <c r="B23" s="31"/>
      <c r="C23" s="31"/>
      <c r="D23" s="31"/>
      <c r="E23" s="31"/>
      <c r="F23" s="31"/>
      <c r="G23" s="31"/>
      <c r="H23" s="31"/>
      <c r="I23" s="31"/>
      <c r="J23" s="35"/>
      <c r="K23" s="35"/>
      <c r="L23" s="36"/>
      <c r="M23" s="31"/>
      <c r="N23" s="31"/>
    </row>
    <row r="24" spans="1:14" ht="24" x14ac:dyDescent="0.4">
      <c r="A24" s="36"/>
      <c r="B24" s="31"/>
      <c r="C24" s="31"/>
      <c r="D24" s="30" t="s">
        <v>59</v>
      </c>
      <c r="E24" s="31"/>
      <c r="F24" s="31"/>
      <c r="G24" s="31"/>
      <c r="H24" s="31"/>
      <c r="I24" s="31"/>
      <c r="J24" s="35"/>
      <c r="K24" s="35"/>
      <c r="L24" s="32" t="s">
        <v>66</v>
      </c>
      <c r="M24" s="31"/>
      <c r="N24" s="31"/>
    </row>
    <row r="25" spans="1:14" ht="24" x14ac:dyDescent="0.4">
      <c r="A25" s="36"/>
      <c r="B25" s="31"/>
      <c r="C25" s="31" t="s">
        <v>60</v>
      </c>
      <c r="D25" s="31"/>
      <c r="E25" s="43">
        <v>4.2500000000000003E-2</v>
      </c>
      <c r="F25" s="31"/>
      <c r="G25" s="31"/>
      <c r="H25" s="31"/>
      <c r="I25" s="31"/>
      <c r="J25" s="31"/>
      <c r="K25" s="31"/>
      <c r="L25" s="32" t="s">
        <v>28</v>
      </c>
      <c r="M25" s="31"/>
      <c r="N25" s="31"/>
    </row>
    <row r="26" spans="1:14" ht="24" x14ac:dyDescent="0.4">
      <c r="A26" s="36"/>
      <c r="B26" s="31"/>
      <c r="C26" s="31" t="s">
        <v>61</v>
      </c>
      <c r="D26" s="31"/>
      <c r="E26" s="43">
        <v>4.4999999999999998E-2</v>
      </c>
      <c r="F26" s="31"/>
      <c r="G26" s="31"/>
      <c r="H26" s="31"/>
      <c r="I26" s="31"/>
      <c r="J26" s="31"/>
      <c r="K26" s="31"/>
      <c r="L26" s="32" t="s">
        <v>22</v>
      </c>
      <c r="M26" s="31"/>
      <c r="N26" s="31"/>
    </row>
    <row r="27" spans="1:14" ht="24" x14ac:dyDescent="0.4">
      <c r="A27" s="36"/>
      <c r="B27" s="31"/>
      <c r="C27" s="31"/>
      <c r="D27" s="31"/>
      <c r="E27" s="43"/>
      <c r="F27" s="31"/>
      <c r="G27" s="31"/>
      <c r="H27" s="31"/>
      <c r="I27" s="30"/>
      <c r="J27" s="31"/>
      <c r="K27" s="31"/>
      <c r="L27" s="32" t="s">
        <v>74</v>
      </c>
      <c r="M27" s="31"/>
      <c r="N27" s="31"/>
    </row>
    <row r="28" spans="1:14" ht="24" x14ac:dyDescent="0.4">
      <c r="A28" s="36"/>
      <c r="B28" s="31"/>
      <c r="C28" s="31"/>
      <c r="D28" s="31"/>
      <c r="E28" s="31"/>
      <c r="F28" s="31"/>
      <c r="G28" s="31"/>
      <c r="H28" s="31"/>
      <c r="I28" s="43"/>
      <c r="J28" s="31"/>
      <c r="K28" s="31"/>
      <c r="L28" s="31"/>
      <c r="M28" s="31"/>
      <c r="N28" s="31"/>
    </row>
    <row r="29" spans="1:14" ht="24" x14ac:dyDescent="0.4">
      <c r="A29" s="36"/>
      <c r="B29" s="31"/>
      <c r="C29" s="31"/>
      <c r="D29" s="31"/>
      <c r="E29" s="31"/>
      <c r="F29" s="31"/>
      <c r="G29" s="31"/>
      <c r="H29" s="31"/>
      <c r="I29" s="43"/>
      <c r="J29" s="31"/>
      <c r="K29" s="31"/>
      <c r="L29" s="31"/>
      <c r="M29" s="31"/>
      <c r="N29" s="31"/>
    </row>
    <row r="30" spans="1:14" ht="24" x14ac:dyDescent="0.4">
      <c r="A30" s="36"/>
      <c r="B30" s="31"/>
      <c r="C30" s="31"/>
      <c r="D30" s="31"/>
      <c r="E30" s="31"/>
      <c r="F30" s="31"/>
      <c r="G30" s="31"/>
      <c r="H30" s="31"/>
      <c r="I30" s="43"/>
      <c r="J30" s="31"/>
      <c r="K30" s="31"/>
      <c r="L30" s="31"/>
      <c r="M30" s="31"/>
      <c r="N30" s="31"/>
    </row>
    <row r="31" spans="1:14" ht="24" x14ac:dyDescent="0.4">
      <c r="A31" s="36"/>
      <c r="B31" s="31"/>
      <c r="C31" s="31"/>
      <c r="D31" s="31"/>
      <c r="E31" s="31"/>
      <c r="F31" s="31"/>
      <c r="G31" s="31"/>
      <c r="H31" s="31"/>
      <c r="I31" s="43"/>
      <c r="J31" s="31"/>
      <c r="K31" s="31"/>
      <c r="L31" s="31"/>
      <c r="M31" s="31"/>
      <c r="N31" s="31"/>
    </row>
    <row r="32" spans="1:14" ht="24" x14ac:dyDescent="0.4">
      <c r="A32" s="36"/>
      <c r="B32" s="31"/>
      <c r="C32" s="31"/>
      <c r="D32" s="31"/>
      <c r="E32" s="31"/>
      <c r="F32" s="31"/>
      <c r="G32" s="31"/>
      <c r="H32" s="31"/>
      <c r="I32" s="43"/>
      <c r="J32" s="31"/>
      <c r="K32" s="31"/>
      <c r="L32" s="31"/>
      <c r="M32" s="31"/>
      <c r="N32" s="31"/>
    </row>
    <row r="33" spans="1:16" ht="24" x14ac:dyDescent="0.4">
      <c r="A33" s="36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</row>
    <row r="34" spans="1:16" ht="24" x14ac:dyDescent="0.4">
      <c r="A34" s="36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</row>
    <row r="35" spans="1:16" ht="24" x14ac:dyDescent="0.4">
      <c r="B35" s="17" t="s">
        <v>0</v>
      </c>
      <c r="E35" s="4"/>
      <c r="G35" s="7" t="s">
        <v>63</v>
      </c>
      <c r="L35" s="7" t="s">
        <v>87</v>
      </c>
    </row>
    <row r="36" spans="1:16" ht="24" x14ac:dyDescent="0.4">
      <c r="B36" s="17" t="s">
        <v>1</v>
      </c>
      <c r="E36" s="4"/>
      <c r="G36" s="7" t="s">
        <v>29</v>
      </c>
    </row>
    <row r="37" spans="1:16" ht="24" x14ac:dyDescent="0.4">
      <c r="B37" s="17" t="s">
        <v>2</v>
      </c>
      <c r="E37" s="4"/>
    </row>
    <row r="39" spans="1:16" ht="24" x14ac:dyDescent="0.4">
      <c r="B39" s="17" t="s">
        <v>24</v>
      </c>
    </row>
    <row r="40" spans="1:16" x14ac:dyDescent="0.25">
      <c r="B40" t="s">
        <v>31</v>
      </c>
      <c r="N40" s="21">
        <v>13.991</v>
      </c>
    </row>
    <row r="41" spans="1:16" x14ac:dyDescent="0.25">
      <c r="J41" s="1" t="s">
        <v>30</v>
      </c>
      <c r="K41" s="1"/>
      <c r="L41" s="1" t="s">
        <v>9</v>
      </c>
    </row>
    <row r="42" spans="1:16" x14ac:dyDescent="0.25">
      <c r="A42" s="2" t="s">
        <v>12</v>
      </c>
      <c r="B42" s="2" t="s">
        <v>13</v>
      </c>
      <c r="C42" s="2" t="s">
        <v>3</v>
      </c>
      <c r="D42" s="2" t="s">
        <v>4</v>
      </c>
      <c r="E42" s="2" t="s">
        <v>5</v>
      </c>
      <c r="F42" s="2" t="s">
        <v>10</v>
      </c>
      <c r="I42" s="2" t="s">
        <v>7</v>
      </c>
      <c r="J42" s="2" t="s">
        <v>32</v>
      </c>
      <c r="K42" s="2"/>
      <c r="L42" s="2" t="s">
        <v>26</v>
      </c>
      <c r="M42" s="2" t="s">
        <v>20</v>
      </c>
      <c r="N42" s="2" t="s">
        <v>69</v>
      </c>
    </row>
    <row r="43" spans="1:16" x14ac:dyDescent="0.25">
      <c r="A43" s="1">
        <v>2025</v>
      </c>
      <c r="B43" s="5"/>
      <c r="C43" s="13"/>
      <c r="D43" s="4"/>
      <c r="E43" s="4"/>
      <c r="F43" s="4"/>
      <c r="G43" s="20"/>
      <c r="H43" s="4"/>
      <c r="I43" s="4"/>
      <c r="L43" s="9">
        <v>251981840</v>
      </c>
      <c r="M43" s="14"/>
      <c r="N43" s="6"/>
    </row>
    <row r="44" spans="1:16" x14ac:dyDescent="0.25">
      <c r="A44" s="1">
        <v>2026</v>
      </c>
      <c r="B44" s="5">
        <v>575000</v>
      </c>
      <c r="C44" s="33">
        <v>4.4999999999999998E-2</v>
      </c>
      <c r="D44" s="4">
        <f>(B44*C44)+D45/12*15</f>
        <v>4294968.75</v>
      </c>
      <c r="E44" s="4">
        <f t="shared" ref="E44:E60" si="0">B44+D44</f>
        <v>4869968.75</v>
      </c>
      <c r="F44" s="4">
        <f t="shared" ref="F44:F64" si="1">-E44*G44</f>
        <v>-1996687.1874999998</v>
      </c>
      <c r="G44" s="20">
        <v>0.41</v>
      </c>
      <c r="H44" s="4"/>
      <c r="I44" s="4">
        <f t="shared" ref="I44:I60" si="2">E44+F44</f>
        <v>2873281.5625</v>
      </c>
      <c r="J44" s="10">
        <f>I44*0.025</f>
        <v>71832.0390625</v>
      </c>
      <c r="K44" s="10"/>
      <c r="L44" s="9">
        <f>L43*1.025</f>
        <v>258281385.99999997</v>
      </c>
      <c r="M44" s="14">
        <f>(I44+J44)/(L44/1000)</f>
        <v>11.402732683037796</v>
      </c>
      <c r="N44" s="6">
        <v>13.991</v>
      </c>
      <c r="P44" s="1"/>
    </row>
    <row r="45" spans="1:16" x14ac:dyDescent="0.25">
      <c r="A45" s="1">
        <v>2027</v>
      </c>
      <c r="B45" s="5">
        <v>1435000</v>
      </c>
      <c r="C45" s="33">
        <v>4.4999999999999998E-2</v>
      </c>
      <c r="D45" s="4">
        <f t="shared" ref="D45:D51" si="3">(B45*C45)+D46</f>
        <v>3415275</v>
      </c>
      <c r="E45" s="4">
        <f t="shared" si="0"/>
        <v>4850275</v>
      </c>
      <c r="F45" s="4">
        <f t="shared" si="1"/>
        <v>-1891607.25</v>
      </c>
      <c r="G45" s="20">
        <v>0.39</v>
      </c>
      <c r="H45" s="4"/>
      <c r="I45" s="4">
        <f t="shared" si="2"/>
        <v>2958667.75</v>
      </c>
      <c r="J45" s="10">
        <f t="shared" ref="J45:J68" si="4">I45*0.025</f>
        <v>73966.693750000006</v>
      </c>
      <c r="K45" s="10"/>
      <c r="L45" s="9">
        <f t="shared" ref="L45:L53" si="5">L44*1.025</f>
        <v>264738420.64999995</v>
      </c>
      <c r="M45" s="14">
        <f t="shared" ref="M45:M68" si="6">(I45+J45)/(L45/1000)</f>
        <v>11.455210907068622</v>
      </c>
      <c r="N45" s="6">
        <v>13.991</v>
      </c>
      <c r="P45" s="1"/>
    </row>
    <row r="46" spans="1:16" x14ac:dyDescent="0.25">
      <c r="A46" s="1">
        <v>2028</v>
      </c>
      <c r="B46" s="5">
        <v>1480000</v>
      </c>
      <c r="C46" s="33">
        <v>4.4999999999999998E-2</v>
      </c>
      <c r="D46" s="4">
        <f t="shared" si="3"/>
        <v>3350700</v>
      </c>
      <c r="E46" s="4">
        <f t="shared" si="0"/>
        <v>4830700</v>
      </c>
      <c r="F46" s="4">
        <f t="shared" si="1"/>
        <v>-1787359</v>
      </c>
      <c r="G46" s="20">
        <v>0.37</v>
      </c>
      <c r="H46" s="4"/>
      <c r="I46" s="4">
        <f t="shared" si="2"/>
        <v>3043341</v>
      </c>
      <c r="J46" s="10">
        <f t="shared" si="4"/>
        <v>76083.525000000009</v>
      </c>
      <c r="K46" s="10"/>
      <c r="L46" s="9">
        <f t="shared" si="5"/>
        <v>271356881.16624993</v>
      </c>
      <c r="M46" s="14">
        <f t="shared" si="6"/>
        <v>11.495652926114111</v>
      </c>
      <c r="N46" s="6">
        <v>13.991</v>
      </c>
      <c r="P46" s="1"/>
    </row>
    <row r="47" spans="1:16" x14ac:dyDescent="0.25">
      <c r="A47" s="1">
        <v>2029</v>
      </c>
      <c r="B47" s="5">
        <v>1850000</v>
      </c>
      <c r="C47" s="33">
        <v>4.4999999999999998E-2</v>
      </c>
      <c r="D47" s="4">
        <f t="shared" si="3"/>
        <v>3284100</v>
      </c>
      <c r="E47" s="4">
        <f t="shared" si="0"/>
        <v>5134100</v>
      </c>
      <c r="F47" s="4">
        <f t="shared" si="1"/>
        <v>-1796935</v>
      </c>
      <c r="G47" s="20">
        <v>0.35</v>
      </c>
      <c r="H47" s="4"/>
      <c r="I47" s="4">
        <f t="shared" si="2"/>
        <v>3337165</v>
      </c>
      <c r="J47" s="10">
        <f t="shared" si="4"/>
        <v>83429.125</v>
      </c>
      <c r="K47" s="10"/>
      <c r="L47" s="9">
        <f t="shared" si="5"/>
        <v>278140803.19540614</v>
      </c>
      <c r="M47" s="14">
        <f t="shared" si="6"/>
        <v>12.298066611236763</v>
      </c>
      <c r="N47" s="6">
        <v>13.991</v>
      </c>
      <c r="P47" s="1"/>
    </row>
    <row r="48" spans="1:16" x14ac:dyDescent="0.25">
      <c r="A48" s="1">
        <v>2030</v>
      </c>
      <c r="B48" s="5">
        <v>1920000</v>
      </c>
      <c r="C48" s="33">
        <v>4.4999999999999998E-2</v>
      </c>
      <c r="D48" s="4">
        <f t="shared" si="3"/>
        <v>3200850</v>
      </c>
      <c r="E48" s="4">
        <f t="shared" si="0"/>
        <v>5120850</v>
      </c>
      <c r="F48" s="4">
        <f t="shared" si="1"/>
        <v>-1689880.5</v>
      </c>
      <c r="G48" s="20">
        <v>0.33</v>
      </c>
      <c r="H48" s="4"/>
      <c r="I48" s="4">
        <f t="shared" si="2"/>
        <v>3430969.5</v>
      </c>
      <c r="J48" s="10">
        <f t="shared" si="4"/>
        <v>85774.237500000003</v>
      </c>
      <c r="K48" s="10"/>
      <c r="L48" s="9">
        <f t="shared" si="5"/>
        <v>285094323.27529126</v>
      </c>
      <c r="M48" s="14">
        <f t="shared" si="6"/>
        <v>12.335369210786357</v>
      </c>
      <c r="N48" s="6">
        <v>13.991</v>
      </c>
      <c r="P48" s="1"/>
    </row>
    <row r="49" spans="1:16" x14ac:dyDescent="0.25">
      <c r="A49" s="1">
        <v>2031</v>
      </c>
      <c r="B49" s="5">
        <v>2000000</v>
      </c>
      <c r="C49" s="33">
        <v>4.4999999999999998E-2</v>
      </c>
      <c r="D49" s="4">
        <f t="shared" si="3"/>
        <v>3114450</v>
      </c>
      <c r="E49" s="4">
        <f t="shared" si="0"/>
        <v>5114450</v>
      </c>
      <c r="F49" s="4">
        <f t="shared" si="1"/>
        <v>-1585479.5</v>
      </c>
      <c r="G49" s="20">
        <v>0.31</v>
      </c>
      <c r="H49" s="4"/>
      <c r="I49" s="4">
        <f t="shared" si="2"/>
        <v>3528970.5</v>
      </c>
      <c r="J49" s="10">
        <f t="shared" si="4"/>
        <v>88224.262500000012</v>
      </c>
      <c r="K49" s="10"/>
      <c r="L49" s="9">
        <f t="shared" si="5"/>
        <v>292221681.3571735</v>
      </c>
      <c r="M49" s="14">
        <f t="shared" si="6"/>
        <v>12.378255938096583</v>
      </c>
      <c r="N49" s="6">
        <v>13.991</v>
      </c>
      <c r="P49" s="1"/>
    </row>
    <row r="50" spans="1:16" x14ac:dyDescent="0.25">
      <c r="A50" s="1">
        <v>2032</v>
      </c>
      <c r="B50" s="5">
        <v>2080000</v>
      </c>
      <c r="C50" s="33">
        <v>4.4999999999999998E-2</v>
      </c>
      <c r="D50" s="4">
        <f t="shared" si="3"/>
        <v>3024450</v>
      </c>
      <c r="E50" s="4">
        <f t="shared" si="0"/>
        <v>5104450</v>
      </c>
      <c r="F50" s="4">
        <f t="shared" si="1"/>
        <v>-1480290.5</v>
      </c>
      <c r="G50" s="20">
        <v>0.28999999999999998</v>
      </c>
      <c r="H50" s="4"/>
      <c r="I50" s="4">
        <f t="shared" si="2"/>
        <v>3624159.5</v>
      </c>
      <c r="J50" s="10">
        <f t="shared" si="4"/>
        <v>90603.987500000003</v>
      </c>
      <c r="K50" s="10"/>
      <c r="L50" s="9">
        <f t="shared" si="5"/>
        <v>299527223.39110279</v>
      </c>
      <c r="M50" s="14">
        <f t="shared" si="6"/>
        <v>12.402089684681208</v>
      </c>
      <c r="N50" s="6">
        <v>13.991</v>
      </c>
      <c r="P50" s="1"/>
    </row>
    <row r="51" spans="1:16" x14ac:dyDescent="0.25">
      <c r="A51" s="1">
        <v>2033</v>
      </c>
      <c r="B51" s="5">
        <v>2170000</v>
      </c>
      <c r="C51" s="33">
        <v>4.4999999999999998E-2</v>
      </c>
      <c r="D51" s="4">
        <f t="shared" si="3"/>
        <v>2930850</v>
      </c>
      <c r="E51" s="4">
        <f t="shared" si="0"/>
        <v>5100850</v>
      </c>
      <c r="F51" s="4">
        <f t="shared" si="1"/>
        <v>-1377229.5</v>
      </c>
      <c r="G51" s="20">
        <v>0.27</v>
      </c>
      <c r="H51" s="4"/>
      <c r="I51" s="4">
        <f t="shared" si="2"/>
        <v>3723620.5</v>
      </c>
      <c r="J51" s="10">
        <f t="shared" si="4"/>
        <v>93090.512500000012</v>
      </c>
      <c r="K51" s="10"/>
      <c r="L51" s="9">
        <f t="shared" si="5"/>
        <v>307015403.97588032</v>
      </c>
      <c r="M51" s="14">
        <f t="shared" si="6"/>
        <v>12.431659659656191</v>
      </c>
      <c r="N51" s="6">
        <v>13.991</v>
      </c>
      <c r="P51" s="1"/>
    </row>
    <row r="52" spans="1:16" x14ac:dyDescent="0.25">
      <c r="A52" s="1">
        <v>2034</v>
      </c>
      <c r="B52" s="5">
        <v>2270000</v>
      </c>
      <c r="C52" s="33">
        <v>4.4999999999999998E-2</v>
      </c>
      <c r="D52" s="4">
        <f>(B52*C52)+D53</f>
        <v>2833200</v>
      </c>
      <c r="E52" s="4">
        <f t="shared" si="0"/>
        <v>5103200</v>
      </c>
      <c r="F52" s="4">
        <f t="shared" si="1"/>
        <v>-1275800</v>
      </c>
      <c r="G52" s="20">
        <v>0.25</v>
      </c>
      <c r="H52" s="4"/>
      <c r="I52" s="4">
        <f t="shared" si="2"/>
        <v>3827400</v>
      </c>
      <c r="J52" s="10">
        <f t="shared" si="4"/>
        <v>95685</v>
      </c>
      <c r="K52" s="10"/>
      <c r="L52" s="9">
        <f t="shared" si="5"/>
        <v>314690789.07527733</v>
      </c>
      <c r="M52" s="14">
        <f t="shared" si="6"/>
        <v>12.46647546160481</v>
      </c>
      <c r="N52" s="6">
        <v>13.991</v>
      </c>
      <c r="P52" s="1"/>
    </row>
    <row r="53" spans="1:16" x14ac:dyDescent="0.25">
      <c r="A53" s="1">
        <v>2035</v>
      </c>
      <c r="B53" s="22">
        <v>2375000</v>
      </c>
      <c r="C53" s="33">
        <v>4.4999999999999998E-2</v>
      </c>
      <c r="D53" s="4">
        <f>(B53*C53)+D54</f>
        <v>2731050</v>
      </c>
      <c r="E53" s="4">
        <f t="shared" si="0"/>
        <v>5106050</v>
      </c>
      <c r="F53" s="4">
        <f t="shared" si="1"/>
        <v>-1174391.5</v>
      </c>
      <c r="G53" s="20">
        <v>0.23</v>
      </c>
      <c r="H53" s="4"/>
      <c r="I53" s="4">
        <f t="shared" si="2"/>
        <v>3931658.5</v>
      </c>
      <c r="J53" s="10">
        <f t="shared" si="4"/>
        <v>98291.462500000009</v>
      </c>
      <c r="K53" s="10"/>
      <c r="L53" s="9">
        <f t="shared" si="5"/>
        <v>322558058.80215925</v>
      </c>
      <c r="M53" s="14">
        <f t="shared" si="6"/>
        <v>12.493719665431662</v>
      </c>
      <c r="N53" s="6">
        <v>13.991</v>
      </c>
      <c r="P53" s="1"/>
    </row>
    <row r="54" spans="1:16" x14ac:dyDescent="0.25">
      <c r="A54" s="1">
        <v>2036</v>
      </c>
      <c r="B54" s="22">
        <v>3035000</v>
      </c>
      <c r="C54" s="33">
        <v>4.4999999999999998E-2</v>
      </c>
      <c r="D54" s="4">
        <f t="shared" ref="D54:D57" si="7">(B54*C54)+D55</f>
        <v>2624175</v>
      </c>
      <c r="E54" s="4">
        <f t="shared" si="0"/>
        <v>5659175</v>
      </c>
      <c r="F54" s="4">
        <f t="shared" si="1"/>
        <v>-1188426.75</v>
      </c>
      <c r="G54" s="20">
        <v>0.21</v>
      </c>
      <c r="H54" s="4"/>
      <c r="I54" s="4">
        <f t="shared" si="2"/>
        <v>4470748.25</v>
      </c>
      <c r="J54" s="10">
        <f t="shared" si="4"/>
        <v>111768.70625</v>
      </c>
      <c r="K54" s="10"/>
      <c r="L54" s="9">
        <f>L53*1.015</f>
        <v>327396429.68419158</v>
      </c>
      <c r="M54" s="14">
        <f t="shared" si="6"/>
        <v>13.996844622497322</v>
      </c>
      <c r="N54" s="6">
        <f t="shared" ref="N54:N68" si="8">M54+P54</f>
        <v>13.996844622497322</v>
      </c>
    </row>
    <row r="55" spans="1:16" x14ac:dyDescent="0.25">
      <c r="A55" s="1">
        <v>2037</v>
      </c>
      <c r="B55" s="22">
        <v>3110000</v>
      </c>
      <c r="C55" s="33">
        <v>4.4999999999999998E-2</v>
      </c>
      <c r="D55" s="4">
        <f t="shared" si="7"/>
        <v>2487600</v>
      </c>
      <c r="E55" s="4">
        <f t="shared" si="0"/>
        <v>5597600</v>
      </c>
      <c r="F55" s="4">
        <f t="shared" si="1"/>
        <v>-1063544</v>
      </c>
      <c r="G55" s="20">
        <v>0.19</v>
      </c>
      <c r="H55" s="4"/>
      <c r="I55" s="4">
        <f t="shared" si="2"/>
        <v>4534056</v>
      </c>
      <c r="J55" s="10">
        <f t="shared" si="4"/>
        <v>113351.40000000001</v>
      </c>
      <c r="K55" s="10"/>
      <c r="L55" s="9">
        <f t="shared" ref="L55:L68" si="9">L54*1.015</f>
        <v>332307376.12945443</v>
      </c>
      <c r="M55" s="14">
        <f t="shared" si="6"/>
        <v>13.985267056454221</v>
      </c>
      <c r="N55" s="6">
        <f t="shared" si="8"/>
        <v>13.985267056454221</v>
      </c>
    </row>
    <row r="56" spans="1:16" x14ac:dyDescent="0.25">
      <c r="A56" s="1">
        <v>2038</v>
      </c>
      <c r="B56" s="22">
        <v>3200000</v>
      </c>
      <c r="C56" s="33">
        <v>4.4999999999999998E-2</v>
      </c>
      <c r="D56" s="4">
        <f t="shared" si="7"/>
        <v>2347650</v>
      </c>
      <c r="E56" s="4">
        <f t="shared" si="0"/>
        <v>5547650</v>
      </c>
      <c r="F56" s="4">
        <f t="shared" si="1"/>
        <v>-943100.50000000012</v>
      </c>
      <c r="G56" s="20">
        <v>0.17</v>
      </c>
      <c r="H56" s="4"/>
      <c r="I56" s="4">
        <f t="shared" si="2"/>
        <v>4604549.5</v>
      </c>
      <c r="J56" s="10">
        <f t="shared" si="4"/>
        <v>115113.7375</v>
      </c>
      <c r="K56" s="10"/>
      <c r="L56" s="9">
        <f t="shared" si="9"/>
        <v>337291986.77139622</v>
      </c>
      <c r="M56" s="14">
        <f t="shared" si="6"/>
        <v>13.99281163681724</v>
      </c>
      <c r="N56" s="6">
        <f t="shared" si="8"/>
        <v>13.99281163681724</v>
      </c>
    </row>
    <row r="57" spans="1:16" x14ac:dyDescent="0.25">
      <c r="A57" s="1">
        <v>2039</v>
      </c>
      <c r="B57" s="22">
        <v>3295000</v>
      </c>
      <c r="C57" s="33">
        <v>4.4999999999999998E-2</v>
      </c>
      <c r="D57" s="4">
        <f t="shared" si="7"/>
        <v>2203650</v>
      </c>
      <c r="E57" s="4">
        <f t="shared" si="0"/>
        <v>5498650</v>
      </c>
      <c r="F57" s="4">
        <f t="shared" si="1"/>
        <v>-824797.5</v>
      </c>
      <c r="G57" s="20">
        <v>0.15</v>
      </c>
      <c r="H57" s="4"/>
      <c r="I57" s="4">
        <f t="shared" si="2"/>
        <v>4673852.5</v>
      </c>
      <c r="J57" s="10">
        <f t="shared" si="4"/>
        <v>116846.3125</v>
      </c>
      <c r="K57" s="10"/>
      <c r="L57" s="9">
        <f t="shared" si="9"/>
        <v>342351366.57296711</v>
      </c>
      <c r="M57" s="14">
        <f t="shared" si="6"/>
        <v>13.99351450077806</v>
      </c>
      <c r="N57" s="6">
        <f t="shared" si="8"/>
        <v>13.99351450077806</v>
      </c>
    </row>
    <row r="58" spans="1:16" x14ac:dyDescent="0.25">
      <c r="A58" s="1">
        <v>2040</v>
      </c>
      <c r="B58" s="22">
        <v>3400000</v>
      </c>
      <c r="C58" s="33">
        <v>4.4999999999999998E-2</v>
      </c>
      <c r="D58" s="4">
        <f>(B58*C58)+D59</f>
        <v>2055375</v>
      </c>
      <c r="E58" s="4">
        <f t="shared" si="0"/>
        <v>5455375</v>
      </c>
      <c r="F58" s="4">
        <f t="shared" si="1"/>
        <v>-709198.75</v>
      </c>
      <c r="G58" s="20">
        <v>0.13</v>
      </c>
      <c r="H58" s="4"/>
      <c r="I58" s="4">
        <f t="shared" si="2"/>
        <v>4746176.25</v>
      </c>
      <c r="J58" s="10">
        <f t="shared" si="4"/>
        <v>118654.40625</v>
      </c>
      <c r="K58" s="10"/>
      <c r="L58" s="9">
        <f t="shared" si="9"/>
        <v>347486637.07156157</v>
      </c>
      <c r="M58" s="14">
        <f t="shared" si="6"/>
        <v>14.00005104440357</v>
      </c>
      <c r="N58" s="6">
        <f t="shared" si="8"/>
        <v>14.00005104440357</v>
      </c>
    </row>
    <row r="59" spans="1:16" x14ac:dyDescent="0.25">
      <c r="A59" s="1">
        <v>2041</v>
      </c>
      <c r="B59" s="5">
        <v>3505000</v>
      </c>
      <c r="C59" s="33">
        <v>4.4999999999999998E-2</v>
      </c>
      <c r="D59" s="4">
        <f>(B59*C59)+D60</f>
        <v>1902375</v>
      </c>
      <c r="E59" s="4">
        <f t="shared" si="0"/>
        <v>5407375</v>
      </c>
      <c r="F59" s="4">
        <f t="shared" si="1"/>
        <v>-594811.25</v>
      </c>
      <c r="G59" s="20">
        <v>0.11</v>
      </c>
      <c r="H59" s="4"/>
      <c r="I59" s="4">
        <f t="shared" si="2"/>
        <v>4812563.75</v>
      </c>
      <c r="J59" s="10">
        <f t="shared" si="4"/>
        <v>120314.09375</v>
      </c>
      <c r="K59" s="10"/>
      <c r="L59" s="9">
        <f t="shared" si="9"/>
        <v>352698936.62763494</v>
      </c>
      <c r="M59" s="14">
        <f t="shared" si="6"/>
        <v>13.986086521598818</v>
      </c>
      <c r="N59" s="6">
        <f t="shared" si="8"/>
        <v>13.986086521598818</v>
      </c>
    </row>
    <row r="60" spans="1:16" x14ac:dyDescent="0.25">
      <c r="A60" s="1">
        <v>2042</v>
      </c>
      <c r="B60" s="22">
        <v>3625000</v>
      </c>
      <c r="C60" s="33">
        <v>4.4999999999999998E-2</v>
      </c>
      <c r="D60" s="4">
        <f>(B60*C60)+D61</f>
        <v>1744650</v>
      </c>
      <c r="E60" s="4">
        <f t="shared" si="0"/>
        <v>5369650</v>
      </c>
      <c r="F60" s="4">
        <f t="shared" si="1"/>
        <v>-483268.5</v>
      </c>
      <c r="G60" s="20">
        <v>0.09</v>
      </c>
      <c r="H60" s="4"/>
      <c r="I60" s="4">
        <f t="shared" si="2"/>
        <v>4886381.5</v>
      </c>
      <c r="J60" s="10">
        <f t="shared" si="4"/>
        <v>122159.53750000001</v>
      </c>
      <c r="K60" s="10"/>
      <c r="L60" s="9">
        <f t="shared" si="9"/>
        <v>357989420.67704946</v>
      </c>
      <c r="M60" s="14">
        <f t="shared" si="6"/>
        <v>13.99075153681237</v>
      </c>
      <c r="N60" s="6">
        <f t="shared" si="8"/>
        <v>13.99075153681237</v>
      </c>
    </row>
    <row r="61" spans="1:16" x14ac:dyDescent="0.25">
      <c r="A61" s="1">
        <v>2043</v>
      </c>
      <c r="B61" s="22">
        <v>3750000</v>
      </c>
      <c r="C61" s="33">
        <v>4.4999999999999998E-2</v>
      </c>
      <c r="D61" s="4">
        <f t="shared" ref="D61:D62" si="10">(B61*C61)+D62</f>
        <v>1581525</v>
      </c>
      <c r="E61" s="4">
        <f t="shared" ref="E61:E64" si="11">B61+D61</f>
        <v>5331525</v>
      </c>
      <c r="F61" s="4">
        <f t="shared" si="1"/>
        <v>-373206.75000000006</v>
      </c>
      <c r="G61" s="20">
        <v>7.0000000000000007E-2</v>
      </c>
      <c r="H61" s="4"/>
      <c r="I61" s="4">
        <f t="shared" ref="I61:I64" si="12">E61+F61</f>
        <v>4958318.25</v>
      </c>
      <c r="J61" s="10">
        <f t="shared" si="4"/>
        <v>123957.95625</v>
      </c>
      <c r="K61" s="10"/>
      <c r="L61" s="9">
        <f t="shared" si="9"/>
        <v>363359261.98720515</v>
      </c>
      <c r="M61" s="14">
        <f t="shared" si="6"/>
        <v>13.986918011818728</v>
      </c>
      <c r="N61" s="6">
        <f t="shared" si="8"/>
        <v>13.986918011818728</v>
      </c>
    </row>
    <row r="62" spans="1:16" x14ac:dyDescent="0.25">
      <c r="A62" s="1">
        <v>2044</v>
      </c>
      <c r="B62" s="22">
        <v>3885000</v>
      </c>
      <c r="C62" s="33">
        <v>4.4999999999999998E-2</v>
      </c>
      <c r="D62" s="4">
        <f t="shared" si="10"/>
        <v>1412775</v>
      </c>
      <c r="E62" s="4">
        <f t="shared" si="11"/>
        <v>5297775</v>
      </c>
      <c r="F62" s="4">
        <f t="shared" si="1"/>
        <v>-264888.75</v>
      </c>
      <c r="G62" s="20">
        <v>0.05</v>
      </c>
      <c r="H62" s="4"/>
      <c r="I62" s="4">
        <f t="shared" si="12"/>
        <v>5032886.25</v>
      </c>
      <c r="J62" s="10">
        <f t="shared" si="4"/>
        <v>125822.15625</v>
      </c>
      <c r="K62" s="10"/>
      <c r="L62" s="9">
        <f t="shared" si="9"/>
        <v>368809650.91701317</v>
      </c>
      <c r="M62" s="14">
        <f t="shared" si="6"/>
        <v>13.987455028422708</v>
      </c>
      <c r="N62" s="6">
        <f t="shared" si="8"/>
        <v>13.987455028422708</v>
      </c>
    </row>
    <row r="63" spans="1:16" x14ac:dyDescent="0.25">
      <c r="A63" s="1">
        <v>2045</v>
      </c>
      <c r="B63" s="22">
        <v>4030000</v>
      </c>
      <c r="C63" s="33">
        <v>4.4999999999999998E-2</v>
      </c>
      <c r="D63" s="4">
        <f>(B63*C63)+D64</f>
        <v>1237950</v>
      </c>
      <c r="E63" s="4">
        <f t="shared" si="11"/>
        <v>5267950</v>
      </c>
      <c r="F63" s="4">
        <f t="shared" si="1"/>
        <v>-158038.5</v>
      </c>
      <c r="G63" s="20">
        <v>0.03</v>
      </c>
      <c r="H63" s="4"/>
      <c r="I63" s="4">
        <f t="shared" si="12"/>
        <v>5109911.5</v>
      </c>
      <c r="J63" s="10">
        <f t="shared" si="4"/>
        <v>127747.78750000001</v>
      </c>
      <c r="K63" s="10"/>
      <c r="L63" s="9">
        <f t="shared" si="9"/>
        <v>374341795.68076831</v>
      </c>
      <c r="M63" s="14">
        <f t="shared" si="6"/>
        <v>13.9916497381088</v>
      </c>
      <c r="N63" s="6">
        <f t="shared" si="8"/>
        <v>13.9916497381088</v>
      </c>
    </row>
    <row r="64" spans="1:16" x14ac:dyDescent="0.25">
      <c r="A64" s="1">
        <v>2046</v>
      </c>
      <c r="B64" s="5">
        <v>4180000</v>
      </c>
      <c r="C64" s="33">
        <v>4.4999999999999998E-2</v>
      </c>
      <c r="D64" s="4">
        <f>(B64*C64)+D65</f>
        <v>1056600</v>
      </c>
      <c r="E64" s="4">
        <f t="shared" si="11"/>
        <v>5236600</v>
      </c>
      <c r="F64" s="4">
        <f t="shared" si="1"/>
        <v>-52366</v>
      </c>
      <c r="G64" s="20">
        <v>0.01</v>
      </c>
      <c r="H64" s="4"/>
      <c r="I64" s="4">
        <f t="shared" si="12"/>
        <v>5184234</v>
      </c>
      <c r="J64" s="10">
        <f t="shared" si="4"/>
        <v>129605.85</v>
      </c>
      <c r="K64" s="10"/>
      <c r="L64" s="9">
        <f t="shared" si="9"/>
        <v>379956922.61597979</v>
      </c>
      <c r="M64" s="14">
        <f t="shared" si="6"/>
        <v>13.985374482492759</v>
      </c>
      <c r="N64" s="6">
        <f t="shared" si="8"/>
        <v>13.985374482492759</v>
      </c>
    </row>
    <row r="65" spans="1:14" x14ac:dyDescent="0.25">
      <c r="A65" s="1">
        <v>2047</v>
      </c>
      <c r="B65" s="22">
        <v>4395000</v>
      </c>
      <c r="C65" s="33">
        <v>4.4999999999999998E-2</v>
      </c>
      <c r="D65" s="4">
        <f>(B65*C65)+D66</f>
        <v>868500</v>
      </c>
      <c r="E65" s="4">
        <f t="shared" ref="E65:E67" si="13">B65+D65</f>
        <v>5263500</v>
      </c>
      <c r="F65" s="4"/>
      <c r="H65" s="4"/>
      <c r="I65" s="4">
        <f t="shared" ref="I65:I67" si="14">E65+F65</f>
        <v>5263500</v>
      </c>
      <c r="J65" s="10">
        <f t="shared" si="4"/>
        <v>131587.5</v>
      </c>
      <c r="K65" s="10"/>
      <c r="L65" s="9">
        <f t="shared" si="9"/>
        <v>385656276.45521945</v>
      </c>
      <c r="M65" s="14">
        <f t="shared" si="6"/>
        <v>13.989367811122483</v>
      </c>
      <c r="N65" s="6">
        <f t="shared" si="8"/>
        <v>13.989367811122483</v>
      </c>
    </row>
    <row r="66" spans="1:14" x14ac:dyDescent="0.25">
      <c r="A66" s="1">
        <v>2048</v>
      </c>
      <c r="B66" s="22">
        <v>4670000</v>
      </c>
      <c r="C66" s="33">
        <v>4.4999999999999998E-2</v>
      </c>
      <c r="D66" s="4">
        <f>(B66*C66)+D67</f>
        <v>670725</v>
      </c>
      <c r="E66" s="4">
        <f t="shared" si="13"/>
        <v>5340725</v>
      </c>
      <c r="F66" s="4"/>
      <c r="H66" s="4"/>
      <c r="I66" s="4">
        <f t="shared" si="14"/>
        <v>5340725</v>
      </c>
      <c r="J66" s="10">
        <f t="shared" si="4"/>
        <v>133518.125</v>
      </c>
      <c r="K66" s="10"/>
      <c r="L66" s="9">
        <f t="shared" si="9"/>
        <v>391441120.60204768</v>
      </c>
      <c r="M66" s="14">
        <f t="shared" si="6"/>
        <v>13.984844301948803</v>
      </c>
      <c r="N66" s="6">
        <f t="shared" si="8"/>
        <v>13.984844301948803</v>
      </c>
    </row>
    <row r="67" spans="1:14" x14ac:dyDescent="0.25">
      <c r="A67" s="1">
        <v>2049</v>
      </c>
      <c r="B67" s="22">
        <v>4965000</v>
      </c>
      <c r="C67" s="33">
        <v>4.4999999999999998E-2</v>
      </c>
      <c r="D67" s="4">
        <f>(B67*C67)+D68</f>
        <v>460575</v>
      </c>
      <c r="E67" s="4">
        <f t="shared" si="13"/>
        <v>5425575</v>
      </c>
      <c r="F67" s="4"/>
      <c r="H67" s="4"/>
      <c r="I67" s="4">
        <f t="shared" si="14"/>
        <v>5425575</v>
      </c>
      <c r="J67" s="10">
        <f t="shared" si="4"/>
        <v>135639.375</v>
      </c>
      <c r="K67" s="10"/>
      <c r="L67" s="9">
        <f t="shared" si="9"/>
        <v>397312737.41107833</v>
      </c>
      <c r="M67" s="14">
        <f t="shared" si="6"/>
        <v>13.997070446916247</v>
      </c>
      <c r="N67" s="6">
        <f t="shared" si="8"/>
        <v>13.997070446916247</v>
      </c>
    </row>
    <row r="68" spans="1:14" ht="17.25" x14ac:dyDescent="0.4">
      <c r="A68" s="1">
        <v>2050</v>
      </c>
      <c r="B68" s="11">
        <v>5270000</v>
      </c>
      <c r="C68" s="33">
        <v>4.4999999999999998E-2</v>
      </c>
      <c r="D68" s="16">
        <f>(B68*C68)</f>
        <v>237150</v>
      </c>
      <c r="E68" s="16">
        <f t="shared" ref="E68" si="15">B68+D68</f>
        <v>5507150</v>
      </c>
      <c r="F68" s="16"/>
      <c r="G68" s="27"/>
      <c r="H68" s="16"/>
      <c r="I68" s="16">
        <f t="shared" ref="I68" si="16">E68+F68</f>
        <v>5507150</v>
      </c>
      <c r="J68" s="10">
        <f t="shared" si="4"/>
        <v>137678.75</v>
      </c>
      <c r="K68" s="10"/>
      <c r="L68" s="9">
        <f t="shared" si="9"/>
        <v>403272428.47224444</v>
      </c>
      <c r="M68" s="14">
        <f t="shared" si="6"/>
        <v>13.997556865925215</v>
      </c>
      <c r="N68" s="6">
        <f t="shared" si="8"/>
        <v>13.997556865925215</v>
      </c>
    </row>
    <row r="69" spans="1:14" x14ac:dyDescent="0.25">
      <c r="B69" s="5"/>
      <c r="D69" s="4"/>
      <c r="E69" s="4"/>
      <c r="F69" s="4"/>
      <c r="G69" s="4"/>
      <c r="H69" s="4"/>
      <c r="I69" s="4"/>
    </row>
    <row r="70" spans="1:14" x14ac:dyDescent="0.25">
      <c r="A70" s="1" t="s">
        <v>6</v>
      </c>
      <c r="B70" s="5">
        <f>SUM(B43:B68)</f>
        <v>76470000</v>
      </c>
      <c r="D70" s="5">
        <f t="shared" ref="D70:I70" si="17">SUM(D43:D68)</f>
        <v>55071168.75</v>
      </c>
      <c r="E70" s="5">
        <f t="shared" si="17"/>
        <v>131541168.75</v>
      </c>
      <c r="F70" s="5">
        <f t="shared" si="17"/>
        <v>-22711307.1875</v>
      </c>
      <c r="G70" s="5"/>
      <c r="H70" s="5"/>
      <c r="I70" s="5">
        <f t="shared" si="17"/>
        <v>108829861.5625</v>
      </c>
      <c r="M70" s="34" t="s">
        <v>21</v>
      </c>
      <c r="N70" s="18">
        <f>SUM(N44:N68)/25</f>
        <v>13.991022544244693</v>
      </c>
    </row>
    <row r="72" spans="1:14" x14ac:dyDescent="0.25">
      <c r="B72" s="8" t="s">
        <v>14</v>
      </c>
      <c r="C72" s="12" t="s">
        <v>15</v>
      </c>
      <c r="D72" s="12"/>
      <c r="E72" s="19">
        <f>B70</f>
        <v>76470000</v>
      </c>
    </row>
    <row r="73" spans="1:14" x14ac:dyDescent="0.25">
      <c r="B73" s="8"/>
      <c r="C73" t="s">
        <v>79</v>
      </c>
      <c r="E73" s="15">
        <f>E76*0.0215</f>
        <v>1655499.9999999998</v>
      </c>
      <c r="F73" s="28" t="s">
        <v>78</v>
      </c>
      <c r="G73" s="9">
        <f>E76*0.04</f>
        <v>3080000</v>
      </c>
      <c r="J73" s="23"/>
      <c r="K73" s="23" t="s">
        <v>27</v>
      </c>
      <c r="L73" t="s">
        <v>86</v>
      </c>
    </row>
    <row r="74" spans="1:14" x14ac:dyDescent="0.25">
      <c r="B74" s="8"/>
      <c r="D74" t="s">
        <v>8</v>
      </c>
      <c r="E74" s="4">
        <f>E72+E73</f>
        <v>78125500</v>
      </c>
      <c r="L74" t="s">
        <v>73</v>
      </c>
    </row>
    <row r="75" spans="1:14" x14ac:dyDescent="0.25">
      <c r="B75" s="8"/>
      <c r="E75" s="4"/>
    </row>
    <row r="76" spans="1:14" x14ac:dyDescent="0.25">
      <c r="B76" s="8" t="s">
        <v>16</v>
      </c>
      <c r="C76" s="12" t="s">
        <v>17</v>
      </c>
      <c r="D76" s="12"/>
      <c r="E76" s="19">
        <v>77000000</v>
      </c>
      <c r="G76" s="5"/>
      <c r="I76" s="3"/>
      <c r="J76" s="29"/>
      <c r="K76" s="29"/>
    </row>
    <row r="77" spans="1:14" ht="17.25" x14ac:dyDescent="0.4">
      <c r="C77" t="s">
        <v>67</v>
      </c>
      <c r="E77" s="4">
        <f>E72*0.014</f>
        <v>1070580</v>
      </c>
      <c r="G77" s="24"/>
      <c r="I77" s="25"/>
      <c r="J77" s="29"/>
      <c r="K77" s="29"/>
    </row>
    <row r="78" spans="1:14" x14ac:dyDescent="0.25">
      <c r="C78" t="s">
        <v>18</v>
      </c>
      <c r="E78" s="4">
        <v>0</v>
      </c>
      <c r="G78" s="9"/>
      <c r="I78" s="26"/>
    </row>
    <row r="79" spans="1:14" ht="17.25" x14ac:dyDescent="0.4">
      <c r="C79" t="s">
        <v>19</v>
      </c>
      <c r="E79" s="16">
        <v>54920</v>
      </c>
      <c r="J79" s="23"/>
      <c r="K79" s="23" t="s">
        <v>70</v>
      </c>
      <c r="L79" t="s">
        <v>72</v>
      </c>
    </row>
    <row r="80" spans="1:14" x14ac:dyDescent="0.25">
      <c r="D80" t="s">
        <v>8</v>
      </c>
      <c r="E80" s="4">
        <f>SUM(E76:E79)</f>
        <v>78125500</v>
      </c>
      <c r="L80" t="s">
        <v>71</v>
      </c>
    </row>
    <row r="81" spans="1:14" x14ac:dyDescent="0.25">
      <c r="E81" s="4"/>
    </row>
    <row r="82" spans="1:14" x14ac:dyDescent="0.25">
      <c r="E82" s="4"/>
    </row>
    <row r="83" spans="1:14" x14ac:dyDescent="0.25">
      <c r="A83"/>
    </row>
    <row r="84" spans="1:14" x14ac:dyDescent="0.25">
      <c r="A84"/>
    </row>
    <row r="85" spans="1:14" x14ac:dyDescent="0.25">
      <c r="A85"/>
    </row>
    <row r="86" spans="1:14" x14ac:dyDescent="0.25">
      <c r="A86"/>
    </row>
    <row r="87" spans="1:14" x14ac:dyDescent="0.25">
      <c r="A87"/>
    </row>
    <row r="88" spans="1:14" ht="24" x14ac:dyDescent="0.4">
      <c r="B88" s="17" t="s">
        <v>0</v>
      </c>
      <c r="E88" s="4"/>
      <c r="G88" s="7" t="s">
        <v>84</v>
      </c>
      <c r="L88" s="7" t="s">
        <v>88</v>
      </c>
    </row>
    <row r="89" spans="1:14" ht="24" x14ac:dyDescent="0.4">
      <c r="B89" s="17" t="s">
        <v>1</v>
      </c>
      <c r="E89" s="4"/>
      <c r="G89" s="7" t="s">
        <v>85</v>
      </c>
      <c r="L89" s="7" t="s">
        <v>89</v>
      </c>
    </row>
    <row r="90" spans="1:14" ht="24" x14ac:dyDescent="0.4">
      <c r="B90" s="17" t="s">
        <v>2</v>
      </c>
      <c r="E90" s="4"/>
    </row>
    <row r="92" spans="1:14" ht="24" x14ac:dyDescent="0.4">
      <c r="B92" s="17" t="s">
        <v>24</v>
      </c>
    </row>
    <row r="93" spans="1:14" ht="15.75" thickBot="1" x14ac:dyDescent="0.3">
      <c r="B93" t="s">
        <v>31</v>
      </c>
      <c r="N93" s="21">
        <v>13.991</v>
      </c>
    </row>
    <row r="94" spans="1:14" x14ac:dyDescent="0.25">
      <c r="J94" s="1" t="s">
        <v>30</v>
      </c>
      <c r="K94" s="45" t="s">
        <v>80</v>
      </c>
      <c r="L94" s="1" t="s">
        <v>9</v>
      </c>
    </row>
    <row r="95" spans="1:14" x14ac:dyDescent="0.25">
      <c r="A95" s="2" t="s">
        <v>12</v>
      </c>
      <c r="B95" s="2" t="s">
        <v>13</v>
      </c>
      <c r="C95" s="2" t="s">
        <v>3</v>
      </c>
      <c r="D95" s="2" t="s">
        <v>4</v>
      </c>
      <c r="E95" s="2" t="s">
        <v>5</v>
      </c>
      <c r="F95" s="2" t="s">
        <v>10</v>
      </c>
      <c r="I95" s="2" t="s">
        <v>7</v>
      </c>
      <c r="J95" s="2" t="s">
        <v>32</v>
      </c>
      <c r="K95" s="46" t="s">
        <v>81</v>
      </c>
      <c r="L95" s="2" t="s">
        <v>26</v>
      </c>
      <c r="M95" s="2" t="s">
        <v>20</v>
      </c>
      <c r="N95" s="2" t="s">
        <v>69</v>
      </c>
    </row>
    <row r="96" spans="1:14" x14ac:dyDescent="0.25">
      <c r="A96" s="1">
        <v>2025</v>
      </c>
      <c r="B96" s="5"/>
      <c r="C96" s="13"/>
      <c r="D96" s="4"/>
      <c r="E96" s="4"/>
      <c r="F96" s="4"/>
      <c r="G96" s="20"/>
      <c r="H96" s="4"/>
      <c r="I96" s="4"/>
      <c r="K96" s="47"/>
      <c r="L96" s="9">
        <v>251981840</v>
      </c>
      <c r="M96" s="14"/>
      <c r="N96" s="6"/>
    </row>
    <row r="97" spans="1:14" x14ac:dyDescent="0.25">
      <c r="A97" s="1">
        <v>2026</v>
      </c>
      <c r="B97" s="5">
        <v>1725000</v>
      </c>
      <c r="C97" s="33">
        <v>4.2500000000000003E-2</v>
      </c>
      <c r="D97" s="4">
        <f>(B97*C97)+D98/12*15</f>
        <v>4217062.5</v>
      </c>
      <c r="E97" s="4">
        <f t="shared" ref="E97:E116" si="18">B97+D97</f>
        <v>5942062.5</v>
      </c>
      <c r="F97" s="4">
        <f t="shared" ref="F97:F116" si="19">-E97*G97</f>
        <v>-2436245.625</v>
      </c>
      <c r="G97" s="20">
        <v>0.41</v>
      </c>
      <c r="H97" s="4"/>
      <c r="I97" s="4">
        <f t="shared" ref="I97:I116" si="20">E97+F97</f>
        <v>3505816.875</v>
      </c>
      <c r="J97" s="10">
        <f>I97*0.025</f>
        <v>87645.421875</v>
      </c>
      <c r="K97" s="48">
        <v>-650000</v>
      </c>
      <c r="L97" s="9">
        <f>L96*1.025</f>
        <v>258281385.99999997</v>
      </c>
      <c r="M97" s="6">
        <f>(I97+J97+K97)/(L97/1000)</f>
        <v>11.396339250227658</v>
      </c>
      <c r="N97" s="6">
        <v>13.991</v>
      </c>
    </row>
    <row r="98" spans="1:14" x14ac:dyDescent="0.25">
      <c r="A98" s="1">
        <v>2027</v>
      </c>
      <c r="B98" s="5">
        <v>2575000</v>
      </c>
      <c r="C98" s="33">
        <v>4.2500000000000003E-2</v>
      </c>
      <c r="D98" s="4">
        <f t="shared" ref="D98:D104" si="21">(B98*C98)+D99</f>
        <v>3315000</v>
      </c>
      <c r="E98" s="4">
        <f t="shared" si="18"/>
        <v>5890000</v>
      </c>
      <c r="F98" s="4">
        <f t="shared" si="19"/>
        <v>-2297100</v>
      </c>
      <c r="G98" s="20">
        <v>0.39</v>
      </c>
      <c r="H98" s="4"/>
      <c r="I98" s="4">
        <f t="shared" si="20"/>
        <v>3592900</v>
      </c>
      <c r="J98" s="10">
        <f t="shared" ref="J98:J116" si="22">I98*0.025</f>
        <v>89822.5</v>
      </c>
      <c r="K98" s="48">
        <v>-650000</v>
      </c>
      <c r="L98" s="9">
        <f t="shared" ref="L98:L106" si="23">L97*1.025</f>
        <v>264738420.64999995</v>
      </c>
      <c r="M98" s="6">
        <f t="shared" ref="M98:M116" si="24">(I98+J98+K98)/(L98/1000)</f>
        <v>11.455543523127083</v>
      </c>
      <c r="N98" s="6">
        <v>13.991</v>
      </c>
    </row>
    <row r="99" spans="1:14" x14ac:dyDescent="0.25">
      <c r="A99" s="1">
        <v>2028</v>
      </c>
      <c r="B99" s="5">
        <v>2635000</v>
      </c>
      <c r="C99" s="33">
        <v>4.2500000000000003E-2</v>
      </c>
      <c r="D99" s="4">
        <f t="shared" si="21"/>
        <v>3205562.5</v>
      </c>
      <c r="E99" s="4">
        <f t="shared" si="18"/>
        <v>5840562.5</v>
      </c>
      <c r="F99" s="4">
        <f t="shared" si="19"/>
        <v>-2161008.125</v>
      </c>
      <c r="G99" s="20">
        <v>0.37</v>
      </c>
      <c r="H99" s="4"/>
      <c r="I99" s="4">
        <f t="shared" si="20"/>
        <v>3679554.375</v>
      </c>
      <c r="J99" s="10">
        <f t="shared" si="22"/>
        <v>91988.859375</v>
      </c>
      <c r="K99" s="48">
        <v>-650000</v>
      </c>
      <c r="L99" s="9">
        <f t="shared" si="23"/>
        <v>271356881.16624993</v>
      </c>
      <c r="M99" s="6">
        <f t="shared" si="24"/>
        <v>11.503460759716466</v>
      </c>
      <c r="N99" s="6">
        <v>13.991</v>
      </c>
    </row>
    <row r="100" spans="1:14" x14ac:dyDescent="0.25">
      <c r="A100" s="1">
        <v>2029</v>
      </c>
      <c r="B100" s="5">
        <v>3015000</v>
      </c>
      <c r="C100" s="33">
        <v>4.2500000000000003E-2</v>
      </c>
      <c r="D100" s="4">
        <f t="shared" si="21"/>
        <v>3093575</v>
      </c>
      <c r="E100" s="4">
        <f t="shared" si="18"/>
        <v>6108575</v>
      </c>
      <c r="F100" s="4">
        <f t="shared" si="19"/>
        <v>-2138001.25</v>
      </c>
      <c r="G100" s="20">
        <v>0.35</v>
      </c>
      <c r="H100" s="4"/>
      <c r="I100" s="4">
        <f t="shared" si="20"/>
        <v>3970573.75</v>
      </c>
      <c r="J100" s="10">
        <f t="shared" si="22"/>
        <v>99264.34375</v>
      </c>
      <c r="K100" s="48">
        <v>-650000</v>
      </c>
      <c r="L100" s="9">
        <f t="shared" si="23"/>
        <v>278140803.19540614</v>
      </c>
      <c r="M100" s="6">
        <f t="shared" si="24"/>
        <v>12.29534845107718</v>
      </c>
      <c r="N100" s="6">
        <v>13.991</v>
      </c>
    </row>
    <row r="101" spans="1:14" x14ac:dyDescent="0.25">
      <c r="A101" s="1">
        <v>2030</v>
      </c>
      <c r="B101" s="5">
        <v>3100000</v>
      </c>
      <c r="C101" s="33">
        <v>4.2500000000000003E-2</v>
      </c>
      <c r="D101" s="4">
        <f t="shared" si="21"/>
        <v>2965437.5</v>
      </c>
      <c r="E101" s="4">
        <f t="shared" si="18"/>
        <v>6065437.5</v>
      </c>
      <c r="F101" s="4">
        <f t="shared" si="19"/>
        <v>-2001594.375</v>
      </c>
      <c r="G101" s="20">
        <v>0.33</v>
      </c>
      <c r="H101" s="4"/>
      <c r="I101" s="4">
        <f t="shared" si="20"/>
        <v>4063843.125</v>
      </c>
      <c r="J101" s="10">
        <f t="shared" si="22"/>
        <v>101596.078125</v>
      </c>
      <c r="K101" s="48">
        <v>-650000</v>
      </c>
      <c r="L101" s="9">
        <f t="shared" si="23"/>
        <v>285094323.27529126</v>
      </c>
      <c r="M101" s="6">
        <f t="shared" si="24"/>
        <v>12.330793411591154</v>
      </c>
      <c r="N101" s="6">
        <v>13.991</v>
      </c>
    </row>
    <row r="102" spans="1:14" x14ac:dyDescent="0.25">
      <c r="A102" s="1">
        <v>2031</v>
      </c>
      <c r="B102" s="5">
        <v>3195000</v>
      </c>
      <c r="C102" s="33">
        <v>4.2500000000000003E-2</v>
      </c>
      <c r="D102" s="4">
        <f t="shared" si="21"/>
        <v>2833687.5</v>
      </c>
      <c r="E102" s="4">
        <f t="shared" si="18"/>
        <v>6028687.5</v>
      </c>
      <c r="F102" s="4">
        <f t="shared" si="19"/>
        <v>-1868893.125</v>
      </c>
      <c r="G102" s="20">
        <v>0.31</v>
      </c>
      <c r="H102" s="4"/>
      <c r="I102" s="4">
        <f t="shared" si="20"/>
        <v>4159794.375</v>
      </c>
      <c r="J102" s="10">
        <f t="shared" si="22"/>
        <v>103994.859375</v>
      </c>
      <c r="K102" s="48">
        <v>-650000</v>
      </c>
      <c r="L102" s="9">
        <f t="shared" si="23"/>
        <v>292221681.3571735</v>
      </c>
      <c r="M102" s="6">
        <f t="shared" si="24"/>
        <v>12.366602018000087</v>
      </c>
      <c r="N102" s="6">
        <v>13.991</v>
      </c>
    </row>
    <row r="103" spans="1:14" x14ac:dyDescent="0.25">
      <c r="A103" s="1">
        <v>2032</v>
      </c>
      <c r="B103" s="5">
        <v>3300000</v>
      </c>
      <c r="C103" s="33">
        <v>4.2500000000000003E-2</v>
      </c>
      <c r="D103" s="4">
        <f t="shared" si="21"/>
        <v>2697900</v>
      </c>
      <c r="E103" s="4">
        <f t="shared" si="18"/>
        <v>5997900</v>
      </c>
      <c r="F103" s="4">
        <f t="shared" si="19"/>
        <v>-1739390.9999999998</v>
      </c>
      <c r="G103" s="20">
        <v>0.28999999999999998</v>
      </c>
      <c r="H103" s="4"/>
      <c r="I103" s="4">
        <f t="shared" si="20"/>
        <v>4258509</v>
      </c>
      <c r="J103" s="10">
        <f t="shared" si="22"/>
        <v>106462.72500000001</v>
      </c>
      <c r="K103" s="48">
        <v>-650000</v>
      </c>
      <c r="L103" s="9">
        <f t="shared" si="23"/>
        <v>299527223.39110279</v>
      </c>
      <c r="M103" s="6">
        <f t="shared" si="24"/>
        <v>12.402784905294688</v>
      </c>
      <c r="N103" s="6">
        <v>13.991</v>
      </c>
    </row>
    <row r="104" spans="1:14" x14ac:dyDescent="0.25">
      <c r="A104" s="1">
        <v>2033</v>
      </c>
      <c r="B104" s="5">
        <v>3410000</v>
      </c>
      <c r="C104" s="33">
        <v>4.2500000000000003E-2</v>
      </c>
      <c r="D104" s="4">
        <f t="shared" si="21"/>
        <v>2557650</v>
      </c>
      <c r="E104" s="4">
        <f t="shared" si="18"/>
        <v>5967650</v>
      </c>
      <c r="F104" s="4">
        <f t="shared" si="19"/>
        <v>-1611265.5</v>
      </c>
      <c r="G104" s="20">
        <v>0.27</v>
      </c>
      <c r="H104" s="4"/>
      <c r="I104" s="4">
        <f t="shared" si="20"/>
        <v>4356384.5</v>
      </c>
      <c r="J104" s="10">
        <f t="shared" si="22"/>
        <v>108909.6125</v>
      </c>
      <c r="K104" s="48">
        <v>-650000</v>
      </c>
      <c r="L104" s="9">
        <f t="shared" si="23"/>
        <v>307015403.97588032</v>
      </c>
      <c r="M104" s="6">
        <f t="shared" si="24"/>
        <v>12.42704458177524</v>
      </c>
      <c r="N104" s="6">
        <v>13.991</v>
      </c>
    </row>
    <row r="105" spans="1:14" x14ac:dyDescent="0.25">
      <c r="A105" s="1">
        <v>2034</v>
      </c>
      <c r="B105" s="5">
        <v>3535000</v>
      </c>
      <c r="C105" s="33">
        <v>4.2500000000000003E-2</v>
      </c>
      <c r="D105" s="4">
        <f>(B105*C105)+D106</f>
        <v>2412725</v>
      </c>
      <c r="E105" s="4">
        <f t="shared" si="18"/>
        <v>5947725</v>
      </c>
      <c r="F105" s="4">
        <f t="shared" si="19"/>
        <v>-1486931.25</v>
      </c>
      <c r="G105" s="20">
        <v>0.25</v>
      </c>
      <c r="H105" s="4"/>
      <c r="I105" s="4">
        <f t="shared" si="20"/>
        <v>4460793.75</v>
      </c>
      <c r="J105" s="10">
        <f t="shared" si="22"/>
        <v>111519.84375</v>
      </c>
      <c r="K105" s="48">
        <v>-650000</v>
      </c>
      <c r="L105" s="9">
        <f t="shared" si="23"/>
        <v>314690789.07527733</v>
      </c>
      <c r="M105" s="6">
        <f t="shared" si="24"/>
        <v>12.464024146609965</v>
      </c>
      <c r="N105" s="6">
        <v>13.991</v>
      </c>
    </row>
    <row r="106" spans="1:14" x14ac:dyDescent="0.25">
      <c r="A106" s="1">
        <v>2035</v>
      </c>
      <c r="B106" s="22">
        <v>3670000</v>
      </c>
      <c r="C106" s="33">
        <v>4.2500000000000003E-2</v>
      </c>
      <c r="D106" s="4">
        <f>(B106*C106)+D107</f>
        <v>2262487.5</v>
      </c>
      <c r="E106" s="4">
        <f t="shared" si="18"/>
        <v>5932487.5</v>
      </c>
      <c r="F106" s="4">
        <f t="shared" si="19"/>
        <v>-1364472.125</v>
      </c>
      <c r="G106" s="20">
        <v>0.23</v>
      </c>
      <c r="H106" s="4"/>
      <c r="I106" s="4">
        <f t="shared" si="20"/>
        <v>4568015.375</v>
      </c>
      <c r="J106" s="10">
        <f t="shared" si="22"/>
        <v>114200.38437500001</v>
      </c>
      <c r="K106" s="48">
        <v>-650000</v>
      </c>
      <c r="L106" s="9">
        <f t="shared" si="23"/>
        <v>322558058.80215925</v>
      </c>
      <c r="M106" s="6">
        <f t="shared" si="24"/>
        <v>12.500744127580941</v>
      </c>
      <c r="N106" s="6">
        <v>13.991</v>
      </c>
    </row>
    <row r="107" spans="1:14" x14ac:dyDescent="0.25">
      <c r="A107" s="1">
        <v>2036</v>
      </c>
      <c r="B107" s="22">
        <v>4355000</v>
      </c>
      <c r="C107" s="33">
        <v>4.2500000000000003E-2</v>
      </c>
      <c r="D107" s="4">
        <f t="shared" ref="D107:D110" si="25">(B107*C107)+D108</f>
        <v>2106512.5</v>
      </c>
      <c r="E107" s="4">
        <f t="shared" si="18"/>
        <v>6461512.5</v>
      </c>
      <c r="F107" s="4">
        <f t="shared" si="19"/>
        <v>-1356917.625</v>
      </c>
      <c r="G107" s="20">
        <v>0.21</v>
      </c>
      <c r="H107" s="4"/>
      <c r="I107" s="4">
        <f t="shared" si="20"/>
        <v>5104594.875</v>
      </c>
      <c r="J107" s="10">
        <f t="shared" si="22"/>
        <v>127614.87187500001</v>
      </c>
      <c r="K107" s="48">
        <v>-650000</v>
      </c>
      <c r="L107" s="9">
        <f>L106*1.015</f>
        <v>327396429.68419158</v>
      </c>
      <c r="M107" s="6">
        <f t="shared" si="24"/>
        <v>13.995906281858433</v>
      </c>
      <c r="N107" s="6">
        <f t="shared" ref="N107:N116" si="26">M107+P107</f>
        <v>13.995906281858433</v>
      </c>
    </row>
    <row r="108" spans="1:14" x14ac:dyDescent="0.25">
      <c r="A108" s="1">
        <v>2037</v>
      </c>
      <c r="B108" s="22">
        <v>4460000</v>
      </c>
      <c r="C108" s="33">
        <v>4.2500000000000003E-2</v>
      </c>
      <c r="D108" s="4">
        <f t="shared" si="25"/>
        <v>1921425.0000000002</v>
      </c>
      <c r="E108" s="4">
        <f t="shared" si="18"/>
        <v>6381425</v>
      </c>
      <c r="F108" s="4">
        <f t="shared" si="19"/>
        <v>-1212470.75</v>
      </c>
      <c r="G108" s="20">
        <v>0.19</v>
      </c>
      <c r="H108" s="4"/>
      <c r="I108" s="4">
        <f t="shared" si="20"/>
        <v>5168954.25</v>
      </c>
      <c r="J108" s="10">
        <f t="shared" si="22"/>
        <v>129223.85625000001</v>
      </c>
      <c r="K108" s="48">
        <v>-650000</v>
      </c>
      <c r="L108" s="9">
        <f t="shared" ref="L108:L116" si="27">L107*1.015</f>
        <v>332307376.12945443</v>
      </c>
      <c r="M108" s="6">
        <f t="shared" si="24"/>
        <v>13.987586313579888</v>
      </c>
      <c r="N108" s="6">
        <f t="shared" si="26"/>
        <v>13.987586313579888</v>
      </c>
    </row>
    <row r="109" spans="1:14" x14ac:dyDescent="0.25">
      <c r="A109" s="1">
        <v>2038</v>
      </c>
      <c r="B109" s="22">
        <v>4580000</v>
      </c>
      <c r="C109" s="33">
        <v>4.2500000000000003E-2</v>
      </c>
      <c r="D109" s="4">
        <f t="shared" si="25"/>
        <v>1731875.0000000002</v>
      </c>
      <c r="E109" s="4">
        <f t="shared" si="18"/>
        <v>6311875</v>
      </c>
      <c r="F109" s="4">
        <f t="shared" si="19"/>
        <v>-1073018.75</v>
      </c>
      <c r="G109" s="20">
        <v>0.17</v>
      </c>
      <c r="H109" s="4"/>
      <c r="I109" s="4">
        <f t="shared" si="20"/>
        <v>5238856.25</v>
      </c>
      <c r="J109" s="10">
        <f t="shared" si="22"/>
        <v>130971.40625</v>
      </c>
      <c r="K109" s="48">
        <v>-650000</v>
      </c>
      <c r="L109" s="9">
        <f t="shared" si="27"/>
        <v>337291986.77139622</v>
      </c>
      <c r="M109" s="6">
        <f t="shared" si="24"/>
        <v>13.993299103927187</v>
      </c>
      <c r="N109" s="6">
        <f t="shared" si="26"/>
        <v>13.993299103927187</v>
      </c>
    </row>
    <row r="110" spans="1:14" x14ac:dyDescent="0.25">
      <c r="A110" s="1">
        <v>2039</v>
      </c>
      <c r="B110" s="22">
        <v>4705000</v>
      </c>
      <c r="C110" s="33">
        <v>4.2500000000000003E-2</v>
      </c>
      <c r="D110" s="4">
        <f t="shared" si="25"/>
        <v>1537225.0000000002</v>
      </c>
      <c r="E110" s="4">
        <f t="shared" si="18"/>
        <v>6242225</v>
      </c>
      <c r="F110" s="4">
        <f t="shared" si="19"/>
        <v>-936333.75</v>
      </c>
      <c r="G110" s="20">
        <v>0.15</v>
      </c>
      <c r="H110" s="4"/>
      <c r="I110" s="4">
        <f t="shared" si="20"/>
        <v>5305891.25</v>
      </c>
      <c r="J110" s="10">
        <f t="shared" si="22"/>
        <v>132647.28125</v>
      </c>
      <c r="K110" s="48">
        <v>-650000</v>
      </c>
      <c r="L110" s="9">
        <f t="shared" si="27"/>
        <v>342351366.57296711</v>
      </c>
      <c r="M110" s="6">
        <f t="shared" si="24"/>
        <v>13.987204371884388</v>
      </c>
      <c r="N110" s="6">
        <f t="shared" si="26"/>
        <v>13.987204371884388</v>
      </c>
    </row>
    <row r="111" spans="1:14" x14ac:dyDescent="0.25">
      <c r="A111" s="1">
        <v>2040</v>
      </c>
      <c r="B111" s="22">
        <v>4845000</v>
      </c>
      <c r="C111" s="33">
        <v>4.2500000000000003E-2</v>
      </c>
      <c r="D111" s="4">
        <f>(B111*C111)+D112</f>
        <v>1337262.5000000002</v>
      </c>
      <c r="E111" s="4">
        <f t="shared" si="18"/>
        <v>6182262.5</v>
      </c>
      <c r="F111" s="4">
        <f t="shared" si="19"/>
        <v>-803694.125</v>
      </c>
      <c r="G111" s="20">
        <v>0.13</v>
      </c>
      <c r="H111" s="4"/>
      <c r="I111" s="4">
        <f t="shared" si="20"/>
        <v>5378568.375</v>
      </c>
      <c r="J111" s="10">
        <f t="shared" si="22"/>
        <v>134464.20937500001</v>
      </c>
      <c r="K111" s="48">
        <v>-650000</v>
      </c>
      <c r="L111" s="9">
        <f t="shared" si="27"/>
        <v>347486637.07156157</v>
      </c>
      <c r="M111" s="6">
        <f t="shared" si="24"/>
        <v>13.994876537866704</v>
      </c>
      <c r="N111" s="6">
        <f t="shared" si="26"/>
        <v>13.994876537866704</v>
      </c>
    </row>
    <row r="112" spans="1:14" x14ac:dyDescent="0.25">
      <c r="A112" s="1">
        <v>2041</v>
      </c>
      <c r="B112" s="5">
        <v>4990000</v>
      </c>
      <c r="C112" s="33">
        <v>4.2500000000000003E-2</v>
      </c>
      <c r="D112" s="4">
        <f>(B112*C112)+D113</f>
        <v>1131350.0000000002</v>
      </c>
      <c r="E112" s="4">
        <f t="shared" si="18"/>
        <v>6121350</v>
      </c>
      <c r="F112" s="4">
        <f t="shared" si="19"/>
        <v>-673348.5</v>
      </c>
      <c r="G112" s="20">
        <v>0.11</v>
      </c>
      <c r="H112" s="4"/>
      <c r="I112" s="4">
        <f t="shared" si="20"/>
        <v>5448001.5</v>
      </c>
      <c r="J112" s="10">
        <f t="shared" si="22"/>
        <v>136200.03750000001</v>
      </c>
      <c r="K112" s="48">
        <v>-650000</v>
      </c>
      <c r="L112" s="9">
        <f t="shared" si="27"/>
        <v>352698936.62763494</v>
      </c>
      <c r="M112" s="6">
        <f t="shared" si="24"/>
        <v>13.989839563109676</v>
      </c>
      <c r="N112" s="6">
        <f t="shared" si="26"/>
        <v>13.989839563109676</v>
      </c>
    </row>
    <row r="113" spans="1:14" x14ac:dyDescent="0.25">
      <c r="A113" s="1">
        <v>2042</v>
      </c>
      <c r="B113" s="22">
        <v>5145000</v>
      </c>
      <c r="C113" s="33">
        <v>4.2500000000000003E-2</v>
      </c>
      <c r="D113" s="4">
        <f>(B113*C113)+D114</f>
        <v>919275.00000000012</v>
      </c>
      <c r="E113" s="4">
        <f t="shared" si="18"/>
        <v>6064275</v>
      </c>
      <c r="F113" s="4">
        <f t="shared" si="19"/>
        <v>-545784.75</v>
      </c>
      <c r="G113" s="20">
        <v>0.09</v>
      </c>
      <c r="H113" s="4"/>
      <c r="I113" s="4">
        <f t="shared" si="20"/>
        <v>5518490.25</v>
      </c>
      <c r="J113" s="10">
        <f t="shared" si="22"/>
        <v>137962.25625000001</v>
      </c>
      <c r="K113" s="48">
        <v>-650000</v>
      </c>
      <c r="L113" s="9">
        <f t="shared" si="27"/>
        <v>357989420.67704946</v>
      </c>
      <c r="M113" s="6">
        <f t="shared" si="24"/>
        <v>13.984917478235863</v>
      </c>
      <c r="N113" s="6">
        <f t="shared" si="26"/>
        <v>13.984917478235863</v>
      </c>
    </row>
    <row r="114" spans="1:14" x14ac:dyDescent="0.25">
      <c r="A114" s="1">
        <v>2043</v>
      </c>
      <c r="B114" s="22">
        <v>5315000</v>
      </c>
      <c r="C114" s="33">
        <v>4.2500000000000003E-2</v>
      </c>
      <c r="D114" s="4">
        <f t="shared" ref="D114:D115" si="28">(B114*C114)+D115</f>
        <v>700612.50000000012</v>
      </c>
      <c r="E114" s="4">
        <f t="shared" si="18"/>
        <v>6015612.5</v>
      </c>
      <c r="F114" s="4">
        <f t="shared" si="19"/>
        <v>-421092.87500000006</v>
      </c>
      <c r="G114" s="20">
        <v>7.0000000000000007E-2</v>
      </c>
      <c r="H114" s="4"/>
      <c r="I114" s="4">
        <f t="shared" si="20"/>
        <v>5594519.625</v>
      </c>
      <c r="J114" s="10">
        <f t="shared" si="22"/>
        <v>139862.99062500001</v>
      </c>
      <c r="K114" s="48">
        <v>-650000</v>
      </c>
      <c r="L114" s="9">
        <f t="shared" si="27"/>
        <v>363359261.98720515</v>
      </c>
      <c r="M114" s="6">
        <f t="shared" si="24"/>
        <v>13.99271505511819</v>
      </c>
      <c r="N114" s="6">
        <f t="shared" si="26"/>
        <v>13.99271505511819</v>
      </c>
    </row>
    <row r="115" spans="1:14" x14ac:dyDescent="0.25">
      <c r="A115" s="1">
        <v>2044</v>
      </c>
      <c r="B115" s="22">
        <v>5490000</v>
      </c>
      <c r="C115" s="33">
        <v>4.2500000000000003E-2</v>
      </c>
      <c r="D115" s="4">
        <f t="shared" si="28"/>
        <v>474725.00000000006</v>
      </c>
      <c r="E115" s="4">
        <f t="shared" si="18"/>
        <v>5964725</v>
      </c>
      <c r="F115" s="4">
        <f t="shared" si="19"/>
        <v>-298236.25</v>
      </c>
      <c r="G115" s="20">
        <v>0.05</v>
      </c>
      <c r="H115" s="4"/>
      <c r="I115" s="4">
        <f t="shared" si="20"/>
        <v>5666488.75</v>
      </c>
      <c r="J115" s="10">
        <f t="shared" si="22"/>
        <v>141662.21875</v>
      </c>
      <c r="K115" s="48">
        <v>-650000</v>
      </c>
      <c r="L115" s="9">
        <f t="shared" si="27"/>
        <v>368809650.91701317</v>
      </c>
      <c r="M115" s="6">
        <f t="shared" si="24"/>
        <v>13.985943578007532</v>
      </c>
      <c r="N115" s="6">
        <f t="shared" si="26"/>
        <v>13.985943578007532</v>
      </c>
    </row>
    <row r="116" spans="1:14" ht="18" thickBot="1" x14ac:dyDescent="0.45">
      <c r="A116" s="1">
        <v>2045</v>
      </c>
      <c r="B116" s="11">
        <v>5680000</v>
      </c>
      <c r="C116" s="33">
        <v>4.2500000000000003E-2</v>
      </c>
      <c r="D116" s="16">
        <f>(B116*C116)</f>
        <v>241400.00000000003</v>
      </c>
      <c r="E116" s="16">
        <f t="shared" si="18"/>
        <v>5921400</v>
      </c>
      <c r="F116" s="16">
        <f t="shared" si="19"/>
        <v>-177642</v>
      </c>
      <c r="G116" s="20">
        <v>0.03</v>
      </c>
      <c r="H116" s="4"/>
      <c r="I116" s="16">
        <f t="shared" si="20"/>
        <v>5743758</v>
      </c>
      <c r="J116" s="10">
        <f t="shared" si="22"/>
        <v>143593.95000000001</v>
      </c>
      <c r="K116" s="49">
        <v>-650000</v>
      </c>
      <c r="L116" s="9">
        <f t="shared" si="27"/>
        <v>374341795.68076831</v>
      </c>
      <c r="M116" s="6">
        <f t="shared" si="24"/>
        <v>13.990828730399947</v>
      </c>
      <c r="N116" s="6">
        <f t="shared" si="26"/>
        <v>13.990828730399947</v>
      </c>
    </row>
    <row r="117" spans="1:14" x14ac:dyDescent="0.25">
      <c r="B117" s="5"/>
      <c r="D117" s="4"/>
      <c r="E117" s="4"/>
      <c r="F117" s="4"/>
      <c r="G117" s="4"/>
      <c r="H117" s="4"/>
      <c r="I117" s="4"/>
    </row>
    <row r="118" spans="1:14" x14ac:dyDescent="0.25">
      <c r="A118" s="1" t="s">
        <v>6</v>
      </c>
      <c r="B118" s="5">
        <f>SUM(B96:B116)</f>
        <v>79725000</v>
      </c>
      <c r="D118" s="5">
        <f>SUM(D96:D116)</f>
        <v>41662750</v>
      </c>
      <c r="E118" s="5">
        <f>SUM(E96:E116)</f>
        <v>121387750</v>
      </c>
      <c r="F118" s="5">
        <f>SUM(F96:F116)</f>
        <v>-26603441.75</v>
      </c>
      <c r="G118" s="5"/>
      <c r="H118" s="5"/>
      <c r="I118" s="5">
        <f>SUM(I96:I116)</f>
        <v>94784308.25</v>
      </c>
      <c r="L118" s="50" t="s">
        <v>21</v>
      </c>
      <c r="M118" s="18">
        <f>SUM(M97:M116)/20</f>
        <v>13.052290109449412</v>
      </c>
      <c r="N118" s="18">
        <f>SUM(N97:N116)/20</f>
        <v>13.990655850699392</v>
      </c>
    </row>
    <row r="120" spans="1:14" x14ac:dyDescent="0.25">
      <c r="B120" s="8" t="s">
        <v>14</v>
      </c>
      <c r="C120" s="12" t="s">
        <v>15</v>
      </c>
      <c r="D120" s="12"/>
      <c r="E120" s="19">
        <f>B118</f>
        <v>79725000</v>
      </c>
    </row>
    <row r="121" spans="1:14" x14ac:dyDescent="0.25">
      <c r="B121" s="8"/>
      <c r="C121" t="s">
        <v>83</v>
      </c>
      <c r="E121" s="15">
        <f>+E124*0.02</f>
        <v>1603000</v>
      </c>
      <c r="F121" s="28" t="s">
        <v>78</v>
      </c>
      <c r="G121" s="9">
        <f>E124*0.04</f>
        <v>3206000</v>
      </c>
      <c r="J121" s="23"/>
      <c r="K121" s="23" t="s">
        <v>27</v>
      </c>
      <c r="L121" t="s">
        <v>86</v>
      </c>
    </row>
    <row r="122" spans="1:14" x14ac:dyDescent="0.25">
      <c r="B122" s="8"/>
      <c r="D122" t="s">
        <v>8</v>
      </c>
      <c r="E122" s="4">
        <f>E120+E121</f>
        <v>81328000</v>
      </c>
      <c r="L122" t="s">
        <v>73</v>
      </c>
    </row>
    <row r="123" spans="1:14" x14ac:dyDescent="0.25">
      <c r="B123" s="8"/>
      <c r="E123" s="4"/>
      <c r="J123" s="51"/>
    </row>
    <row r="124" spans="1:14" x14ac:dyDescent="0.25">
      <c r="B124" s="8" t="s">
        <v>16</v>
      </c>
      <c r="C124" s="12" t="s">
        <v>17</v>
      </c>
      <c r="D124" s="12"/>
      <c r="E124" s="19">
        <v>80150000</v>
      </c>
      <c r="G124" s="5"/>
      <c r="I124" s="3"/>
      <c r="J124" s="29"/>
      <c r="K124" s="29"/>
    </row>
    <row r="125" spans="1:14" ht="17.25" x14ac:dyDescent="0.4">
      <c r="C125" t="s">
        <v>82</v>
      </c>
      <c r="E125" s="4">
        <f>E120*0.0145</f>
        <v>1156012.5</v>
      </c>
      <c r="G125" s="24"/>
      <c r="I125" s="25"/>
      <c r="J125" s="29"/>
      <c r="K125" s="29"/>
    </row>
    <row r="126" spans="1:14" x14ac:dyDescent="0.25">
      <c r="C126" t="s">
        <v>18</v>
      </c>
      <c r="E126" s="4">
        <v>0</v>
      </c>
      <c r="G126" s="9"/>
      <c r="I126" s="26"/>
    </row>
    <row r="127" spans="1:14" ht="17.25" x14ac:dyDescent="0.4">
      <c r="C127" t="s">
        <v>19</v>
      </c>
      <c r="E127" s="16">
        <v>21987.5</v>
      </c>
      <c r="J127" s="23"/>
      <c r="K127" s="23" t="s">
        <v>70</v>
      </c>
      <c r="L127" t="s">
        <v>72</v>
      </c>
    </row>
    <row r="128" spans="1:14" x14ac:dyDescent="0.25">
      <c r="D128" t="s">
        <v>8</v>
      </c>
      <c r="E128" s="4">
        <f>SUM(E124:E127)</f>
        <v>81328000</v>
      </c>
      <c r="L128" t="s">
        <v>71</v>
      </c>
    </row>
  </sheetData>
  <printOptions horizontalCentered="1"/>
  <pageMargins left="0.7" right="0.7" top="0.75" bottom="0.75" header="0.3" footer="0.3"/>
  <pageSetup paperSize="5" scale="60" orientation="landscape" r:id="rId1"/>
  <rowBreaks count="1" manualBreakCount="1">
    <brk id="34" max="1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Stifel Financial Corp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Shogren, Stephen (PF - Wichita)</dc:creator>
  <cp:lastModifiedBy>Debra Coleman</cp:lastModifiedBy>
  <cp:lastPrinted>2024-08-15T18:31:57Z</cp:lastPrinted>
  <dcterms:created xsi:type="dcterms:W3CDTF">2024-07-10T19:46:57Z</dcterms:created>
  <dcterms:modified xsi:type="dcterms:W3CDTF">2024-08-15T19:22:21Z</dcterms:modified>
</cp:coreProperties>
</file>