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V:\Charter Schools\!!FEFP\FY 26 - FEFP Funding\!Payments 2025-26\2026-05\"/>
    </mc:Choice>
  </mc:AlternateContent>
  <xr:revisionPtr revIDLastSave="0" documentId="13_ncr:1_{57F8DA06-E49F-4C8B-A312-7F717A43C339}" xr6:coauthVersionLast="47" xr6:coauthVersionMax="47" xr10:uidLastSave="{00000000-0000-0000-0000-000000000000}"/>
  <bookViews>
    <workbookView xWindow="-120" yWindow="-120" windowWidth="29040" windowHeight="15720" tabRatio="988" xr2:uid="{59C60F74-6336-4F91-B581-6AC1AE562698}"/>
  </bookViews>
  <sheets>
    <sheet name="Net Payment" sheetId="106" r:id="rId1"/>
    <sheet name="Annual Rev &amp; Fees" sheetId="54" r:id="rId2"/>
    <sheet name="Charter Schools" sheetId="55" r:id="rId3"/>
    <sheet name="Cumulative Payments" sheetId="57" state="hidden" r:id="rId4"/>
    <sheet name="Consolidated" sheetId="56" r:id="rId5"/>
    <sheet name="CountData" sheetId="109" state="hidden" r:id="rId6"/>
    <sheet name="0040" sheetId="2" r:id="rId7"/>
    <sheet name="0571" sheetId="107" r:id="rId8"/>
    <sheet name="0100" sheetId="58" r:id="rId9"/>
    <sheet name="1461" sheetId="59" r:id="rId10"/>
    <sheet name="1571" sheetId="60" r:id="rId11"/>
    <sheet name="2521" sheetId="61" r:id="rId12"/>
    <sheet name="2531" sheetId="62" r:id="rId13"/>
    <sheet name="2791" sheetId="63" r:id="rId14"/>
    <sheet name="2801" sheetId="64" r:id="rId15"/>
    <sheet name="2911" sheetId="65" r:id="rId16"/>
    <sheet name="2941" sheetId="66" r:id="rId17"/>
    <sheet name="3083" sheetId="67" r:id="rId18"/>
    <sheet name="3345" sheetId="68" r:id="rId19"/>
    <sheet name="3362" sheetId="108" r:id="rId20"/>
    <sheet name="3381" sheetId="69" r:id="rId21"/>
    <sheet name="3382" sheetId="70" r:id="rId22"/>
    <sheet name="3391" sheetId="71" state="hidden" r:id="rId23"/>
    <sheet name="3394" sheetId="72" r:id="rId24"/>
    <sheet name="3395" sheetId="73" r:id="rId25"/>
    <sheet name="3396" sheetId="74" r:id="rId26"/>
    <sheet name="3398" sheetId="75" r:id="rId27"/>
    <sheet name="3400" sheetId="76" r:id="rId28"/>
    <sheet name="3401" sheetId="77" r:id="rId29"/>
    <sheet name="3413" sheetId="78" r:id="rId30"/>
    <sheet name="3421" sheetId="79" r:id="rId31"/>
    <sheet name="3431" sheetId="80" r:id="rId32"/>
    <sheet name="3441" sheetId="81" r:id="rId33"/>
    <sheet name="3924" sheetId="82" r:id="rId34"/>
    <sheet name="3941" sheetId="83" r:id="rId35"/>
    <sheet name="3961" sheetId="84" state="hidden" r:id="rId36"/>
    <sheet name="3971" sheetId="85" r:id="rId37"/>
    <sheet name="4001" sheetId="86" r:id="rId38"/>
    <sheet name="4002" sheetId="87" r:id="rId39"/>
    <sheet name="4012" sheetId="88" r:id="rId40"/>
    <sheet name="4013" sheetId="89" r:id="rId41"/>
    <sheet name="4020" sheetId="90" r:id="rId42"/>
    <sheet name="4030" sheetId="91" r:id="rId43"/>
    <sheet name="4031" sheetId="92" r:id="rId44"/>
    <sheet name="4041" sheetId="93" r:id="rId45"/>
    <sheet name="4050" sheetId="94" r:id="rId46"/>
    <sheet name="4051" sheetId="95" r:id="rId47"/>
    <sheet name="4061" sheetId="96" r:id="rId48"/>
    <sheet name="4080" sheetId="97" state="hidden" r:id="rId49"/>
    <sheet name="4081" sheetId="98" r:id="rId50"/>
    <sheet name="4090" sheetId="99" r:id="rId51"/>
    <sheet name="4091" sheetId="100" r:id="rId52"/>
    <sheet name="4100" sheetId="101" r:id="rId53"/>
    <sheet name="4102" sheetId="102" r:id="rId54"/>
    <sheet name="4103" sheetId="103" r:id="rId55"/>
    <sheet name="4111" sheetId="104" r:id="rId56"/>
    <sheet name="4131" sheetId="105" r:id="rId57"/>
  </sheets>
  <definedNames>
    <definedName name="_1" localSheetId="8">'0100'!$A$11</definedName>
    <definedName name="_1" localSheetId="7">'0571'!$A$11</definedName>
    <definedName name="_1" localSheetId="9">'1461'!$A$11</definedName>
    <definedName name="_1" localSheetId="10">'1571'!$A$11</definedName>
    <definedName name="_1" localSheetId="11">'2521'!$A$11</definedName>
    <definedName name="_1" localSheetId="12">'2531'!$A$11</definedName>
    <definedName name="_1" localSheetId="13">'2791'!$A$11</definedName>
    <definedName name="_1" localSheetId="14">'2801'!$A$11</definedName>
    <definedName name="_1" localSheetId="15">'2911'!$A$11</definedName>
    <definedName name="_1" localSheetId="16">'2941'!$A$11</definedName>
    <definedName name="_1" localSheetId="17">'3083'!$A$11</definedName>
    <definedName name="_1" localSheetId="18">'3345'!$A$11</definedName>
    <definedName name="_1" localSheetId="19">'3362'!$A$11</definedName>
    <definedName name="_1" localSheetId="20">'3381'!$A$11</definedName>
    <definedName name="_1" localSheetId="21">'3382'!$A$11</definedName>
    <definedName name="_1" localSheetId="22">'3391'!$A$11</definedName>
    <definedName name="_1" localSheetId="23">'3394'!$A$11</definedName>
    <definedName name="_1" localSheetId="24">'3395'!$A$11</definedName>
    <definedName name="_1" localSheetId="25">'3396'!$A$11</definedName>
    <definedName name="_1" localSheetId="26">'3398'!$A$11</definedName>
    <definedName name="_1" localSheetId="27">'3400'!$A$11</definedName>
    <definedName name="_1" localSheetId="28">'3401'!$A$11</definedName>
    <definedName name="_1" localSheetId="29">'3413'!$A$11</definedName>
    <definedName name="_1" localSheetId="30">'3421'!$A$11</definedName>
    <definedName name="_1" localSheetId="31">'3431'!$A$11</definedName>
    <definedName name="_1" localSheetId="32">'3441'!$A$11</definedName>
    <definedName name="_1" localSheetId="33">'3924'!$A$11</definedName>
    <definedName name="_1" localSheetId="34">'3941'!$A$11</definedName>
    <definedName name="_1" localSheetId="35">'3961'!$A$11</definedName>
    <definedName name="_1" localSheetId="36">'3971'!$A$11</definedName>
    <definedName name="_1" localSheetId="37">'4001'!$A$11</definedName>
    <definedName name="_1" localSheetId="38">'4002'!$A$11</definedName>
    <definedName name="_1" localSheetId="39">'4012'!$A$11</definedName>
    <definedName name="_1" localSheetId="40">'4013'!$A$11</definedName>
    <definedName name="_1" localSheetId="41">'4020'!$A$11</definedName>
    <definedName name="_1" localSheetId="42">'4030'!$A$11</definedName>
    <definedName name="_1" localSheetId="43">'4031'!$A$11</definedName>
    <definedName name="_1" localSheetId="44">'4041'!$A$11</definedName>
    <definedName name="_1" localSheetId="45">'4050'!$A$11</definedName>
    <definedName name="_1" localSheetId="46">'4051'!$A$11</definedName>
    <definedName name="_1" localSheetId="47">'4061'!$A$11</definedName>
    <definedName name="_1" localSheetId="48">'4080'!$A$11</definedName>
    <definedName name="_1" localSheetId="49">'4081'!$A$11</definedName>
    <definedName name="_1" localSheetId="50">'4090'!$A$11</definedName>
    <definedName name="_1" localSheetId="51">'4091'!$A$11</definedName>
    <definedName name="_1" localSheetId="52">'4100'!$A$11</definedName>
    <definedName name="_1" localSheetId="53">'4102'!$A$11</definedName>
    <definedName name="_1" localSheetId="54">'4103'!$A$11</definedName>
    <definedName name="_1" localSheetId="55">'4111'!$A$11</definedName>
    <definedName name="_1" localSheetId="56">'4131'!$A$11</definedName>
    <definedName name="_1">'0040'!$A$11</definedName>
    <definedName name="_1.__2009_10_FEFP_State_and_Local_Funding" localSheetId="8">'0100'!$A$5</definedName>
    <definedName name="_1.__2009_10_FEFP_State_and_Local_Funding" localSheetId="7">'0571'!$A$5</definedName>
    <definedName name="_1.__2009_10_FEFP_State_and_Local_Funding" localSheetId="9">'1461'!$A$5</definedName>
    <definedName name="_1.__2009_10_FEFP_State_and_Local_Funding" localSheetId="10">'1571'!$A$5</definedName>
    <definedName name="_1.__2009_10_FEFP_State_and_Local_Funding" localSheetId="11">'2521'!$A$5</definedName>
    <definedName name="_1.__2009_10_FEFP_State_and_Local_Funding" localSheetId="12">'2531'!$A$5</definedName>
    <definedName name="_1.__2009_10_FEFP_State_and_Local_Funding" localSheetId="13">'2791'!$A$5</definedName>
    <definedName name="_1.__2009_10_FEFP_State_and_Local_Funding" localSheetId="14">'2801'!$A$5</definedName>
    <definedName name="_1.__2009_10_FEFP_State_and_Local_Funding" localSheetId="15">'2911'!$A$5</definedName>
    <definedName name="_1.__2009_10_FEFP_State_and_Local_Funding" localSheetId="16">'2941'!$A$5</definedName>
    <definedName name="_1.__2009_10_FEFP_State_and_Local_Funding" localSheetId="17">'3083'!$A$5</definedName>
    <definedName name="_1.__2009_10_FEFP_State_and_Local_Funding" localSheetId="18">'3345'!$A$5</definedName>
    <definedName name="_1.__2009_10_FEFP_State_and_Local_Funding" localSheetId="19">'3362'!$A$5</definedName>
    <definedName name="_1.__2009_10_FEFP_State_and_Local_Funding" localSheetId="20">'3381'!$A$5</definedName>
    <definedName name="_1.__2009_10_FEFP_State_and_Local_Funding" localSheetId="21">'3382'!$A$5</definedName>
    <definedName name="_1.__2009_10_FEFP_State_and_Local_Funding" localSheetId="22">'3391'!$A$5</definedName>
    <definedName name="_1.__2009_10_FEFP_State_and_Local_Funding" localSheetId="23">'3394'!$A$5</definedName>
    <definedName name="_1.__2009_10_FEFP_State_and_Local_Funding" localSheetId="24">'3395'!$A$5</definedName>
    <definedName name="_1.__2009_10_FEFP_State_and_Local_Funding" localSheetId="25">'3396'!$A$5</definedName>
    <definedName name="_1.__2009_10_FEFP_State_and_Local_Funding" localSheetId="26">'3398'!$A$5</definedName>
    <definedName name="_1.__2009_10_FEFP_State_and_Local_Funding" localSheetId="27">'3400'!$A$5</definedName>
    <definedName name="_1.__2009_10_FEFP_State_and_Local_Funding" localSheetId="28">'3401'!$A$5</definedName>
    <definedName name="_1.__2009_10_FEFP_State_and_Local_Funding" localSheetId="29">'3413'!$A$5</definedName>
    <definedName name="_1.__2009_10_FEFP_State_and_Local_Funding" localSheetId="30">'3421'!$A$5</definedName>
    <definedName name="_1.__2009_10_FEFP_State_and_Local_Funding" localSheetId="31">'3431'!$A$5</definedName>
    <definedName name="_1.__2009_10_FEFP_State_and_Local_Funding" localSheetId="32">'3441'!$A$5</definedName>
    <definedName name="_1.__2009_10_FEFP_State_and_Local_Funding" localSheetId="33">'3924'!$A$5</definedName>
    <definedName name="_1.__2009_10_FEFP_State_and_Local_Funding" localSheetId="34">'3941'!$A$5</definedName>
    <definedName name="_1.__2009_10_FEFP_State_and_Local_Funding" localSheetId="35">'3961'!$A$5</definedName>
    <definedName name="_1.__2009_10_FEFP_State_and_Local_Funding" localSheetId="36">'3971'!$A$5</definedName>
    <definedName name="_1.__2009_10_FEFP_State_and_Local_Funding" localSheetId="37">'4001'!$A$5</definedName>
    <definedName name="_1.__2009_10_FEFP_State_and_Local_Funding" localSheetId="38">'4002'!$A$5</definedName>
    <definedName name="_1.__2009_10_FEFP_State_and_Local_Funding" localSheetId="39">'4012'!$A$5</definedName>
    <definedName name="_1.__2009_10_FEFP_State_and_Local_Funding" localSheetId="40">'4013'!$A$5</definedName>
    <definedName name="_1.__2009_10_FEFP_State_and_Local_Funding" localSheetId="41">'4020'!$A$5</definedName>
    <definedName name="_1.__2009_10_FEFP_State_and_Local_Funding" localSheetId="42">'4030'!$A$5</definedName>
    <definedName name="_1.__2009_10_FEFP_State_and_Local_Funding" localSheetId="43">'4031'!$A$5</definedName>
    <definedName name="_1.__2009_10_FEFP_State_and_Local_Funding" localSheetId="44">'4041'!$A$5</definedName>
    <definedName name="_1.__2009_10_FEFP_State_and_Local_Funding" localSheetId="45">'4050'!$A$5</definedName>
    <definedName name="_1.__2009_10_FEFP_State_and_Local_Funding" localSheetId="46">'4051'!$A$5</definedName>
    <definedName name="_1.__2009_10_FEFP_State_and_Local_Funding" localSheetId="47">'4061'!$A$5</definedName>
    <definedName name="_1.__2009_10_FEFP_State_and_Local_Funding" localSheetId="48">'4080'!$A$5</definedName>
    <definedName name="_1.__2009_10_FEFP_State_and_Local_Funding" localSheetId="49">'4081'!$A$5</definedName>
    <definedName name="_1.__2009_10_FEFP_State_and_Local_Funding" localSheetId="50">'4090'!$A$5</definedName>
    <definedName name="_1.__2009_10_FEFP_State_and_Local_Funding" localSheetId="51">'4091'!$A$5</definedName>
    <definedName name="_1.__2009_10_FEFP_State_and_Local_Funding" localSheetId="52">'4100'!$A$5</definedName>
    <definedName name="_1.__2009_10_FEFP_State_and_Local_Funding" localSheetId="53">'4102'!$A$5</definedName>
    <definedName name="_1.__2009_10_FEFP_State_and_Local_Funding" localSheetId="54">'4103'!$A$5</definedName>
    <definedName name="_1.__2009_10_FEFP_State_and_Local_Funding" localSheetId="55">'4111'!$A$5</definedName>
    <definedName name="_1.__2009_10_FEFP_State_and_Local_Funding" localSheetId="56">'4131'!$A$5</definedName>
    <definedName name="_1.__2009_10_FEFP_State_and_Local_Funding">'0040'!$A$5</definedName>
    <definedName name="_1.__2010_11_FEFP_State_and_Local_Funding" localSheetId="8">'0100'!$A$5</definedName>
    <definedName name="_1.__2010_11_FEFP_State_and_Local_Funding" localSheetId="7">'0571'!$A$5</definedName>
    <definedName name="_1.__2010_11_FEFP_State_and_Local_Funding" localSheetId="9">'1461'!$A$5</definedName>
    <definedName name="_1.__2010_11_FEFP_State_and_Local_Funding" localSheetId="10">'1571'!$A$5</definedName>
    <definedName name="_1.__2010_11_FEFP_State_and_Local_Funding" localSheetId="11">'2521'!$A$5</definedName>
    <definedName name="_1.__2010_11_FEFP_State_and_Local_Funding" localSheetId="12">'2531'!$A$5</definedName>
    <definedName name="_1.__2010_11_FEFP_State_and_Local_Funding" localSheetId="13">'2791'!$A$5</definedName>
    <definedName name="_1.__2010_11_FEFP_State_and_Local_Funding" localSheetId="14">'2801'!$A$5</definedName>
    <definedName name="_1.__2010_11_FEFP_State_and_Local_Funding" localSheetId="15">'2911'!$A$5</definedName>
    <definedName name="_1.__2010_11_FEFP_State_and_Local_Funding" localSheetId="16">'2941'!$A$5</definedName>
    <definedName name="_1.__2010_11_FEFP_State_and_Local_Funding" localSheetId="17">'3083'!$A$5</definedName>
    <definedName name="_1.__2010_11_FEFP_State_and_Local_Funding" localSheetId="18">'3345'!$A$5</definedName>
    <definedName name="_1.__2010_11_FEFP_State_and_Local_Funding" localSheetId="19">'3362'!$A$5</definedName>
    <definedName name="_1.__2010_11_FEFP_State_and_Local_Funding" localSheetId="20">'3381'!$A$5</definedName>
    <definedName name="_1.__2010_11_FEFP_State_and_Local_Funding" localSheetId="21">'3382'!$A$5</definedName>
    <definedName name="_1.__2010_11_FEFP_State_and_Local_Funding" localSheetId="22">'3391'!$A$5</definedName>
    <definedName name="_1.__2010_11_FEFP_State_and_Local_Funding" localSheetId="23">'3394'!$A$5</definedName>
    <definedName name="_1.__2010_11_FEFP_State_and_Local_Funding" localSheetId="24">'3395'!$A$5</definedName>
    <definedName name="_1.__2010_11_FEFP_State_and_Local_Funding" localSheetId="25">'3396'!$A$5</definedName>
    <definedName name="_1.__2010_11_FEFP_State_and_Local_Funding" localSheetId="26">'3398'!$A$5</definedName>
    <definedName name="_1.__2010_11_FEFP_State_and_Local_Funding" localSheetId="27">'3400'!$A$5</definedName>
    <definedName name="_1.__2010_11_FEFP_State_and_Local_Funding" localSheetId="28">'3401'!$A$5</definedName>
    <definedName name="_1.__2010_11_FEFP_State_and_Local_Funding" localSheetId="29">'3413'!$A$5</definedName>
    <definedName name="_1.__2010_11_FEFP_State_and_Local_Funding" localSheetId="30">'3421'!$A$5</definedName>
    <definedName name="_1.__2010_11_FEFP_State_and_Local_Funding" localSheetId="31">'3431'!$A$5</definedName>
    <definedName name="_1.__2010_11_FEFP_State_and_Local_Funding" localSheetId="32">'3441'!$A$5</definedName>
    <definedName name="_1.__2010_11_FEFP_State_and_Local_Funding" localSheetId="33">'3924'!$A$5</definedName>
    <definedName name="_1.__2010_11_FEFP_State_and_Local_Funding" localSheetId="34">'3941'!$A$5</definedName>
    <definedName name="_1.__2010_11_FEFP_State_and_Local_Funding" localSheetId="35">'3961'!$A$5</definedName>
    <definedName name="_1.__2010_11_FEFP_State_and_Local_Funding" localSheetId="36">'3971'!$A$5</definedName>
    <definedName name="_1.__2010_11_FEFP_State_and_Local_Funding" localSheetId="37">'4001'!$A$5</definedName>
    <definedName name="_1.__2010_11_FEFP_State_and_Local_Funding" localSheetId="38">'4002'!$A$5</definedName>
    <definedName name="_1.__2010_11_FEFP_State_and_Local_Funding" localSheetId="39">'4012'!$A$5</definedName>
    <definedName name="_1.__2010_11_FEFP_State_and_Local_Funding" localSheetId="40">'4013'!$A$5</definedName>
    <definedName name="_1.__2010_11_FEFP_State_and_Local_Funding" localSheetId="41">'4020'!$A$5</definedName>
    <definedName name="_1.__2010_11_FEFP_State_and_Local_Funding" localSheetId="42">'4030'!$A$5</definedName>
    <definedName name="_1.__2010_11_FEFP_State_and_Local_Funding" localSheetId="43">'4031'!$A$5</definedName>
    <definedName name="_1.__2010_11_FEFP_State_and_Local_Funding" localSheetId="44">'4041'!$A$5</definedName>
    <definedName name="_1.__2010_11_FEFP_State_and_Local_Funding" localSheetId="45">'4050'!$A$5</definedName>
    <definedName name="_1.__2010_11_FEFP_State_and_Local_Funding" localSheetId="46">'4051'!$A$5</definedName>
    <definedName name="_1.__2010_11_FEFP_State_and_Local_Funding" localSheetId="47">'4061'!$A$5</definedName>
    <definedName name="_1.__2010_11_FEFP_State_and_Local_Funding" localSheetId="48">'4080'!$A$5</definedName>
    <definedName name="_1.__2010_11_FEFP_State_and_Local_Funding" localSheetId="49">'4081'!$A$5</definedName>
    <definedName name="_1.__2010_11_FEFP_State_and_Local_Funding" localSheetId="50">'4090'!$A$5</definedName>
    <definedName name="_1.__2010_11_FEFP_State_and_Local_Funding" localSheetId="51">'4091'!$A$5</definedName>
    <definedName name="_1.__2010_11_FEFP_State_and_Local_Funding" localSheetId="52">'4100'!$A$5</definedName>
    <definedName name="_1.__2010_11_FEFP_State_and_Local_Funding" localSheetId="53">'4102'!$A$5</definedName>
    <definedName name="_1.__2010_11_FEFP_State_and_Local_Funding" localSheetId="54">'4103'!$A$5</definedName>
    <definedName name="_1.__2010_11_FEFP_State_and_Local_Funding" localSheetId="55">'4111'!$A$5</definedName>
    <definedName name="_1.__2010_11_FEFP_State_and_Local_Funding" localSheetId="56">'4131'!$A$5</definedName>
    <definedName name="_1.__2010_11_FEFP_State_and_Local_Funding">'0040'!$A$5</definedName>
    <definedName name="_101_Basic_K_3" localSheetId="8">'0100'!$A$12</definedName>
    <definedName name="_101_Basic_K_3" localSheetId="7">'0571'!$A$12</definedName>
    <definedName name="_101_Basic_K_3" localSheetId="9">'1461'!$A$12</definedName>
    <definedName name="_101_Basic_K_3" localSheetId="10">'1571'!$A$12</definedName>
    <definedName name="_101_Basic_K_3" localSheetId="11">'2521'!$A$12</definedName>
    <definedName name="_101_Basic_K_3" localSheetId="12">'2531'!$A$12</definedName>
    <definedName name="_101_Basic_K_3" localSheetId="13">'2791'!$A$12</definedName>
    <definedName name="_101_Basic_K_3" localSheetId="14">'2801'!$A$12</definedName>
    <definedName name="_101_Basic_K_3" localSheetId="15">'2911'!$A$12</definedName>
    <definedName name="_101_Basic_K_3" localSheetId="16">'2941'!$A$12</definedName>
    <definedName name="_101_Basic_K_3" localSheetId="17">'3083'!$A$12</definedName>
    <definedName name="_101_Basic_K_3" localSheetId="18">'3345'!$A$12</definedName>
    <definedName name="_101_Basic_K_3" localSheetId="19">'3362'!$A$12</definedName>
    <definedName name="_101_Basic_K_3" localSheetId="20">'3381'!$A$12</definedName>
    <definedName name="_101_Basic_K_3" localSheetId="21">'3382'!$A$12</definedName>
    <definedName name="_101_Basic_K_3" localSheetId="22">'3391'!$A$12</definedName>
    <definedName name="_101_Basic_K_3" localSheetId="23">'3394'!$A$12</definedName>
    <definedName name="_101_Basic_K_3" localSheetId="24">'3395'!$A$12</definedName>
    <definedName name="_101_Basic_K_3" localSheetId="25">'3396'!$A$12</definedName>
    <definedName name="_101_Basic_K_3" localSheetId="26">'3398'!$A$12</definedName>
    <definedName name="_101_Basic_K_3" localSheetId="27">'3400'!$A$12</definedName>
    <definedName name="_101_Basic_K_3" localSheetId="28">'3401'!$A$12</definedName>
    <definedName name="_101_Basic_K_3" localSheetId="29">'3413'!$A$12</definedName>
    <definedName name="_101_Basic_K_3" localSheetId="30">'3421'!$A$12</definedName>
    <definedName name="_101_Basic_K_3" localSheetId="31">'3431'!$A$12</definedName>
    <definedName name="_101_Basic_K_3" localSheetId="32">'3441'!$A$12</definedName>
    <definedName name="_101_Basic_K_3" localSheetId="33">'3924'!$A$12</definedName>
    <definedName name="_101_Basic_K_3" localSheetId="34">'3941'!$A$12</definedName>
    <definedName name="_101_Basic_K_3" localSheetId="35">'3961'!$A$12</definedName>
    <definedName name="_101_Basic_K_3" localSheetId="36">'3971'!$A$12</definedName>
    <definedName name="_101_Basic_K_3" localSheetId="37">'4001'!$A$12</definedName>
    <definedName name="_101_Basic_K_3" localSheetId="38">'4002'!$A$12</definedName>
    <definedName name="_101_Basic_K_3" localSheetId="39">'4012'!$A$12</definedName>
    <definedName name="_101_Basic_K_3" localSheetId="40">'4013'!$A$12</definedName>
    <definedName name="_101_Basic_K_3" localSheetId="41">'4020'!$A$12</definedName>
    <definedName name="_101_Basic_K_3" localSheetId="42">'4030'!$A$12</definedName>
    <definedName name="_101_Basic_K_3" localSheetId="43">'4031'!$A$12</definedName>
    <definedName name="_101_Basic_K_3" localSheetId="44">'4041'!$A$12</definedName>
    <definedName name="_101_Basic_K_3" localSheetId="45">'4050'!$A$12</definedName>
    <definedName name="_101_Basic_K_3" localSheetId="46">'4051'!$A$12</definedName>
    <definedName name="_101_Basic_K_3" localSheetId="47">'4061'!$A$12</definedName>
    <definedName name="_101_Basic_K_3" localSheetId="48">'4080'!$A$12</definedName>
    <definedName name="_101_Basic_K_3" localSheetId="49">'4081'!$A$12</definedName>
    <definedName name="_101_Basic_K_3" localSheetId="50">'4090'!$A$12</definedName>
    <definedName name="_101_Basic_K_3" localSheetId="51">'4091'!$A$12</definedName>
    <definedName name="_101_Basic_K_3" localSheetId="52">'4100'!$A$12</definedName>
    <definedName name="_101_Basic_K_3" localSheetId="53">'4102'!$A$12</definedName>
    <definedName name="_101_Basic_K_3" localSheetId="54">'4103'!$A$12</definedName>
    <definedName name="_101_Basic_K_3" localSheetId="55">'4111'!$A$12</definedName>
    <definedName name="_101_Basic_K_3" localSheetId="56">'4131'!$A$12</definedName>
    <definedName name="_101_Basic_K_3">'0040'!$A$12</definedName>
    <definedName name="_102_Basic_4_8" localSheetId="8">'0100'!$A$14</definedName>
    <definedName name="_102_Basic_4_8" localSheetId="7">'0571'!$A$14</definedName>
    <definedName name="_102_Basic_4_8" localSheetId="9">'1461'!$A$14</definedName>
    <definedName name="_102_Basic_4_8" localSheetId="10">'1571'!$A$14</definedName>
    <definedName name="_102_Basic_4_8" localSheetId="11">'2521'!$A$14</definedName>
    <definedName name="_102_Basic_4_8" localSheetId="12">'2531'!$A$14</definedName>
    <definedName name="_102_Basic_4_8" localSheetId="13">'2791'!$A$14</definedName>
    <definedName name="_102_Basic_4_8" localSheetId="14">'2801'!$A$14</definedName>
    <definedName name="_102_Basic_4_8" localSheetId="15">'2911'!$A$14</definedName>
    <definedName name="_102_Basic_4_8" localSheetId="16">'2941'!$A$14</definedName>
    <definedName name="_102_Basic_4_8" localSheetId="17">'3083'!$A$14</definedName>
    <definedName name="_102_Basic_4_8" localSheetId="18">'3345'!$A$14</definedName>
    <definedName name="_102_Basic_4_8" localSheetId="19">'3362'!$A$14</definedName>
    <definedName name="_102_Basic_4_8" localSheetId="20">'3381'!$A$14</definedName>
    <definedName name="_102_Basic_4_8" localSheetId="21">'3382'!$A$14</definedName>
    <definedName name="_102_Basic_4_8" localSheetId="22">'3391'!$A$14</definedName>
    <definedName name="_102_Basic_4_8" localSheetId="23">'3394'!$A$14</definedName>
    <definedName name="_102_Basic_4_8" localSheetId="24">'3395'!$A$14</definedName>
    <definedName name="_102_Basic_4_8" localSheetId="25">'3396'!$A$14</definedName>
    <definedName name="_102_Basic_4_8" localSheetId="26">'3398'!$A$14</definedName>
    <definedName name="_102_Basic_4_8" localSheetId="27">'3400'!$A$14</definedName>
    <definedName name="_102_Basic_4_8" localSheetId="28">'3401'!$A$14</definedName>
    <definedName name="_102_Basic_4_8" localSheetId="29">'3413'!$A$14</definedName>
    <definedName name="_102_Basic_4_8" localSheetId="30">'3421'!$A$14</definedName>
    <definedName name="_102_Basic_4_8" localSheetId="31">'3431'!$A$14</definedName>
    <definedName name="_102_Basic_4_8" localSheetId="32">'3441'!$A$14</definedName>
    <definedName name="_102_Basic_4_8" localSheetId="33">'3924'!$A$14</definedName>
    <definedName name="_102_Basic_4_8" localSheetId="34">'3941'!$A$14</definedName>
    <definedName name="_102_Basic_4_8" localSheetId="35">'3961'!$A$14</definedName>
    <definedName name="_102_Basic_4_8" localSheetId="36">'3971'!$A$14</definedName>
    <definedName name="_102_Basic_4_8" localSheetId="37">'4001'!$A$14</definedName>
    <definedName name="_102_Basic_4_8" localSheetId="38">'4002'!$A$14</definedName>
    <definedName name="_102_Basic_4_8" localSheetId="39">'4012'!$A$14</definedName>
    <definedName name="_102_Basic_4_8" localSheetId="40">'4013'!$A$14</definedName>
    <definedName name="_102_Basic_4_8" localSheetId="41">'4020'!$A$14</definedName>
    <definedName name="_102_Basic_4_8" localSheetId="42">'4030'!$A$14</definedName>
    <definedName name="_102_Basic_4_8" localSheetId="43">'4031'!$A$14</definedName>
    <definedName name="_102_Basic_4_8" localSheetId="44">'4041'!$A$14</definedName>
    <definedName name="_102_Basic_4_8" localSheetId="45">'4050'!$A$14</definedName>
    <definedName name="_102_Basic_4_8" localSheetId="46">'4051'!$A$14</definedName>
    <definedName name="_102_Basic_4_8" localSheetId="47">'4061'!$A$14</definedName>
    <definedName name="_102_Basic_4_8" localSheetId="48">'4080'!$A$14</definedName>
    <definedName name="_102_Basic_4_8" localSheetId="49">'4081'!$A$14</definedName>
    <definedName name="_102_Basic_4_8" localSheetId="50">'4090'!$A$14</definedName>
    <definedName name="_102_Basic_4_8" localSheetId="51">'4091'!$A$14</definedName>
    <definedName name="_102_Basic_4_8" localSheetId="52">'4100'!$A$14</definedName>
    <definedName name="_102_Basic_4_8" localSheetId="53">'4102'!$A$14</definedName>
    <definedName name="_102_Basic_4_8" localSheetId="54">'4103'!$A$14</definedName>
    <definedName name="_102_Basic_4_8" localSheetId="55">'4111'!$A$14</definedName>
    <definedName name="_102_Basic_4_8" localSheetId="56">'4131'!$A$14</definedName>
    <definedName name="_102_Basic_4_8">'0040'!$A$14</definedName>
    <definedName name="_103_Basic_9_12" localSheetId="8">'0100'!$A$16</definedName>
    <definedName name="_103_Basic_9_12" localSheetId="7">'0571'!$A$16</definedName>
    <definedName name="_103_Basic_9_12" localSheetId="9">'1461'!$A$16</definedName>
    <definedName name="_103_Basic_9_12" localSheetId="10">'1571'!$A$16</definedName>
    <definedName name="_103_Basic_9_12" localSheetId="11">'2521'!$A$16</definedName>
    <definedName name="_103_Basic_9_12" localSheetId="12">'2531'!$A$16</definedName>
    <definedName name="_103_Basic_9_12" localSheetId="13">'2791'!$A$16</definedName>
    <definedName name="_103_Basic_9_12" localSheetId="14">'2801'!$A$16</definedName>
    <definedName name="_103_Basic_9_12" localSheetId="15">'2911'!$A$16</definedName>
    <definedName name="_103_Basic_9_12" localSheetId="16">'2941'!$A$16</definedName>
    <definedName name="_103_Basic_9_12" localSheetId="17">'3083'!$A$16</definedName>
    <definedName name="_103_Basic_9_12" localSheetId="18">'3345'!$A$16</definedName>
    <definedName name="_103_Basic_9_12" localSheetId="19">'3362'!$A$16</definedName>
    <definedName name="_103_Basic_9_12" localSheetId="20">'3381'!$A$16</definedName>
    <definedName name="_103_Basic_9_12" localSheetId="21">'3382'!$A$16</definedName>
    <definedName name="_103_Basic_9_12" localSheetId="22">'3391'!$A$16</definedName>
    <definedName name="_103_Basic_9_12" localSheetId="23">'3394'!$A$16</definedName>
    <definedName name="_103_Basic_9_12" localSheetId="24">'3395'!$A$16</definedName>
    <definedName name="_103_Basic_9_12" localSheetId="25">'3396'!$A$16</definedName>
    <definedName name="_103_Basic_9_12" localSheetId="26">'3398'!$A$16</definedName>
    <definedName name="_103_Basic_9_12" localSheetId="27">'3400'!$A$16</definedName>
    <definedName name="_103_Basic_9_12" localSheetId="28">'3401'!$A$16</definedName>
    <definedName name="_103_Basic_9_12" localSheetId="29">'3413'!$A$16</definedName>
    <definedName name="_103_Basic_9_12" localSheetId="30">'3421'!$A$16</definedName>
    <definedName name="_103_Basic_9_12" localSheetId="31">'3431'!$A$16</definedName>
    <definedName name="_103_Basic_9_12" localSheetId="32">'3441'!$A$16</definedName>
    <definedName name="_103_Basic_9_12" localSheetId="33">'3924'!$A$16</definedName>
    <definedName name="_103_Basic_9_12" localSheetId="34">'3941'!$A$16</definedName>
    <definedName name="_103_Basic_9_12" localSheetId="35">'3961'!$A$16</definedName>
    <definedName name="_103_Basic_9_12" localSheetId="36">'3971'!$A$16</definedName>
    <definedName name="_103_Basic_9_12" localSheetId="37">'4001'!$A$16</definedName>
    <definedName name="_103_Basic_9_12" localSheetId="38">'4002'!$A$16</definedName>
    <definedName name="_103_Basic_9_12" localSheetId="39">'4012'!$A$16</definedName>
    <definedName name="_103_Basic_9_12" localSheetId="40">'4013'!$A$16</definedName>
    <definedName name="_103_Basic_9_12" localSheetId="41">'4020'!$A$16</definedName>
    <definedName name="_103_Basic_9_12" localSheetId="42">'4030'!$A$16</definedName>
    <definedName name="_103_Basic_9_12" localSheetId="43">'4031'!$A$16</definedName>
    <definedName name="_103_Basic_9_12" localSheetId="44">'4041'!$A$16</definedName>
    <definedName name="_103_Basic_9_12" localSheetId="45">'4050'!$A$16</definedName>
    <definedName name="_103_Basic_9_12" localSheetId="46">'4051'!$A$16</definedName>
    <definedName name="_103_Basic_9_12" localSheetId="47">'4061'!$A$16</definedName>
    <definedName name="_103_Basic_9_12" localSheetId="48">'4080'!$A$16</definedName>
    <definedName name="_103_Basic_9_12" localSheetId="49">'4081'!$A$16</definedName>
    <definedName name="_103_Basic_9_12" localSheetId="50">'4090'!$A$16</definedName>
    <definedName name="_103_Basic_9_12" localSheetId="51">'4091'!$A$16</definedName>
    <definedName name="_103_Basic_9_12" localSheetId="52">'4100'!$A$16</definedName>
    <definedName name="_103_Basic_9_12" localSheetId="53">'4102'!$A$16</definedName>
    <definedName name="_103_Basic_9_12" localSheetId="54">'4103'!$A$16</definedName>
    <definedName name="_103_Basic_9_12" localSheetId="55">'4111'!$A$16</definedName>
    <definedName name="_103_Basic_9_12" localSheetId="56">'4131'!$A$16</definedName>
    <definedName name="_103_Basic_9_12">'0040'!$A$16</definedName>
    <definedName name="_111_Basic_K_3_with_ESE_Services" localSheetId="8">'0100'!$A$13</definedName>
    <definedName name="_111_Basic_K_3_with_ESE_Services" localSheetId="7">'0571'!$A$13</definedName>
    <definedName name="_111_Basic_K_3_with_ESE_Services" localSheetId="9">'1461'!$A$13</definedName>
    <definedName name="_111_Basic_K_3_with_ESE_Services" localSheetId="10">'1571'!$A$13</definedName>
    <definedName name="_111_Basic_K_3_with_ESE_Services" localSheetId="11">'2521'!$A$13</definedName>
    <definedName name="_111_Basic_K_3_with_ESE_Services" localSheetId="12">'2531'!$A$13</definedName>
    <definedName name="_111_Basic_K_3_with_ESE_Services" localSheetId="13">'2791'!$A$13</definedName>
    <definedName name="_111_Basic_K_3_with_ESE_Services" localSheetId="14">'2801'!$A$13</definedName>
    <definedName name="_111_Basic_K_3_with_ESE_Services" localSheetId="15">'2911'!$A$13</definedName>
    <definedName name="_111_Basic_K_3_with_ESE_Services" localSheetId="16">'2941'!$A$13</definedName>
    <definedName name="_111_Basic_K_3_with_ESE_Services" localSheetId="17">'3083'!$A$13</definedName>
    <definedName name="_111_Basic_K_3_with_ESE_Services" localSheetId="18">'3345'!$A$13</definedName>
    <definedName name="_111_Basic_K_3_with_ESE_Services" localSheetId="19">'3362'!$A$13</definedName>
    <definedName name="_111_Basic_K_3_with_ESE_Services" localSheetId="20">'3381'!$A$13</definedName>
    <definedName name="_111_Basic_K_3_with_ESE_Services" localSheetId="21">'3382'!$A$13</definedName>
    <definedName name="_111_Basic_K_3_with_ESE_Services" localSheetId="22">'3391'!$A$13</definedName>
    <definedName name="_111_Basic_K_3_with_ESE_Services" localSheetId="23">'3394'!$A$13</definedName>
    <definedName name="_111_Basic_K_3_with_ESE_Services" localSheetId="24">'3395'!$A$13</definedName>
    <definedName name="_111_Basic_K_3_with_ESE_Services" localSheetId="25">'3396'!$A$13</definedName>
    <definedName name="_111_Basic_K_3_with_ESE_Services" localSheetId="26">'3398'!$A$13</definedName>
    <definedName name="_111_Basic_K_3_with_ESE_Services" localSheetId="27">'3400'!$A$13</definedName>
    <definedName name="_111_Basic_K_3_with_ESE_Services" localSheetId="28">'3401'!$A$13</definedName>
    <definedName name="_111_Basic_K_3_with_ESE_Services" localSheetId="29">'3413'!$A$13</definedName>
    <definedName name="_111_Basic_K_3_with_ESE_Services" localSheetId="30">'3421'!$A$13</definedName>
    <definedName name="_111_Basic_K_3_with_ESE_Services" localSheetId="31">'3431'!$A$13</definedName>
    <definedName name="_111_Basic_K_3_with_ESE_Services" localSheetId="32">'3441'!$A$13</definedName>
    <definedName name="_111_Basic_K_3_with_ESE_Services" localSheetId="33">'3924'!$A$13</definedName>
    <definedName name="_111_Basic_K_3_with_ESE_Services" localSheetId="34">'3941'!$A$13</definedName>
    <definedName name="_111_Basic_K_3_with_ESE_Services" localSheetId="35">'3961'!$A$13</definedName>
    <definedName name="_111_Basic_K_3_with_ESE_Services" localSheetId="36">'3971'!$A$13</definedName>
    <definedName name="_111_Basic_K_3_with_ESE_Services" localSheetId="37">'4001'!$A$13</definedName>
    <definedName name="_111_Basic_K_3_with_ESE_Services" localSheetId="38">'4002'!$A$13</definedName>
    <definedName name="_111_Basic_K_3_with_ESE_Services" localSheetId="39">'4012'!$A$13</definedName>
    <definedName name="_111_Basic_K_3_with_ESE_Services" localSheetId="40">'4013'!$A$13</definedName>
    <definedName name="_111_Basic_K_3_with_ESE_Services" localSheetId="41">'4020'!$A$13</definedName>
    <definedName name="_111_Basic_K_3_with_ESE_Services" localSheetId="42">'4030'!$A$13</definedName>
    <definedName name="_111_Basic_K_3_with_ESE_Services" localSheetId="43">'4031'!$A$13</definedName>
    <definedName name="_111_Basic_K_3_with_ESE_Services" localSheetId="44">'4041'!$A$13</definedName>
    <definedName name="_111_Basic_K_3_with_ESE_Services" localSheetId="45">'4050'!$A$13</definedName>
    <definedName name="_111_Basic_K_3_with_ESE_Services" localSheetId="46">'4051'!$A$13</definedName>
    <definedName name="_111_Basic_K_3_with_ESE_Services" localSheetId="47">'4061'!$A$13</definedName>
    <definedName name="_111_Basic_K_3_with_ESE_Services" localSheetId="48">'4080'!$A$13</definedName>
    <definedName name="_111_Basic_K_3_with_ESE_Services" localSheetId="49">'4081'!$A$13</definedName>
    <definedName name="_111_Basic_K_3_with_ESE_Services" localSheetId="50">'4090'!$A$13</definedName>
    <definedName name="_111_Basic_K_3_with_ESE_Services" localSheetId="51">'4091'!$A$13</definedName>
    <definedName name="_111_Basic_K_3_with_ESE_Services" localSheetId="52">'4100'!$A$13</definedName>
    <definedName name="_111_Basic_K_3_with_ESE_Services" localSheetId="53">'4102'!$A$13</definedName>
    <definedName name="_111_Basic_K_3_with_ESE_Services" localSheetId="54">'4103'!$A$13</definedName>
    <definedName name="_111_Basic_K_3_with_ESE_Services" localSheetId="55">'4111'!$A$13</definedName>
    <definedName name="_111_Basic_K_3_with_ESE_Services" localSheetId="56">'4131'!$A$13</definedName>
    <definedName name="_111_Basic_K_3_with_ESE_Services">'0040'!$A$13</definedName>
    <definedName name="_112_Basic_4_8_with_ESE_Services" localSheetId="8">'0100'!$A$15</definedName>
    <definedName name="_112_Basic_4_8_with_ESE_Services" localSheetId="7">'0571'!$A$15</definedName>
    <definedName name="_112_Basic_4_8_with_ESE_Services" localSheetId="9">'1461'!$A$15</definedName>
    <definedName name="_112_Basic_4_8_with_ESE_Services" localSheetId="10">'1571'!$A$15</definedName>
    <definedName name="_112_Basic_4_8_with_ESE_Services" localSheetId="11">'2521'!$A$15</definedName>
    <definedName name="_112_Basic_4_8_with_ESE_Services" localSheetId="12">'2531'!$A$15</definedName>
    <definedName name="_112_Basic_4_8_with_ESE_Services" localSheetId="13">'2791'!$A$15</definedName>
    <definedName name="_112_Basic_4_8_with_ESE_Services" localSheetId="14">'2801'!$A$15</definedName>
    <definedName name="_112_Basic_4_8_with_ESE_Services" localSheetId="15">'2911'!$A$15</definedName>
    <definedName name="_112_Basic_4_8_with_ESE_Services" localSheetId="16">'2941'!$A$15</definedName>
    <definedName name="_112_Basic_4_8_with_ESE_Services" localSheetId="17">'3083'!$A$15</definedName>
    <definedName name="_112_Basic_4_8_with_ESE_Services" localSheetId="18">'3345'!$A$15</definedName>
    <definedName name="_112_Basic_4_8_with_ESE_Services" localSheetId="19">'3362'!$A$15</definedName>
    <definedName name="_112_Basic_4_8_with_ESE_Services" localSheetId="20">'3381'!$A$15</definedName>
    <definedName name="_112_Basic_4_8_with_ESE_Services" localSheetId="21">'3382'!$A$15</definedName>
    <definedName name="_112_Basic_4_8_with_ESE_Services" localSheetId="22">'3391'!$A$15</definedName>
    <definedName name="_112_Basic_4_8_with_ESE_Services" localSheetId="23">'3394'!$A$15</definedName>
    <definedName name="_112_Basic_4_8_with_ESE_Services" localSheetId="24">'3395'!$A$15</definedName>
    <definedName name="_112_Basic_4_8_with_ESE_Services" localSheetId="25">'3396'!$A$15</definedName>
    <definedName name="_112_Basic_4_8_with_ESE_Services" localSheetId="26">'3398'!$A$15</definedName>
    <definedName name="_112_Basic_4_8_with_ESE_Services" localSheetId="27">'3400'!$A$15</definedName>
    <definedName name="_112_Basic_4_8_with_ESE_Services" localSheetId="28">'3401'!$A$15</definedName>
    <definedName name="_112_Basic_4_8_with_ESE_Services" localSheetId="29">'3413'!$A$15</definedName>
    <definedName name="_112_Basic_4_8_with_ESE_Services" localSheetId="30">'3421'!$A$15</definedName>
    <definedName name="_112_Basic_4_8_with_ESE_Services" localSheetId="31">'3431'!$A$15</definedName>
    <definedName name="_112_Basic_4_8_with_ESE_Services" localSheetId="32">'3441'!$A$15</definedName>
    <definedName name="_112_Basic_4_8_with_ESE_Services" localSheetId="33">'3924'!$A$15</definedName>
    <definedName name="_112_Basic_4_8_with_ESE_Services" localSheetId="34">'3941'!$A$15</definedName>
    <definedName name="_112_Basic_4_8_with_ESE_Services" localSheetId="35">'3961'!$A$15</definedName>
    <definedName name="_112_Basic_4_8_with_ESE_Services" localSheetId="36">'3971'!$A$15</definedName>
    <definedName name="_112_Basic_4_8_with_ESE_Services" localSheetId="37">'4001'!$A$15</definedName>
    <definedName name="_112_Basic_4_8_with_ESE_Services" localSheetId="38">'4002'!$A$15</definedName>
    <definedName name="_112_Basic_4_8_with_ESE_Services" localSheetId="39">'4012'!$A$15</definedName>
    <definedName name="_112_Basic_4_8_with_ESE_Services" localSheetId="40">'4013'!$A$15</definedName>
    <definedName name="_112_Basic_4_8_with_ESE_Services" localSheetId="41">'4020'!$A$15</definedName>
    <definedName name="_112_Basic_4_8_with_ESE_Services" localSheetId="42">'4030'!$A$15</definedName>
    <definedName name="_112_Basic_4_8_with_ESE_Services" localSheetId="43">'4031'!$A$15</definedName>
    <definedName name="_112_Basic_4_8_with_ESE_Services" localSheetId="44">'4041'!$A$15</definedName>
    <definedName name="_112_Basic_4_8_with_ESE_Services" localSheetId="45">'4050'!$A$15</definedName>
    <definedName name="_112_Basic_4_8_with_ESE_Services" localSheetId="46">'4051'!$A$15</definedName>
    <definedName name="_112_Basic_4_8_with_ESE_Services" localSheetId="47">'4061'!$A$15</definedName>
    <definedName name="_112_Basic_4_8_with_ESE_Services" localSheetId="48">'4080'!$A$15</definedName>
    <definedName name="_112_Basic_4_8_with_ESE_Services" localSheetId="49">'4081'!$A$15</definedName>
    <definedName name="_112_Basic_4_8_with_ESE_Services" localSheetId="50">'4090'!$A$15</definedName>
    <definedName name="_112_Basic_4_8_with_ESE_Services" localSheetId="51">'4091'!$A$15</definedName>
    <definedName name="_112_Basic_4_8_with_ESE_Services" localSheetId="52">'4100'!$A$15</definedName>
    <definedName name="_112_Basic_4_8_with_ESE_Services" localSheetId="53">'4102'!$A$15</definedName>
    <definedName name="_112_Basic_4_8_with_ESE_Services" localSheetId="54">'4103'!$A$15</definedName>
    <definedName name="_112_Basic_4_8_with_ESE_Services" localSheetId="55">'4111'!$A$15</definedName>
    <definedName name="_112_Basic_4_8_with_ESE_Services" localSheetId="56">'4131'!$A$15</definedName>
    <definedName name="_112_Basic_4_8_with_ESE_Services">'0040'!$A$15</definedName>
    <definedName name="_113_Basic_9_12_with_ESE_Services" localSheetId="8">'0100'!$A$17</definedName>
    <definedName name="_113_Basic_9_12_with_ESE_Services" localSheetId="7">'0571'!$A$17</definedName>
    <definedName name="_113_Basic_9_12_with_ESE_Services" localSheetId="9">'1461'!$A$17</definedName>
    <definedName name="_113_Basic_9_12_with_ESE_Services" localSheetId="10">'1571'!$A$17</definedName>
    <definedName name="_113_Basic_9_12_with_ESE_Services" localSheetId="11">'2521'!$A$17</definedName>
    <definedName name="_113_Basic_9_12_with_ESE_Services" localSheetId="12">'2531'!$A$17</definedName>
    <definedName name="_113_Basic_9_12_with_ESE_Services" localSheetId="13">'2791'!$A$17</definedName>
    <definedName name="_113_Basic_9_12_with_ESE_Services" localSheetId="14">'2801'!$A$17</definedName>
    <definedName name="_113_Basic_9_12_with_ESE_Services" localSheetId="15">'2911'!$A$17</definedName>
    <definedName name="_113_Basic_9_12_with_ESE_Services" localSheetId="16">'2941'!$A$17</definedName>
    <definedName name="_113_Basic_9_12_with_ESE_Services" localSheetId="17">'3083'!$A$17</definedName>
    <definedName name="_113_Basic_9_12_with_ESE_Services" localSheetId="18">'3345'!$A$17</definedName>
    <definedName name="_113_Basic_9_12_with_ESE_Services" localSheetId="19">'3362'!$A$17</definedName>
    <definedName name="_113_Basic_9_12_with_ESE_Services" localSheetId="20">'3381'!$A$17</definedName>
    <definedName name="_113_Basic_9_12_with_ESE_Services" localSheetId="21">'3382'!$A$17</definedName>
    <definedName name="_113_Basic_9_12_with_ESE_Services" localSheetId="22">'3391'!$A$17</definedName>
    <definedName name="_113_Basic_9_12_with_ESE_Services" localSheetId="23">'3394'!$A$17</definedName>
    <definedName name="_113_Basic_9_12_with_ESE_Services" localSheetId="24">'3395'!$A$17</definedName>
    <definedName name="_113_Basic_9_12_with_ESE_Services" localSheetId="25">'3396'!$A$17</definedName>
    <definedName name="_113_Basic_9_12_with_ESE_Services" localSheetId="26">'3398'!$A$17</definedName>
    <definedName name="_113_Basic_9_12_with_ESE_Services" localSheetId="27">'3400'!$A$17</definedName>
    <definedName name="_113_Basic_9_12_with_ESE_Services" localSheetId="28">'3401'!$A$17</definedName>
    <definedName name="_113_Basic_9_12_with_ESE_Services" localSheetId="29">'3413'!$A$17</definedName>
    <definedName name="_113_Basic_9_12_with_ESE_Services" localSheetId="30">'3421'!$A$17</definedName>
    <definedName name="_113_Basic_9_12_with_ESE_Services" localSheetId="31">'3431'!$A$17</definedName>
    <definedName name="_113_Basic_9_12_with_ESE_Services" localSheetId="32">'3441'!$A$17</definedName>
    <definedName name="_113_Basic_9_12_with_ESE_Services" localSheetId="33">'3924'!$A$17</definedName>
    <definedName name="_113_Basic_9_12_with_ESE_Services" localSheetId="34">'3941'!$A$17</definedName>
    <definedName name="_113_Basic_9_12_with_ESE_Services" localSheetId="35">'3961'!$A$17</definedName>
    <definedName name="_113_Basic_9_12_with_ESE_Services" localSheetId="36">'3971'!$A$17</definedName>
    <definedName name="_113_Basic_9_12_with_ESE_Services" localSheetId="37">'4001'!$A$17</definedName>
    <definedName name="_113_Basic_9_12_with_ESE_Services" localSheetId="38">'4002'!$A$17</definedName>
    <definedName name="_113_Basic_9_12_with_ESE_Services" localSheetId="39">'4012'!$A$17</definedName>
    <definedName name="_113_Basic_9_12_with_ESE_Services" localSheetId="40">'4013'!$A$17</definedName>
    <definedName name="_113_Basic_9_12_with_ESE_Services" localSheetId="41">'4020'!$A$17</definedName>
    <definedName name="_113_Basic_9_12_with_ESE_Services" localSheetId="42">'4030'!$A$17</definedName>
    <definedName name="_113_Basic_9_12_with_ESE_Services" localSheetId="43">'4031'!$A$17</definedName>
    <definedName name="_113_Basic_9_12_with_ESE_Services" localSheetId="44">'4041'!$A$17</definedName>
    <definedName name="_113_Basic_9_12_with_ESE_Services" localSheetId="45">'4050'!$A$17</definedName>
    <definedName name="_113_Basic_9_12_with_ESE_Services" localSheetId="46">'4051'!$A$17</definedName>
    <definedName name="_113_Basic_9_12_with_ESE_Services" localSheetId="47">'4061'!$A$17</definedName>
    <definedName name="_113_Basic_9_12_with_ESE_Services" localSheetId="48">'4080'!$A$17</definedName>
    <definedName name="_113_Basic_9_12_with_ESE_Services" localSheetId="49">'4081'!$A$17</definedName>
    <definedName name="_113_Basic_9_12_with_ESE_Services" localSheetId="50">'4090'!$A$17</definedName>
    <definedName name="_113_Basic_9_12_with_ESE_Services" localSheetId="51">'4091'!$A$17</definedName>
    <definedName name="_113_Basic_9_12_with_ESE_Services" localSheetId="52">'4100'!$A$17</definedName>
    <definedName name="_113_Basic_9_12_with_ESE_Services" localSheetId="53">'4102'!$A$17</definedName>
    <definedName name="_113_Basic_9_12_with_ESE_Services" localSheetId="54">'4103'!$A$17</definedName>
    <definedName name="_113_Basic_9_12_with_ESE_Services" localSheetId="55">'4111'!$A$17</definedName>
    <definedName name="_113_Basic_9_12_with_ESE_Services" localSheetId="56">'4131'!$A$17</definedName>
    <definedName name="_113_Basic_9_12_with_ESE_Services">'0040'!$A$17</definedName>
    <definedName name="_130_ESOL__Grade_Level_4_8" localSheetId="8">'0100'!$A$25</definedName>
    <definedName name="_130_ESOL__Grade_Level_4_8" localSheetId="7">'0571'!$A$25</definedName>
    <definedName name="_130_ESOL__Grade_Level_4_8" localSheetId="9">'1461'!$A$25</definedName>
    <definedName name="_130_ESOL__Grade_Level_4_8" localSheetId="10">'1571'!$A$25</definedName>
    <definedName name="_130_ESOL__Grade_Level_4_8" localSheetId="11">'2521'!$A$25</definedName>
    <definedName name="_130_ESOL__Grade_Level_4_8" localSheetId="12">'2531'!$A$25</definedName>
    <definedName name="_130_ESOL__Grade_Level_4_8" localSheetId="13">'2791'!$A$25</definedName>
    <definedName name="_130_ESOL__Grade_Level_4_8" localSheetId="14">'2801'!$A$25</definedName>
    <definedName name="_130_ESOL__Grade_Level_4_8" localSheetId="15">'2911'!$A$25</definedName>
    <definedName name="_130_ESOL__Grade_Level_4_8" localSheetId="16">'2941'!$A$25</definedName>
    <definedName name="_130_ESOL__Grade_Level_4_8" localSheetId="17">'3083'!$A$25</definedName>
    <definedName name="_130_ESOL__Grade_Level_4_8" localSheetId="18">'3345'!$A$25</definedName>
    <definedName name="_130_ESOL__Grade_Level_4_8" localSheetId="19">'3362'!$A$25</definedName>
    <definedName name="_130_ESOL__Grade_Level_4_8" localSheetId="20">'3381'!$A$25</definedName>
    <definedName name="_130_ESOL__Grade_Level_4_8" localSheetId="21">'3382'!$A$25</definedName>
    <definedName name="_130_ESOL__Grade_Level_4_8" localSheetId="22">'3391'!$A$25</definedName>
    <definedName name="_130_ESOL__Grade_Level_4_8" localSheetId="23">'3394'!$A$25</definedName>
    <definedName name="_130_ESOL__Grade_Level_4_8" localSheetId="24">'3395'!$A$25</definedName>
    <definedName name="_130_ESOL__Grade_Level_4_8" localSheetId="25">'3396'!$A$25</definedName>
    <definedName name="_130_ESOL__Grade_Level_4_8" localSheetId="26">'3398'!$A$25</definedName>
    <definedName name="_130_ESOL__Grade_Level_4_8" localSheetId="27">'3400'!$A$25</definedName>
    <definedName name="_130_ESOL__Grade_Level_4_8" localSheetId="28">'3401'!$A$25</definedName>
    <definedName name="_130_ESOL__Grade_Level_4_8" localSheetId="29">'3413'!$A$25</definedName>
    <definedName name="_130_ESOL__Grade_Level_4_8" localSheetId="30">'3421'!$A$25</definedName>
    <definedName name="_130_ESOL__Grade_Level_4_8" localSheetId="31">'3431'!$A$25</definedName>
    <definedName name="_130_ESOL__Grade_Level_4_8" localSheetId="32">'3441'!$A$25</definedName>
    <definedName name="_130_ESOL__Grade_Level_4_8" localSheetId="33">'3924'!$A$25</definedName>
    <definedName name="_130_ESOL__Grade_Level_4_8" localSheetId="34">'3941'!$A$25</definedName>
    <definedName name="_130_ESOL__Grade_Level_4_8" localSheetId="35">'3961'!$A$25</definedName>
    <definedName name="_130_ESOL__Grade_Level_4_8" localSheetId="36">'3971'!$A$25</definedName>
    <definedName name="_130_ESOL__Grade_Level_4_8" localSheetId="37">'4001'!$A$25</definedName>
    <definedName name="_130_ESOL__Grade_Level_4_8" localSheetId="38">'4002'!$A$25</definedName>
    <definedName name="_130_ESOL__Grade_Level_4_8" localSheetId="39">'4012'!$A$25</definedName>
    <definedName name="_130_ESOL__Grade_Level_4_8" localSheetId="40">'4013'!$A$25</definedName>
    <definedName name="_130_ESOL__Grade_Level_4_8" localSheetId="41">'4020'!$A$25</definedName>
    <definedName name="_130_ESOL__Grade_Level_4_8" localSheetId="42">'4030'!$A$25</definedName>
    <definedName name="_130_ESOL__Grade_Level_4_8" localSheetId="43">'4031'!$A$25</definedName>
    <definedName name="_130_ESOL__Grade_Level_4_8" localSheetId="44">'4041'!$A$25</definedName>
    <definedName name="_130_ESOL__Grade_Level_4_8" localSheetId="45">'4050'!$A$25</definedName>
    <definedName name="_130_ESOL__Grade_Level_4_8" localSheetId="46">'4051'!$A$25</definedName>
    <definedName name="_130_ESOL__Grade_Level_4_8" localSheetId="47">'4061'!$A$25</definedName>
    <definedName name="_130_ESOL__Grade_Level_4_8" localSheetId="48">'4080'!$A$25</definedName>
    <definedName name="_130_ESOL__Grade_Level_4_8" localSheetId="49">'4081'!$A$25</definedName>
    <definedName name="_130_ESOL__Grade_Level_4_8" localSheetId="50">'4090'!$A$25</definedName>
    <definedName name="_130_ESOL__Grade_Level_4_8" localSheetId="51">'4091'!$A$25</definedName>
    <definedName name="_130_ESOL__Grade_Level_4_8" localSheetId="52">'4100'!$A$25</definedName>
    <definedName name="_130_ESOL__Grade_Level_4_8" localSheetId="53">'4102'!$A$25</definedName>
    <definedName name="_130_ESOL__Grade_Level_4_8" localSheetId="54">'4103'!$A$25</definedName>
    <definedName name="_130_ESOL__Grade_Level_4_8" localSheetId="55">'4111'!$A$25</definedName>
    <definedName name="_130_ESOL__Grade_Level_4_8" localSheetId="56">'4131'!$A$25</definedName>
    <definedName name="_130_ESOL__Grade_Level_4_8">'0040'!$A$25</definedName>
    <definedName name="_130_ESOL__Grade_Level_9_12" localSheetId="8">'0100'!$A$26</definedName>
    <definedName name="_130_ESOL__Grade_Level_9_12" localSheetId="7">'0571'!$A$26</definedName>
    <definedName name="_130_ESOL__Grade_Level_9_12" localSheetId="9">'1461'!$A$26</definedName>
    <definedName name="_130_ESOL__Grade_Level_9_12" localSheetId="10">'1571'!$A$26</definedName>
    <definedName name="_130_ESOL__Grade_Level_9_12" localSheetId="11">'2521'!$A$26</definedName>
    <definedName name="_130_ESOL__Grade_Level_9_12" localSheetId="12">'2531'!$A$26</definedName>
    <definedName name="_130_ESOL__Grade_Level_9_12" localSheetId="13">'2791'!$A$26</definedName>
    <definedName name="_130_ESOL__Grade_Level_9_12" localSheetId="14">'2801'!$A$26</definedName>
    <definedName name="_130_ESOL__Grade_Level_9_12" localSheetId="15">'2911'!$A$26</definedName>
    <definedName name="_130_ESOL__Grade_Level_9_12" localSheetId="16">'2941'!$A$26</definedName>
    <definedName name="_130_ESOL__Grade_Level_9_12" localSheetId="17">'3083'!$A$26</definedName>
    <definedName name="_130_ESOL__Grade_Level_9_12" localSheetId="18">'3345'!$A$26</definedName>
    <definedName name="_130_ESOL__Grade_Level_9_12" localSheetId="19">'3362'!$A$26</definedName>
    <definedName name="_130_ESOL__Grade_Level_9_12" localSheetId="20">'3381'!$A$26</definedName>
    <definedName name="_130_ESOL__Grade_Level_9_12" localSheetId="21">'3382'!$A$26</definedName>
    <definedName name="_130_ESOL__Grade_Level_9_12" localSheetId="22">'3391'!$A$26</definedName>
    <definedName name="_130_ESOL__Grade_Level_9_12" localSheetId="23">'3394'!$A$26</definedName>
    <definedName name="_130_ESOL__Grade_Level_9_12" localSheetId="24">'3395'!$A$26</definedName>
    <definedName name="_130_ESOL__Grade_Level_9_12" localSheetId="25">'3396'!$A$26</definedName>
    <definedName name="_130_ESOL__Grade_Level_9_12" localSheetId="26">'3398'!$A$26</definedName>
    <definedName name="_130_ESOL__Grade_Level_9_12" localSheetId="27">'3400'!$A$26</definedName>
    <definedName name="_130_ESOL__Grade_Level_9_12" localSheetId="28">'3401'!$A$26</definedName>
    <definedName name="_130_ESOL__Grade_Level_9_12" localSheetId="29">'3413'!$A$26</definedName>
    <definedName name="_130_ESOL__Grade_Level_9_12" localSheetId="30">'3421'!$A$26</definedName>
    <definedName name="_130_ESOL__Grade_Level_9_12" localSheetId="31">'3431'!$A$26</definedName>
    <definedName name="_130_ESOL__Grade_Level_9_12" localSheetId="32">'3441'!$A$26</definedName>
    <definedName name="_130_ESOL__Grade_Level_9_12" localSheetId="33">'3924'!$A$26</definedName>
    <definedName name="_130_ESOL__Grade_Level_9_12" localSheetId="34">'3941'!$A$26</definedName>
    <definedName name="_130_ESOL__Grade_Level_9_12" localSheetId="35">'3961'!$A$26</definedName>
    <definedName name="_130_ESOL__Grade_Level_9_12" localSheetId="36">'3971'!$A$26</definedName>
    <definedName name="_130_ESOL__Grade_Level_9_12" localSheetId="37">'4001'!$A$26</definedName>
    <definedName name="_130_ESOL__Grade_Level_9_12" localSheetId="38">'4002'!$A$26</definedName>
    <definedName name="_130_ESOL__Grade_Level_9_12" localSheetId="39">'4012'!$A$26</definedName>
    <definedName name="_130_ESOL__Grade_Level_9_12" localSheetId="40">'4013'!$A$26</definedName>
    <definedName name="_130_ESOL__Grade_Level_9_12" localSheetId="41">'4020'!$A$26</definedName>
    <definedName name="_130_ESOL__Grade_Level_9_12" localSheetId="42">'4030'!$A$26</definedName>
    <definedName name="_130_ESOL__Grade_Level_9_12" localSheetId="43">'4031'!$A$26</definedName>
    <definedName name="_130_ESOL__Grade_Level_9_12" localSheetId="44">'4041'!$A$26</definedName>
    <definedName name="_130_ESOL__Grade_Level_9_12" localSheetId="45">'4050'!$A$26</definedName>
    <definedName name="_130_ESOL__Grade_Level_9_12" localSheetId="46">'4051'!$A$26</definedName>
    <definedName name="_130_ESOL__Grade_Level_9_12" localSheetId="47">'4061'!$A$26</definedName>
    <definedName name="_130_ESOL__Grade_Level_9_12" localSheetId="48">'4080'!$A$26</definedName>
    <definedName name="_130_ESOL__Grade_Level_9_12" localSheetId="49">'4081'!$A$26</definedName>
    <definedName name="_130_ESOL__Grade_Level_9_12" localSheetId="50">'4090'!$A$26</definedName>
    <definedName name="_130_ESOL__Grade_Level_9_12" localSheetId="51">'4091'!$A$26</definedName>
    <definedName name="_130_ESOL__Grade_Level_9_12" localSheetId="52">'4100'!$A$26</definedName>
    <definedName name="_130_ESOL__Grade_Level_9_12" localSheetId="53">'4102'!$A$26</definedName>
    <definedName name="_130_ESOL__Grade_Level_9_12" localSheetId="54">'4103'!$A$26</definedName>
    <definedName name="_130_ESOL__Grade_Level_9_12" localSheetId="55">'4111'!$A$26</definedName>
    <definedName name="_130_ESOL__Grade_Level_9_12" localSheetId="56">'4131'!$A$26</definedName>
    <definedName name="_130_ESOL__Grade_Level_9_12">'0040'!$A$26</definedName>
    <definedName name="_130_ESOL__Grade_Level_PK_3" localSheetId="8">'0100'!$A$24</definedName>
    <definedName name="_130_ESOL__Grade_Level_PK_3" localSheetId="7">'0571'!$A$24</definedName>
    <definedName name="_130_ESOL__Grade_Level_PK_3" localSheetId="9">'1461'!$A$24</definedName>
    <definedName name="_130_ESOL__Grade_Level_PK_3" localSheetId="10">'1571'!$A$24</definedName>
    <definedName name="_130_ESOL__Grade_Level_PK_3" localSheetId="11">'2521'!$A$24</definedName>
    <definedName name="_130_ESOL__Grade_Level_PK_3" localSheetId="12">'2531'!$A$24</definedName>
    <definedName name="_130_ESOL__Grade_Level_PK_3" localSheetId="13">'2791'!$A$24</definedName>
    <definedName name="_130_ESOL__Grade_Level_PK_3" localSheetId="14">'2801'!$A$24</definedName>
    <definedName name="_130_ESOL__Grade_Level_PK_3" localSheetId="15">'2911'!$A$24</definedName>
    <definedName name="_130_ESOL__Grade_Level_PK_3" localSheetId="16">'2941'!$A$24</definedName>
    <definedName name="_130_ESOL__Grade_Level_PK_3" localSheetId="17">'3083'!$A$24</definedName>
    <definedName name="_130_ESOL__Grade_Level_PK_3" localSheetId="18">'3345'!$A$24</definedName>
    <definedName name="_130_ESOL__Grade_Level_PK_3" localSheetId="19">'3362'!$A$24</definedName>
    <definedName name="_130_ESOL__Grade_Level_PK_3" localSheetId="20">'3381'!$A$24</definedName>
    <definedName name="_130_ESOL__Grade_Level_PK_3" localSheetId="21">'3382'!$A$24</definedName>
    <definedName name="_130_ESOL__Grade_Level_PK_3" localSheetId="22">'3391'!$A$24</definedName>
    <definedName name="_130_ESOL__Grade_Level_PK_3" localSheetId="23">'3394'!$A$24</definedName>
    <definedName name="_130_ESOL__Grade_Level_PK_3" localSheetId="24">'3395'!$A$24</definedName>
    <definedName name="_130_ESOL__Grade_Level_PK_3" localSheetId="25">'3396'!$A$24</definedName>
    <definedName name="_130_ESOL__Grade_Level_PK_3" localSheetId="26">'3398'!$A$24</definedName>
    <definedName name="_130_ESOL__Grade_Level_PK_3" localSheetId="27">'3400'!$A$24</definedName>
    <definedName name="_130_ESOL__Grade_Level_PK_3" localSheetId="28">'3401'!$A$24</definedName>
    <definedName name="_130_ESOL__Grade_Level_PK_3" localSheetId="29">'3413'!$A$24</definedName>
    <definedName name="_130_ESOL__Grade_Level_PK_3" localSheetId="30">'3421'!$A$24</definedName>
    <definedName name="_130_ESOL__Grade_Level_PK_3" localSheetId="31">'3431'!$A$24</definedName>
    <definedName name="_130_ESOL__Grade_Level_PK_3" localSheetId="32">'3441'!$A$24</definedName>
    <definedName name="_130_ESOL__Grade_Level_PK_3" localSheetId="33">'3924'!$A$24</definedName>
    <definedName name="_130_ESOL__Grade_Level_PK_3" localSheetId="34">'3941'!$A$24</definedName>
    <definedName name="_130_ESOL__Grade_Level_PK_3" localSheetId="35">'3961'!$A$24</definedName>
    <definedName name="_130_ESOL__Grade_Level_PK_3" localSheetId="36">'3971'!$A$24</definedName>
    <definedName name="_130_ESOL__Grade_Level_PK_3" localSheetId="37">'4001'!$A$24</definedName>
    <definedName name="_130_ESOL__Grade_Level_PK_3" localSheetId="38">'4002'!$A$24</definedName>
    <definedName name="_130_ESOL__Grade_Level_PK_3" localSheetId="39">'4012'!$A$24</definedName>
    <definedName name="_130_ESOL__Grade_Level_PK_3" localSheetId="40">'4013'!$A$24</definedName>
    <definedName name="_130_ESOL__Grade_Level_PK_3" localSheetId="41">'4020'!$A$24</definedName>
    <definedName name="_130_ESOL__Grade_Level_PK_3" localSheetId="42">'4030'!$A$24</definedName>
    <definedName name="_130_ESOL__Grade_Level_PK_3" localSheetId="43">'4031'!$A$24</definedName>
    <definedName name="_130_ESOL__Grade_Level_PK_3" localSheetId="44">'4041'!$A$24</definedName>
    <definedName name="_130_ESOL__Grade_Level_PK_3" localSheetId="45">'4050'!$A$24</definedName>
    <definedName name="_130_ESOL__Grade_Level_PK_3" localSheetId="46">'4051'!$A$24</definedName>
    <definedName name="_130_ESOL__Grade_Level_PK_3" localSheetId="47">'4061'!$A$24</definedName>
    <definedName name="_130_ESOL__Grade_Level_PK_3" localSheetId="48">'4080'!$A$24</definedName>
    <definedName name="_130_ESOL__Grade_Level_PK_3" localSheetId="49">'4081'!$A$24</definedName>
    <definedName name="_130_ESOL__Grade_Level_PK_3" localSheetId="50">'4090'!$A$24</definedName>
    <definedName name="_130_ESOL__Grade_Level_PK_3" localSheetId="51">'4091'!$A$24</definedName>
    <definedName name="_130_ESOL__Grade_Level_PK_3" localSheetId="52">'4100'!$A$24</definedName>
    <definedName name="_130_ESOL__Grade_Level_PK_3" localSheetId="53">'4102'!$A$24</definedName>
    <definedName name="_130_ESOL__Grade_Level_PK_3" localSheetId="54">'4103'!$A$24</definedName>
    <definedName name="_130_ESOL__Grade_Level_PK_3" localSheetId="55">'4111'!$A$24</definedName>
    <definedName name="_130_ESOL__Grade_Level_PK_3" localSheetId="56">'4131'!$A$24</definedName>
    <definedName name="_130_ESOL__Grade_Level_PK_3">'0040'!$A$24</definedName>
    <definedName name="_1A.___2023_24_FEFP_State_and_Local_Funding" localSheetId="6">'0040'!$A$5</definedName>
    <definedName name="_1A.___2023_24_FEFP_State_and_Local_Funding" localSheetId="8">'0100'!$A$5</definedName>
    <definedName name="_1A.___2023_24_FEFP_State_and_Local_Funding" localSheetId="7">'0571'!$A$5</definedName>
    <definedName name="_1A.___2023_24_FEFP_State_and_Local_Funding" localSheetId="9">'1461'!$A$5</definedName>
    <definedName name="_1A.___2023_24_FEFP_State_and_Local_Funding" localSheetId="10">'1571'!$A$5</definedName>
    <definedName name="_1A.___2023_24_FEFP_State_and_Local_Funding" localSheetId="11">'2521'!$A$5</definedName>
    <definedName name="_1A.___2023_24_FEFP_State_and_Local_Funding" localSheetId="12">'2531'!$A$5</definedName>
    <definedName name="_1A.___2023_24_FEFP_State_and_Local_Funding" localSheetId="13">'2791'!$A$5</definedName>
    <definedName name="_1A.___2023_24_FEFP_State_and_Local_Funding" localSheetId="14">'2801'!$A$5</definedName>
    <definedName name="_1A.___2023_24_FEFP_State_and_Local_Funding" localSheetId="15">'2911'!$A$5</definedName>
    <definedName name="_1A.___2023_24_FEFP_State_and_Local_Funding" localSheetId="16">'2941'!$A$5</definedName>
    <definedName name="_1A.___2023_24_FEFP_State_and_Local_Funding" localSheetId="17">'3083'!$A$5</definedName>
    <definedName name="_1A.___2023_24_FEFP_State_and_Local_Funding" localSheetId="18">'3345'!$A$5</definedName>
    <definedName name="_1A.___2023_24_FEFP_State_and_Local_Funding" localSheetId="19">'3362'!$A$5</definedName>
    <definedName name="_1A.___2023_24_FEFP_State_and_Local_Funding" localSheetId="20">'3381'!$A$5</definedName>
    <definedName name="_1A.___2023_24_FEFP_State_and_Local_Funding" localSheetId="21">'3382'!$A$5</definedName>
    <definedName name="_1A.___2023_24_FEFP_State_and_Local_Funding" localSheetId="22">'3391'!$A$5</definedName>
    <definedName name="_1A.___2023_24_FEFP_State_and_Local_Funding" localSheetId="23">'3394'!$A$5</definedName>
    <definedName name="_1A.___2023_24_FEFP_State_and_Local_Funding" localSheetId="24">'3395'!$A$5</definedName>
    <definedName name="_1A.___2023_24_FEFP_State_and_Local_Funding" localSheetId="25">'3396'!$A$5</definedName>
    <definedName name="_1A.___2023_24_FEFP_State_and_Local_Funding" localSheetId="26">'3398'!$A$5</definedName>
    <definedName name="_1A.___2023_24_FEFP_State_and_Local_Funding" localSheetId="27">'3400'!$A$5</definedName>
    <definedName name="_1A.___2023_24_FEFP_State_and_Local_Funding" localSheetId="28">'3401'!$A$5</definedName>
    <definedName name="_1A.___2023_24_FEFP_State_and_Local_Funding" localSheetId="29">'3413'!$A$5</definedName>
    <definedName name="_1A.___2023_24_FEFP_State_and_Local_Funding" localSheetId="30">'3421'!$A$5</definedName>
    <definedName name="_1A.___2023_24_FEFP_State_and_Local_Funding" localSheetId="31">'3431'!$A$5</definedName>
    <definedName name="_1A.___2023_24_FEFP_State_and_Local_Funding" localSheetId="32">'3441'!$A$5</definedName>
    <definedName name="_1A.___2023_24_FEFP_State_and_Local_Funding" localSheetId="33">'3924'!$A$5</definedName>
    <definedName name="_1A.___2023_24_FEFP_State_and_Local_Funding" localSheetId="34">'3941'!$A$5</definedName>
    <definedName name="_1A.___2023_24_FEFP_State_and_Local_Funding" localSheetId="35">'3961'!$A$5</definedName>
    <definedName name="_1A.___2023_24_FEFP_State_and_Local_Funding" localSheetId="36">'3971'!$A$5</definedName>
    <definedName name="_1A.___2023_24_FEFP_State_and_Local_Funding" localSheetId="37">'4001'!$A$5</definedName>
    <definedName name="_1A.___2023_24_FEFP_State_and_Local_Funding" localSheetId="38">'4002'!$A$5</definedName>
    <definedName name="_1A.___2023_24_FEFP_State_and_Local_Funding" localSheetId="39">'4012'!$A$5</definedName>
    <definedName name="_1A.___2023_24_FEFP_State_and_Local_Funding" localSheetId="40">'4013'!$A$5</definedName>
    <definedName name="_1A.___2023_24_FEFP_State_and_Local_Funding" localSheetId="41">'4020'!$A$5</definedName>
    <definedName name="_1A.___2023_24_FEFP_State_and_Local_Funding" localSheetId="42">'4030'!$A$5</definedName>
    <definedName name="_1A.___2023_24_FEFP_State_and_Local_Funding" localSheetId="43">'4031'!$A$5</definedName>
    <definedName name="_1A.___2023_24_FEFP_State_and_Local_Funding" localSheetId="44">'4041'!$A$5</definedName>
    <definedName name="_1A.___2023_24_FEFP_State_and_Local_Funding" localSheetId="45">'4050'!$A$5</definedName>
    <definedName name="_1A.___2023_24_FEFP_State_and_Local_Funding" localSheetId="46">'4051'!$A$5</definedName>
    <definedName name="_1A.___2023_24_FEFP_State_and_Local_Funding" localSheetId="47">'4061'!$A$5</definedName>
    <definedName name="_1A.___2023_24_FEFP_State_and_Local_Funding" localSheetId="48">'4080'!$A$5</definedName>
    <definedName name="_1A.___2023_24_FEFP_State_and_Local_Funding" localSheetId="49">'4081'!$A$5</definedName>
    <definedName name="_1A.___2023_24_FEFP_State_and_Local_Funding" localSheetId="50">'4090'!$A$5</definedName>
    <definedName name="_1A.___2023_24_FEFP_State_and_Local_Funding" localSheetId="51">'4091'!$A$5</definedName>
    <definedName name="_1A.___2023_24_FEFP_State_and_Local_Funding" localSheetId="52">'4100'!$A$5</definedName>
    <definedName name="_1A.___2023_24_FEFP_State_and_Local_Funding" localSheetId="53">'4102'!$A$5</definedName>
    <definedName name="_1A.___2023_24_FEFP_State_and_Local_Funding" localSheetId="54">'4103'!$A$5</definedName>
    <definedName name="_1A.___2023_24_FEFP_State_and_Local_Funding" localSheetId="55">'4111'!$A$5</definedName>
    <definedName name="_1A.___2023_24_FEFP_State_and_Local_Funding" localSheetId="56">'4131'!$A$5</definedName>
    <definedName name="_2" localSheetId="8">'0100'!$E$11</definedName>
    <definedName name="_2" localSheetId="7">'0571'!$E$11</definedName>
    <definedName name="_2" localSheetId="9">'1461'!$E$11</definedName>
    <definedName name="_2" localSheetId="10">'1571'!$E$11</definedName>
    <definedName name="_2" localSheetId="11">'2521'!$E$11</definedName>
    <definedName name="_2" localSheetId="12">'2531'!$E$11</definedName>
    <definedName name="_2" localSheetId="13">'2791'!$E$11</definedName>
    <definedName name="_2" localSheetId="14">'2801'!$E$11</definedName>
    <definedName name="_2" localSheetId="15">'2911'!$E$11</definedName>
    <definedName name="_2" localSheetId="16">'2941'!$E$11</definedName>
    <definedName name="_2" localSheetId="17">'3083'!$E$11</definedName>
    <definedName name="_2" localSheetId="18">'3345'!$E$11</definedName>
    <definedName name="_2" localSheetId="19">'3362'!$E$11</definedName>
    <definedName name="_2" localSheetId="20">'3381'!$E$11</definedName>
    <definedName name="_2" localSheetId="21">'3382'!$E$11</definedName>
    <definedName name="_2" localSheetId="22">'3391'!$E$11</definedName>
    <definedName name="_2" localSheetId="23">'3394'!$E$11</definedName>
    <definedName name="_2" localSheetId="24">'3395'!$E$11</definedName>
    <definedName name="_2" localSheetId="25">'3396'!$E$11</definedName>
    <definedName name="_2" localSheetId="26">'3398'!$E$11</definedName>
    <definedName name="_2" localSheetId="27">'3400'!$E$11</definedName>
    <definedName name="_2" localSheetId="28">'3401'!$E$11</definedName>
    <definedName name="_2" localSheetId="29">'3413'!$E$11</definedName>
    <definedName name="_2" localSheetId="30">'3421'!$E$11</definedName>
    <definedName name="_2" localSheetId="31">'3431'!$E$11</definedName>
    <definedName name="_2" localSheetId="32">'3441'!$E$11</definedName>
    <definedName name="_2" localSheetId="33">'3924'!$E$11</definedName>
    <definedName name="_2" localSheetId="34">'3941'!$E$11</definedName>
    <definedName name="_2" localSheetId="35">'3961'!$E$11</definedName>
    <definedName name="_2" localSheetId="36">'3971'!$E$11</definedName>
    <definedName name="_2" localSheetId="37">'4001'!$E$11</definedName>
    <definedName name="_2" localSheetId="38">'4002'!$E$11</definedName>
    <definedName name="_2" localSheetId="39">'4012'!$E$11</definedName>
    <definedName name="_2" localSheetId="40">'4013'!$E$11</definedName>
    <definedName name="_2" localSheetId="41">'4020'!$E$11</definedName>
    <definedName name="_2" localSheetId="42">'4030'!$E$11</definedName>
    <definedName name="_2" localSheetId="43">'4031'!$E$11</definedName>
    <definedName name="_2" localSheetId="44">'4041'!$E$11</definedName>
    <definedName name="_2" localSheetId="45">'4050'!$E$11</definedName>
    <definedName name="_2" localSheetId="46">'4051'!$E$11</definedName>
    <definedName name="_2" localSheetId="47">'4061'!$E$11</definedName>
    <definedName name="_2" localSheetId="48">'4080'!$E$11</definedName>
    <definedName name="_2" localSheetId="49">'4081'!$E$11</definedName>
    <definedName name="_2" localSheetId="50">'4090'!$E$11</definedName>
    <definedName name="_2" localSheetId="51">'4091'!$E$11</definedName>
    <definedName name="_2" localSheetId="52">'4100'!$E$11</definedName>
    <definedName name="_2" localSheetId="53">'4102'!$E$11</definedName>
    <definedName name="_2" localSheetId="54">'4103'!$E$11</definedName>
    <definedName name="_2" localSheetId="55">'4111'!$E$11</definedName>
    <definedName name="_2" localSheetId="56">'4131'!$E$11</definedName>
    <definedName name="_2">'0040'!$E$11</definedName>
    <definedName name="_2.__ESE_Guaranteed_Allocation" localSheetId="8">'0100'!#REF!</definedName>
    <definedName name="_2.__ESE_Guaranteed_Allocation" localSheetId="7">'0571'!#REF!</definedName>
    <definedName name="_2.__ESE_Guaranteed_Allocation" localSheetId="9">'1461'!#REF!</definedName>
    <definedName name="_2.__ESE_Guaranteed_Allocation" localSheetId="10">'1571'!#REF!</definedName>
    <definedName name="_2.__ESE_Guaranteed_Allocation" localSheetId="11">'2521'!#REF!</definedName>
    <definedName name="_2.__ESE_Guaranteed_Allocation" localSheetId="12">'2531'!#REF!</definedName>
    <definedName name="_2.__ESE_Guaranteed_Allocation" localSheetId="13">'2791'!#REF!</definedName>
    <definedName name="_2.__ESE_Guaranteed_Allocation" localSheetId="14">'2801'!#REF!</definedName>
    <definedName name="_2.__ESE_Guaranteed_Allocation" localSheetId="15">'2911'!#REF!</definedName>
    <definedName name="_2.__ESE_Guaranteed_Allocation" localSheetId="16">'2941'!#REF!</definedName>
    <definedName name="_2.__ESE_Guaranteed_Allocation" localSheetId="17">'3083'!#REF!</definedName>
    <definedName name="_2.__ESE_Guaranteed_Allocation" localSheetId="18">'3345'!#REF!</definedName>
    <definedName name="_2.__ESE_Guaranteed_Allocation" localSheetId="19">'3362'!#REF!</definedName>
    <definedName name="_2.__ESE_Guaranteed_Allocation" localSheetId="20">'3381'!#REF!</definedName>
    <definedName name="_2.__ESE_Guaranteed_Allocation" localSheetId="21">'3382'!#REF!</definedName>
    <definedName name="_2.__ESE_Guaranteed_Allocation" localSheetId="22">'3391'!#REF!</definedName>
    <definedName name="_2.__ESE_Guaranteed_Allocation" localSheetId="23">'3394'!#REF!</definedName>
    <definedName name="_2.__ESE_Guaranteed_Allocation" localSheetId="24">'3395'!#REF!</definedName>
    <definedName name="_2.__ESE_Guaranteed_Allocation" localSheetId="25">'3396'!#REF!</definedName>
    <definedName name="_2.__ESE_Guaranteed_Allocation" localSheetId="26">'3398'!#REF!</definedName>
    <definedName name="_2.__ESE_Guaranteed_Allocation" localSheetId="27">'3400'!#REF!</definedName>
    <definedName name="_2.__ESE_Guaranteed_Allocation" localSheetId="28">'3401'!#REF!</definedName>
    <definedName name="_2.__ESE_Guaranteed_Allocation" localSheetId="29">'3413'!#REF!</definedName>
    <definedName name="_2.__ESE_Guaranteed_Allocation" localSheetId="30">'3421'!#REF!</definedName>
    <definedName name="_2.__ESE_Guaranteed_Allocation" localSheetId="31">'3431'!#REF!</definedName>
    <definedName name="_2.__ESE_Guaranteed_Allocation" localSheetId="32">'3441'!#REF!</definedName>
    <definedName name="_2.__ESE_Guaranteed_Allocation" localSheetId="33">'3924'!#REF!</definedName>
    <definedName name="_2.__ESE_Guaranteed_Allocation" localSheetId="34">'3941'!#REF!</definedName>
    <definedName name="_2.__ESE_Guaranteed_Allocation" localSheetId="35">'3961'!#REF!</definedName>
    <definedName name="_2.__ESE_Guaranteed_Allocation" localSheetId="36">'3971'!#REF!</definedName>
    <definedName name="_2.__ESE_Guaranteed_Allocation" localSheetId="37">'4001'!#REF!</definedName>
    <definedName name="_2.__ESE_Guaranteed_Allocation" localSheetId="38">'4002'!#REF!</definedName>
    <definedName name="_2.__ESE_Guaranteed_Allocation" localSheetId="39">'4012'!#REF!</definedName>
    <definedName name="_2.__ESE_Guaranteed_Allocation" localSheetId="40">'4013'!#REF!</definedName>
    <definedName name="_2.__ESE_Guaranteed_Allocation" localSheetId="41">'4020'!#REF!</definedName>
    <definedName name="_2.__ESE_Guaranteed_Allocation" localSheetId="42">'4030'!#REF!</definedName>
    <definedName name="_2.__ESE_Guaranteed_Allocation" localSheetId="43">'4031'!#REF!</definedName>
    <definedName name="_2.__ESE_Guaranteed_Allocation" localSheetId="44">'4041'!#REF!</definedName>
    <definedName name="_2.__ESE_Guaranteed_Allocation" localSheetId="45">'4050'!#REF!</definedName>
    <definedName name="_2.__ESE_Guaranteed_Allocation" localSheetId="46">'4051'!#REF!</definedName>
    <definedName name="_2.__ESE_Guaranteed_Allocation" localSheetId="47">'4061'!#REF!</definedName>
    <definedName name="_2.__ESE_Guaranteed_Allocation" localSheetId="48">'4080'!#REF!</definedName>
    <definedName name="_2.__ESE_Guaranteed_Allocation" localSheetId="49">'4081'!#REF!</definedName>
    <definedName name="_2.__ESE_Guaranteed_Allocation" localSheetId="50">'4090'!#REF!</definedName>
    <definedName name="_2.__ESE_Guaranteed_Allocation" localSheetId="51">'4091'!#REF!</definedName>
    <definedName name="_2.__ESE_Guaranteed_Allocation" localSheetId="52">'4100'!#REF!</definedName>
    <definedName name="_2.__ESE_Guaranteed_Allocation" localSheetId="53">'4102'!#REF!</definedName>
    <definedName name="_2.__ESE_Guaranteed_Allocation" localSheetId="54">'4103'!#REF!</definedName>
    <definedName name="_2.__ESE_Guaranteed_Allocation" localSheetId="55">'4111'!#REF!</definedName>
    <definedName name="_2.__ESE_Guaranteed_Allocation" localSheetId="56">'4131'!#REF!</definedName>
    <definedName name="_2010_11_Base_Funding_WFTE_x_BSA_x_DCD" localSheetId="8">'0100'!$J$10</definedName>
    <definedName name="_2010_11_Base_Funding_WFTE_x_BSA_x_DCD" localSheetId="7">'0571'!$J$10</definedName>
    <definedName name="_2010_11_Base_Funding_WFTE_x_BSA_x_DCD" localSheetId="9">'1461'!$J$10</definedName>
    <definedName name="_2010_11_Base_Funding_WFTE_x_BSA_x_DCD" localSheetId="10">'1571'!$J$10</definedName>
    <definedName name="_2010_11_Base_Funding_WFTE_x_BSA_x_DCD" localSheetId="11">'2521'!$J$10</definedName>
    <definedName name="_2010_11_Base_Funding_WFTE_x_BSA_x_DCD" localSheetId="12">'2531'!$J$10</definedName>
    <definedName name="_2010_11_Base_Funding_WFTE_x_BSA_x_DCD" localSheetId="13">'2791'!$J$10</definedName>
    <definedName name="_2010_11_Base_Funding_WFTE_x_BSA_x_DCD" localSheetId="14">'2801'!$J$10</definedName>
    <definedName name="_2010_11_Base_Funding_WFTE_x_BSA_x_DCD" localSheetId="15">'2911'!$J$10</definedName>
    <definedName name="_2010_11_Base_Funding_WFTE_x_BSA_x_DCD" localSheetId="16">'2941'!$J$10</definedName>
    <definedName name="_2010_11_Base_Funding_WFTE_x_BSA_x_DCD" localSheetId="17">'3083'!$J$10</definedName>
    <definedName name="_2010_11_Base_Funding_WFTE_x_BSA_x_DCD" localSheetId="18">'3345'!$J$10</definedName>
    <definedName name="_2010_11_Base_Funding_WFTE_x_BSA_x_DCD" localSheetId="19">'3362'!$J$10</definedName>
    <definedName name="_2010_11_Base_Funding_WFTE_x_BSA_x_DCD" localSheetId="20">'3381'!$J$10</definedName>
    <definedName name="_2010_11_Base_Funding_WFTE_x_BSA_x_DCD" localSheetId="21">'3382'!$J$10</definedName>
    <definedName name="_2010_11_Base_Funding_WFTE_x_BSA_x_DCD" localSheetId="22">'3391'!$J$10</definedName>
    <definedName name="_2010_11_Base_Funding_WFTE_x_BSA_x_DCD" localSheetId="23">'3394'!$J$10</definedName>
    <definedName name="_2010_11_Base_Funding_WFTE_x_BSA_x_DCD" localSheetId="24">'3395'!$J$10</definedName>
    <definedName name="_2010_11_Base_Funding_WFTE_x_BSA_x_DCD" localSheetId="25">'3396'!$J$10</definedName>
    <definedName name="_2010_11_Base_Funding_WFTE_x_BSA_x_DCD" localSheetId="26">'3398'!$J$10</definedName>
    <definedName name="_2010_11_Base_Funding_WFTE_x_BSA_x_DCD" localSheetId="27">'3400'!$J$10</definedName>
    <definedName name="_2010_11_Base_Funding_WFTE_x_BSA_x_DCD" localSheetId="28">'3401'!$J$10</definedName>
    <definedName name="_2010_11_Base_Funding_WFTE_x_BSA_x_DCD" localSheetId="29">'3413'!$J$10</definedName>
    <definedName name="_2010_11_Base_Funding_WFTE_x_BSA_x_DCD" localSheetId="30">'3421'!$J$10</definedName>
    <definedName name="_2010_11_Base_Funding_WFTE_x_BSA_x_DCD" localSheetId="31">'3431'!$J$10</definedName>
    <definedName name="_2010_11_Base_Funding_WFTE_x_BSA_x_DCD" localSheetId="32">'3441'!$J$10</definedName>
    <definedName name="_2010_11_Base_Funding_WFTE_x_BSA_x_DCD" localSheetId="33">'3924'!$J$10</definedName>
    <definedName name="_2010_11_Base_Funding_WFTE_x_BSA_x_DCD" localSheetId="34">'3941'!$J$10</definedName>
    <definedName name="_2010_11_Base_Funding_WFTE_x_BSA_x_DCD" localSheetId="35">'3961'!$J$10</definedName>
    <definedName name="_2010_11_Base_Funding_WFTE_x_BSA_x_DCD" localSheetId="36">'3971'!$J$10</definedName>
    <definedName name="_2010_11_Base_Funding_WFTE_x_BSA_x_DCD" localSheetId="37">'4001'!$J$10</definedName>
    <definedName name="_2010_11_Base_Funding_WFTE_x_BSA_x_DCD" localSheetId="38">'4002'!$J$10</definedName>
    <definedName name="_2010_11_Base_Funding_WFTE_x_BSA_x_DCD" localSheetId="39">'4012'!$J$10</definedName>
    <definedName name="_2010_11_Base_Funding_WFTE_x_BSA_x_DCD" localSheetId="40">'4013'!$J$10</definedName>
    <definedName name="_2010_11_Base_Funding_WFTE_x_BSA_x_DCD" localSheetId="41">'4020'!$J$10</definedName>
    <definedName name="_2010_11_Base_Funding_WFTE_x_BSA_x_DCD" localSheetId="42">'4030'!$J$10</definedName>
    <definedName name="_2010_11_Base_Funding_WFTE_x_BSA_x_DCD" localSheetId="43">'4031'!$J$10</definedName>
    <definedName name="_2010_11_Base_Funding_WFTE_x_BSA_x_DCD" localSheetId="44">'4041'!$J$10</definedName>
    <definedName name="_2010_11_Base_Funding_WFTE_x_BSA_x_DCD" localSheetId="45">'4050'!$J$10</definedName>
    <definedName name="_2010_11_Base_Funding_WFTE_x_BSA_x_DCD" localSheetId="46">'4051'!$J$10</definedName>
    <definedName name="_2010_11_Base_Funding_WFTE_x_BSA_x_DCD" localSheetId="47">'4061'!$J$10</definedName>
    <definedName name="_2010_11_Base_Funding_WFTE_x_BSA_x_DCD" localSheetId="48">'4080'!$J$10</definedName>
    <definedName name="_2010_11_Base_Funding_WFTE_x_BSA_x_DCD" localSheetId="49">'4081'!$J$10</definedName>
    <definedName name="_2010_11_Base_Funding_WFTE_x_BSA_x_DCD" localSheetId="50">'4090'!$J$10</definedName>
    <definedName name="_2010_11_Base_Funding_WFTE_x_BSA_x_DCD" localSheetId="51">'4091'!$J$10</definedName>
    <definedName name="_2010_11_Base_Funding_WFTE_x_BSA_x_DCD" localSheetId="52">'4100'!$J$10</definedName>
    <definedName name="_2010_11_Base_Funding_WFTE_x_BSA_x_DCD" localSheetId="53">'4102'!$J$10</definedName>
    <definedName name="_2010_11_Base_Funding_WFTE_x_BSA_x_DCD" localSheetId="54">'4103'!$J$10</definedName>
    <definedName name="_2010_11_Base_Funding_WFTE_x_BSA_x_DCD" localSheetId="55">'4111'!$J$10</definedName>
    <definedName name="_2010_11_Base_Funding_WFTE_x_BSA_x_DCD" localSheetId="56">'4131'!$J$10</definedName>
    <definedName name="_2010_11_Base_Funding_WFTE_x_BSA_x_DCD">'0040'!$J$10</definedName>
    <definedName name="_254_ESE_Level_4__Grade_Level_4_8" localSheetId="8">'0100'!$A$19</definedName>
    <definedName name="_254_ESE_Level_4__Grade_Level_4_8" localSheetId="7">'0571'!$A$19</definedName>
    <definedName name="_254_ESE_Level_4__Grade_Level_4_8" localSheetId="9">'1461'!$A$19</definedName>
    <definedName name="_254_ESE_Level_4__Grade_Level_4_8" localSheetId="10">'1571'!$A$19</definedName>
    <definedName name="_254_ESE_Level_4__Grade_Level_4_8" localSheetId="11">'2521'!$A$19</definedName>
    <definedName name="_254_ESE_Level_4__Grade_Level_4_8" localSheetId="12">'2531'!$A$19</definedName>
    <definedName name="_254_ESE_Level_4__Grade_Level_4_8" localSheetId="13">'2791'!$A$19</definedName>
    <definedName name="_254_ESE_Level_4__Grade_Level_4_8" localSheetId="14">'2801'!$A$19</definedName>
    <definedName name="_254_ESE_Level_4__Grade_Level_4_8" localSheetId="15">'2911'!$A$19</definedName>
    <definedName name="_254_ESE_Level_4__Grade_Level_4_8" localSheetId="16">'2941'!$A$19</definedName>
    <definedName name="_254_ESE_Level_4__Grade_Level_4_8" localSheetId="17">'3083'!$A$19</definedName>
    <definedName name="_254_ESE_Level_4__Grade_Level_4_8" localSheetId="18">'3345'!$A$19</definedName>
    <definedName name="_254_ESE_Level_4__Grade_Level_4_8" localSheetId="19">'3362'!$A$19</definedName>
    <definedName name="_254_ESE_Level_4__Grade_Level_4_8" localSheetId="20">'3381'!$A$19</definedName>
    <definedName name="_254_ESE_Level_4__Grade_Level_4_8" localSheetId="21">'3382'!$A$19</definedName>
    <definedName name="_254_ESE_Level_4__Grade_Level_4_8" localSheetId="22">'3391'!$A$19</definedName>
    <definedName name="_254_ESE_Level_4__Grade_Level_4_8" localSheetId="23">'3394'!$A$19</definedName>
    <definedName name="_254_ESE_Level_4__Grade_Level_4_8" localSheetId="24">'3395'!$A$19</definedName>
    <definedName name="_254_ESE_Level_4__Grade_Level_4_8" localSheetId="25">'3396'!$A$19</definedName>
    <definedName name="_254_ESE_Level_4__Grade_Level_4_8" localSheetId="26">'3398'!$A$19</definedName>
    <definedName name="_254_ESE_Level_4__Grade_Level_4_8" localSheetId="27">'3400'!$A$19</definedName>
    <definedName name="_254_ESE_Level_4__Grade_Level_4_8" localSheetId="28">'3401'!$A$19</definedName>
    <definedName name="_254_ESE_Level_4__Grade_Level_4_8" localSheetId="29">'3413'!$A$19</definedName>
    <definedName name="_254_ESE_Level_4__Grade_Level_4_8" localSheetId="30">'3421'!$A$19</definedName>
    <definedName name="_254_ESE_Level_4__Grade_Level_4_8" localSheetId="31">'3431'!$A$19</definedName>
    <definedName name="_254_ESE_Level_4__Grade_Level_4_8" localSheetId="32">'3441'!$A$19</definedName>
    <definedName name="_254_ESE_Level_4__Grade_Level_4_8" localSheetId="33">'3924'!$A$19</definedName>
    <definedName name="_254_ESE_Level_4__Grade_Level_4_8" localSheetId="34">'3941'!$A$19</definedName>
    <definedName name="_254_ESE_Level_4__Grade_Level_4_8" localSheetId="35">'3961'!$A$19</definedName>
    <definedName name="_254_ESE_Level_4__Grade_Level_4_8" localSheetId="36">'3971'!$A$19</definedName>
    <definedName name="_254_ESE_Level_4__Grade_Level_4_8" localSheetId="37">'4001'!$A$19</definedName>
    <definedName name="_254_ESE_Level_4__Grade_Level_4_8" localSheetId="38">'4002'!$A$19</definedName>
    <definedName name="_254_ESE_Level_4__Grade_Level_4_8" localSheetId="39">'4012'!$A$19</definedName>
    <definedName name="_254_ESE_Level_4__Grade_Level_4_8" localSheetId="40">'4013'!$A$19</definedName>
    <definedName name="_254_ESE_Level_4__Grade_Level_4_8" localSheetId="41">'4020'!$A$19</definedName>
    <definedName name="_254_ESE_Level_4__Grade_Level_4_8" localSheetId="42">'4030'!$A$19</definedName>
    <definedName name="_254_ESE_Level_4__Grade_Level_4_8" localSheetId="43">'4031'!$A$19</definedName>
    <definedName name="_254_ESE_Level_4__Grade_Level_4_8" localSheetId="44">'4041'!$A$19</definedName>
    <definedName name="_254_ESE_Level_4__Grade_Level_4_8" localSheetId="45">'4050'!$A$19</definedName>
    <definedName name="_254_ESE_Level_4__Grade_Level_4_8" localSheetId="46">'4051'!$A$19</definedName>
    <definedName name="_254_ESE_Level_4__Grade_Level_4_8" localSheetId="47">'4061'!$A$19</definedName>
    <definedName name="_254_ESE_Level_4__Grade_Level_4_8" localSheetId="48">'4080'!$A$19</definedName>
    <definedName name="_254_ESE_Level_4__Grade_Level_4_8" localSheetId="49">'4081'!$A$19</definedName>
    <definedName name="_254_ESE_Level_4__Grade_Level_4_8" localSheetId="50">'4090'!$A$19</definedName>
    <definedName name="_254_ESE_Level_4__Grade_Level_4_8" localSheetId="51">'4091'!$A$19</definedName>
    <definedName name="_254_ESE_Level_4__Grade_Level_4_8" localSheetId="52">'4100'!$A$19</definedName>
    <definedName name="_254_ESE_Level_4__Grade_Level_4_8" localSheetId="53">'4102'!$A$19</definedName>
    <definedName name="_254_ESE_Level_4__Grade_Level_4_8" localSheetId="54">'4103'!$A$19</definedName>
    <definedName name="_254_ESE_Level_4__Grade_Level_4_8" localSheetId="55">'4111'!$A$19</definedName>
    <definedName name="_254_ESE_Level_4__Grade_Level_4_8" localSheetId="56">'4131'!$A$19</definedName>
    <definedName name="_254_ESE_Level_4__Grade_Level_4_8">'0040'!$A$19</definedName>
    <definedName name="_254_ESE_Level_4__Grade_Level_9_12" localSheetId="8">'0100'!$A$20</definedName>
    <definedName name="_254_ESE_Level_4__Grade_Level_9_12" localSheetId="7">'0571'!$A$20</definedName>
    <definedName name="_254_ESE_Level_4__Grade_Level_9_12" localSheetId="9">'1461'!$A$20</definedName>
    <definedName name="_254_ESE_Level_4__Grade_Level_9_12" localSheetId="10">'1571'!$A$20</definedName>
    <definedName name="_254_ESE_Level_4__Grade_Level_9_12" localSheetId="11">'2521'!$A$20</definedName>
    <definedName name="_254_ESE_Level_4__Grade_Level_9_12" localSheetId="12">'2531'!$A$20</definedName>
    <definedName name="_254_ESE_Level_4__Grade_Level_9_12" localSheetId="13">'2791'!$A$20</definedName>
    <definedName name="_254_ESE_Level_4__Grade_Level_9_12" localSheetId="14">'2801'!$A$20</definedName>
    <definedName name="_254_ESE_Level_4__Grade_Level_9_12" localSheetId="15">'2911'!$A$20</definedName>
    <definedName name="_254_ESE_Level_4__Grade_Level_9_12" localSheetId="16">'2941'!$A$20</definedName>
    <definedName name="_254_ESE_Level_4__Grade_Level_9_12" localSheetId="17">'3083'!$A$20</definedName>
    <definedName name="_254_ESE_Level_4__Grade_Level_9_12" localSheetId="18">'3345'!$A$20</definedName>
    <definedName name="_254_ESE_Level_4__Grade_Level_9_12" localSheetId="19">'3362'!$A$20</definedName>
    <definedName name="_254_ESE_Level_4__Grade_Level_9_12" localSheetId="20">'3381'!$A$20</definedName>
    <definedName name="_254_ESE_Level_4__Grade_Level_9_12" localSheetId="21">'3382'!$A$20</definedName>
    <definedName name="_254_ESE_Level_4__Grade_Level_9_12" localSheetId="22">'3391'!$A$20</definedName>
    <definedName name="_254_ESE_Level_4__Grade_Level_9_12" localSheetId="23">'3394'!$A$20</definedName>
    <definedName name="_254_ESE_Level_4__Grade_Level_9_12" localSheetId="24">'3395'!$A$20</definedName>
    <definedName name="_254_ESE_Level_4__Grade_Level_9_12" localSheetId="25">'3396'!$A$20</definedName>
    <definedName name="_254_ESE_Level_4__Grade_Level_9_12" localSheetId="26">'3398'!$A$20</definedName>
    <definedName name="_254_ESE_Level_4__Grade_Level_9_12" localSheetId="27">'3400'!$A$20</definedName>
    <definedName name="_254_ESE_Level_4__Grade_Level_9_12" localSheetId="28">'3401'!$A$20</definedName>
    <definedName name="_254_ESE_Level_4__Grade_Level_9_12" localSheetId="29">'3413'!$A$20</definedName>
    <definedName name="_254_ESE_Level_4__Grade_Level_9_12" localSheetId="30">'3421'!$A$20</definedName>
    <definedName name="_254_ESE_Level_4__Grade_Level_9_12" localSheetId="31">'3431'!$A$20</definedName>
    <definedName name="_254_ESE_Level_4__Grade_Level_9_12" localSheetId="32">'3441'!$A$20</definedName>
    <definedName name="_254_ESE_Level_4__Grade_Level_9_12" localSheetId="33">'3924'!$A$20</definedName>
    <definedName name="_254_ESE_Level_4__Grade_Level_9_12" localSheetId="34">'3941'!$A$20</definedName>
    <definedName name="_254_ESE_Level_4__Grade_Level_9_12" localSheetId="35">'3961'!$A$20</definedName>
    <definedName name="_254_ESE_Level_4__Grade_Level_9_12" localSheetId="36">'3971'!$A$20</definedName>
    <definedName name="_254_ESE_Level_4__Grade_Level_9_12" localSheetId="37">'4001'!$A$20</definedName>
    <definedName name="_254_ESE_Level_4__Grade_Level_9_12" localSheetId="38">'4002'!$A$20</definedName>
    <definedName name="_254_ESE_Level_4__Grade_Level_9_12" localSheetId="39">'4012'!$A$20</definedName>
    <definedName name="_254_ESE_Level_4__Grade_Level_9_12" localSheetId="40">'4013'!$A$20</definedName>
    <definedName name="_254_ESE_Level_4__Grade_Level_9_12" localSheetId="41">'4020'!$A$20</definedName>
    <definedName name="_254_ESE_Level_4__Grade_Level_9_12" localSheetId="42">'4030'!$A$20</definedName>
    <definedName name="_254_ESE_Level_4__Grade_Level_9_12" localSheetId="43">'4031'!$A$20</definedName>
    <definedName name="_254_ESE_Level_4__Grade_Level_9_12" localSheetId="44">'4041'!$A$20</definedName>
    <definedName name="_254_ESE_Level_4__Grade_Level_9_12" localSheetId="45">'4050'!$A$20</definedName>
    <definedName name="_254_ESE_Level_4__Grade_Level_9_12" localSheetId="46">'4051'!$A$20</definedName>
    <definedName name="_254_ESE_Level_4__Grade_Level_9_12" localSheetId="47">'4061'!$A$20</definedName>
    <definedName name="_254_ESE_Level_4__Grade_Level_9_12" localSheetId="48">'4080'!$A$20</definedName>
    <definedName name="_254_ESE_Level_4__Grade_Level_9_12" localSheetId="49">'4081'!$A$20</definedName>
    <definedName name="_254_ESE_Level_4__Grade_Level_9_12" localSheetId="50">'4090'!$A$20</definedName>
    <definedName name="_254_ESE_Level_4__Grade_Level_9_12" localSheetId="51">'4091'!$A$20</definedName>
    <definedName name="_254_ESE_Level_4__Grade_Level_9_12" localSheetId="52">'4100'!$A$20</definedName>
    <definedName name="_254_ESE_Level_4__Grade_Level_9_12" localSheetId="53">'4102'!$A$20</definedName>
    <definedName name="_254_ESE_Level_4__Grade_Level_9_12" localSheetId="54">'4103'!$A$20</definedName>
    <definedName name="_254_ESE_Level_4__Grade_Level_9_12" localSheetId="55">'4111'!$A$20</definedName>
    <definedName name="_254_ESE_Level_4__Grade_Level_9_12" localSheetId="56">'4131'!$A$20</definedName>
    <definedName name="_254_ESE_Level_4__Grade_Level_9_12">'0040'!$A$20</definedName>
    <definedName name="_254_ESE_Level_4__Grade_Level_PK_3" localSheetId="8">'0100'!$A$18</definedName>
    <definedName name="_254_ESE_Level_4__Grade_Level_PK_3" localSheetId="7">'0571'!$A$18</definedName>
    <definedName name="_254_ESE_Level_4__Grade_Level_PK_3" localSheetId="9">'1461'!$A$18</definedName>
    <definedName name="_254_ESE_Level_4__Grade_Level_PK_3" localSheetId="10">'1571'!$A$18</definedName>
    <definedName name="_254_ESE_Level_4__Grade_Level_PK_3" localSheetId="11">'2521'!$A$18</definedName>
    <definedName name="_254_ESE_Level_4__Grade_Level_PK_3" localSheetId="12">'2531'!$A$18</definedName>
    <definedName name="_254_ESE_Level_4__Grade_Level_PK_3" localSheetId="13">'2791'!$A$18</definedName>
    <definedName name="_254_ESE_Level_4__Grade_Level_PK_3" localSheetId="14">'2801'!$A$18</definedName>
    <definedName name="_254_ESE_Level_4__Grade_Level_PK_3" localSheetId="15">'2911'!$A$18</definedName>
    <definedName name="_254_ESE_Level_4__Grade_Level_PK_3" localSheetId="16">'2941'!$A$18</definedName>
    <definedName name="_254_ESE_Level_4__Grade_Level_PK_3" localSheetId="17">'3083'!$A$18</definedName>
    <definedName name="_254_ESE_Level_4__Grade_Level_PK_3" localSheetId="18">'3345'!$A$18</definedName>
    <definedName name="_254_ESE_Level_4__Grade_Level_PK_3" localSheetId="19">'3362'!$A$18</definedName>
    <definedName name="_254_ESE_Level_4__Grade_Level_PK_3" localSheetId="20">'3381'!$A$18</definedName>
    <definedName name="_254_ESE_Level_4__Grade_Level_PK_3" localSheetId="21">'3382'!$A$18</definedName>
    <definedName name="_254_ESE_Level_4__Grade_Level_PK_3" localSheetId="22">'3391'!$A$18</definedName>
    <definedName name="_254_ESE_Level_4__Grade_Level_PK_3" localSheetId="23">'3394'!$A$18</definedName>
    <definedName name="_254_ESE_Level_4__Grade_Level_PK_3" localSheetId="24">'3395'!$A$18</definedName>
    <definedName name="_254_ESE_Level_4__Grade_Level_PK_3" localSheetId="25">'3396'!$A$18</definedName>
    <definedName name="_254_ESE_Level_4__Grade_Level_PK_3" localSheetId="26">'3398'!$A$18</definedName>
    <definedName name="_254_ESE_Level_4__Grade_Level_PK_3" localSheetId="27">'3400'!$A$18</definedName>
    <definedName name="_254_ESE_Level_4__Grade_Level_PK_3" localSheetId="28">'3401'!$A$18</definedName>
    <definedName name="_254_ESE_Level_4__Grade_Level_PK_3" localSheetId="29">'3413'!$A$18</definedName>
    <definedName name="_254_ESE_Level_4__Grade_Level_PK_3" localSheetId="30">'3421'!$A$18</definedName>
    <definedName name="_254_ESE_Level_4__Grade_Level_PK_3" localSheetId="31">'3431'!$A$18</definedName>
    <definedName name="_254_ESE_Level_4__Grade_Level_PK_3" localSheetId="32">'3441'!$A$18</definedName>
    <definedName name="_254_ESE_Level_4__Grade_Level_PK_3" localSheetId="33">'3924'!$A$18</definedName>
    <definedName name="_254_ESE_Level_4__Grade_Level_PK_3" localSheetId="34">'3941'!$A$18</definedName>
    <definedName name="_254_ESE_Level_4__Grade_Level_PK_3" localSheetId="35">'3961'!$A$18</definedName>
    <definedName name="_254_ESE_Level_4__Grade_Level_PK_3" localSheetId="36">'3971'!$A$18</definedName>
    <definedName name="_254_ESE_Level_4__Grade_Level_PK_3" localSheetId="37">'4001'!$A$18</definedName>
    <definedName name="_254_ESE_Level_4__Grade_Level_PK_3" localSheetId="38">'4002'!$A$18</definedName>
    <definedName name="_254_ESE_Level_4__Grade_Level_PK_3" localSheetId="39">'4012'!$A$18</definedName>
    <definedName name="_254_ESE_Level_4__Grade_Level_PK_3" localSheetId="40">'4013'!$A$18</definedName>
    <definedName name="_254_ESE_Level_4__Grade_Level_PK_3" localSheetId="41">'4020'!$A$18</definedName>
    <definedName name="_254_ESE_Level_4__Grade_Level_PK_3" localSheetId="42">'4030'!$A$18</definedName>
    <definedName name="_254_ESE_Level_4__Grade_Level_PK_3" localSheetId="43">'4031'!$A$18</definedName>
    <definedName name="_254_ESE_Level_4__Grade_Level_PK_3" localSheetId="44">'4041'!$A$18</definedName>
    <definedName name="_254_ESE_Level_4__Grade_Level_PK_3" localSheetId="45">'4050'!$A$18</definedName>
    <definedName name="_254_ESE_Level_4__Grade_Level_PK_3" localSheetId="46">'4051'!$A$18</definedName>
    <definedName name="_254_ESE_Level_4__Grade_Level_PK_3" localSheetId="47">'4061'!$A$18</definedName>
    <definedName name="_254_ESE_Level_4__Grade_Level_PK_3" localSheetId="48">'4080'!$A$18</definedName>
    <definedName name="_254_ESE_Level_4__Grade_Level_PK_3" localSheetId="49">'4081'!$A$18</definedName>
    <definedName name="_254_ESE_Level_4__Grade_Level_PK_3" localSheetId="50">'4090'!$A$18</definedName>
    <definedName name="_254_ESE_Level_4__Grade_Level_PK_3" localSheetId="51">'4091'!$A$18</definedName>
    <definedName name="_254_ESE_Level_4__Grade_Level_PK_3" localSheetId="52">'4100'!$A$18</definedName>
    <definedName name="_254_ESE_Level_4__Grade_Level_PK_3" localSheetId="53">'4102'!$A$18</definedName>
    <definedName name="_254_ESE_Level_4__Grade_Level_PK_3" localSheetId="54">'4103'!$A$18</definedName>
    <definedName name="_254_ESE_Level_4__Grade_Level_PK_3" localSheetId="55">'4111'!$A$18</definedName>
    <definedName name="_254_ESE_Level_4__Grade_Level_PK_3" localSheetId="56">'4131'!$A$18</definedName>
    <definedName name="_254_ESE_Level_4__Grade_Level_PK_3">'0040'!$A$18</definedName>
    <definedName name="_255_ESE_Level_5__Grade_Level_4_8" localSheetId="8">'0100'!$A$22</definedName>
    <definedName name="_255_ESE_Level_5__Grade_Level_4_8" localSheetId="7">'0571'!$A$22</definedName>
    <definedName name="_255_ESE_Level_5__Grade_Level_4_8" localSheetId="9">'1461'!$A$22</definedName>
    <definedName name="_255_ESE_Level_5__Grade_Level_4_8" localSheetId="10">'1571'!$A$22</definedName>
    <definedName name="_255_ESE_Level_5__Grade_Level_4_8" localSheetId="11">'2521'!$A$22</definedName>
    <definedName name="_255_ESE_Level_5__Grade_Level_4_8" localSheetId="12">'2531'!$A$22</definedName>
    <definedName name="_255_ESE_Level_5__Grade_Level_4_8" localSheetId="13">'2791'!$A$22</definedName>
    <definedName name="_255_ESE_Level_5__Grade_Level_4_8" localSheetId="14">'2801'!$A$22</definedName>
    <definedName name="_255_ESE_Level_5__Grade_Level_4_8" localSheetId="15">'2911'!$A$22</definedName>
    <definedName name="_255_ESE_Level_5__Grade_Level_4_8" localSheetId="16">'2941'!$A$22</definedName>
    <definedName name="_255_ESE_Level_5__Grade_Level_4_8" localSheetId="17">'3083'!$A$22</definedName>
    <definedName name="_255_ESE_Level_5__Grade_Level_4_8" localSheetId="18">'3345'!$A$22</definedName>
    <definedName name="_255_ESE_Level_5__Grade_Level_4_8" localSheetId="19">'3362'!$A$22</definedName>
    <definedName name="_255_ESE_Level_5__Grade_Level_4_8" localSheetId="20">'3381'!$A$22</definedName>
    <definedName name="_255_ESE_Level_5__Grade_Level_4_8" localSheetId="21">'3382'!$A$22</definedName>
    <definedName name="_255_ESE_Level_5__Grade_Level_4_8" localSheetId="22">'3391'!$A$22</definedName>
    <definedName name="_255_ESE_Level_5__Grade_Level_4_8" localSheetId="23">'3394'!$A$22</definedName>
    <definedName name="_255_ESE_Level_5__Grade_Level_4_8" localSheetId="24">'3395'!$A$22</definedName>
    <definedName name="_255_ESE_Level_5__Grade_Level_4_8" localSheetId="25">'3396'!$A$22</definedName>
    <definedName name="_255_ESE_Level_5__Grade_Level_4_8" localSheetId="26">'3398'!$A$22</definedName>
    <definedName name="_255_ESE_Level_5__Grade_Level_4_8" localSheetId="27">'3400'!$A$22</definedName>
    <definedName name="_255_ESE_Level_5__Grade_Level_4_8" localSheetId="28">'3401'!$A$22</definedName>
    <definedName name="_255_ESE_Level_5__Grade_Level_4_8" localSheetId="29">'3413'!$A$22</definedName>
    <definedName name="_255_ESE_Level_5__Grade_Level_4_8" localSheetId="30">'3421'!$A$22</definedName>
    <definedName name="_255_ESE_Level_5__Grade_Level_4_8" localSheetId="31">'3431'!$A$22</definedName>
    <definedName name="_255_ESE_Level_5__Grade_Level_4_8" localSheetId="32">'3441'!$A$22</definedName>
    <definedName name="_255_ESE_Level_5__Grade_Level_4_8" localSheetId="33">'3924'!$A$22</definedName>
    <definedName name="_255_ESE_Level_5__Grade_Level_4_8" localSheetId="34">'3941'!$A$22</definedName>
    <definedName name="_255_ESE_Level_5__Grade_Level_4_8" localSheetId="35">'3961'!$A$22</definedName>
    <definedName name="_255_ESE_Level_5__Grade_Level_4_8" localSheetId="36">'3971'!$A$22</definedName>
    <definedName name="_255_ESE_Level_5__Grade_Level_4_8" localSheetId="37">'4001'!$A$22</definedName>
    <definedName name="_255_ESE_Level_5__Grade_Level_4_8" localSheetId="38">'4002'!$A$22</definedName>
    <definedName name="_255_ESE_Level_5__Grade_Level_4_8" localSheetId="39">'4012'!$A$22</definedName>
    <definedName name="_255_ESE_Level_5__Grade_Level_4_8" localSheetId="40">'4013'!$A$22</definedName>
    <definedName name="_255_ESE_Level_5__Grade_Level_4_8" localSheetId="41">'4020'!$A$22</definedName>
    <definedName name="_255_ESE_Level_5__Grade_Level_4_8" localSheetId="42">'4030'!$A$22</definedName>
    <definedName name="_255_ESE_Level_5__Grade_Level_4_8" localSheetId="43">'4031'!$A$22</definedName>
    <definedName name="_255_ESE_Level_5__Grade_Level_4_8" localSheetId="44">'4041'!$A$22</definedName>
    <definedName name="_255_ESE_Level_5__Grade_Level_4_8" localSheetId="45">'4050'!$A$22</definedName>
    <definedName name="_255_ESE_Level_5__Grade_Level_4_8" localSheetId="46">'4051'!$A$22</definedName>
    <definedName name="_255_ESE_Level_5__Grade_Level_4_8" localSheetId="47">'4061'!$A$22</definedName>
    <definedName name="_255_ESE_Level_5__Grade_Level_4_8" localSheetId="48">'4080'!$A$22</definedName>
    <definedName name="_255_ESE_Level_5__Grade_Level_4_8" localSheetId="49">'4081'!$A$22</definedName>
    <definedName name="_255_ESE_Level_5__Grade_Level_4_8" localSheetId="50">'4090'!$A$22</definedName>
    <definedName name="_255_ESE_Level_5__Grade_Level_4_8" localSheetId="51">'4091'!$A$22</definedName>
    <definedName name="_255_ESE_Level_5__Grade_Level_4_8" localSheetId="52">'4100'!$A$22</definedName>
    <definedName name="_255_ESE_Level_5__Grade_Level_4_8" localSheetId="53">'4102'!$A$22</definedName>
    <definedName name="_255_ESE_Level_5__Grade_Level_4_8" localSheetId="54">'4103'!$A$22</definedName>
    <definedName name="_255_ESE_Level_5__Grade_Level_4_8" localSheetId="55">'4111'!$A$22</definedName>
    <definedName name="_255_ESE_Level_5__Grade_Level_4_8" localSheetId="56">'4131'!$A$22</definedName>
    <definedName name="_255_ESE_Level_5__Grade_Level_4_8">'0040'!$A$22</definedName>
    <definedName name="_255_ESE_Level_5__Grade_Level_9_12" localSheetId="8">'0100'!$A$23</definedName>
    <definedName name="_255_ESE_Level_5__Grade_Level_9_12" localSheetId="7">'0571'!$A$23</definedName>
    <definedName name="_255_ESE_Level_5__Grade_Level_9_12" localSheetId="9">'1461'!$A$23</definedName>
    <definedName name="_255_ESE_Level_5__Grade_Level_9_12" localSheetId="10">'1571'!$A$23</definedName>
    <definedName name="_255_ESE_Level_5__Grade_Level_9_12" localSheetId="11">'2521'!$A$23</definedName>
    <definedName name="_255_ESE_Level_5__Grade_Level_9_12" localSheetId="12">'2531'!$A$23</definedName>
    <definedName name="_255_ESE_Level_5__Grade_Level_9_12" localSheetId="13">'2791'!$A$23</definedName>
    <definedName name="_255_ESE_Level_5__Grade_Level_9_12" localSheetId="14">'2801'!$A$23</definedName>
    <definedName name="_255_ESE_Level_5__Grade_Level_9_12" localSheetId="15">'2911'!$A$23</definedName>
    <definedName name="_255_ESE_Level_5__Grade_Level_9_12" localSheetId="16">'2941'!$A$23</definedName>
    <definedName name="_255_ESE_Level_5__Grade_Level_9_12" localSheetId="17">'3083'!$A$23</definedName>
    <definedName name="_255_ESE_Level_5__Grade_Level_9_12" localSheetId="18">'3345'!$A$23</definedName>
    <definedName name="_255_ESE_Level_5__Grade_Level_9_12" localSheetId="19">'3362'!$A$23</definedName>
    <definedName name="_255_ESE_Level_5__Grade_Level_9_12" localSheetId="20">'3381'!$A$23</definedName>
    <definedName name="_255_ESE_Level_5__Grade_Level_9_12" localSheetId="21">'3382'!$A$23</definedName>
    <definedName name="_255_ESE_Level_5__Grade_Level_9_12" localSheetId="22">'3391'!$A$23</definedName>
    <definedName name="_255_ESE_Level_5__Grade_Level_9_12" localSheetId="23">'3394'!$A$23</definedName>
    <definedName name="_255_ESE_Level_5__Grade_Level_9_12" localSheetId="24">'3395'!$A$23</definedName>
    <definedName name="_255_ESE_Level_5__Grade_Level_9_12" localSheetId="25">'3396'!$A$23</definedName>
    <definedName name="_255_ESE_Level_5__Grade_Level_9_12" localSheetId="26">'3398'!$A$23</definedName>
    <definedName name="_255_ESE_Level_5__Grade_Level_9_12" localSheetId="27">'3400'!$A$23</definedName>
    <definedName name="_255_ESE_Level_5__Grade_Level_9_12" localSheetId="28">'3401'!$A$23</definedName>
    <definedName name="_255_ESE_Level_5__Grade_Level_9_12" localSheetId="29">'3413'!$A$23</definedName>
    <definedName name="_255_ESE_Level_5__Grade_Level_9_12" localSheetId="30">'3421'!$A$23</definedName>
    <definedName name="_255_ESE_Level_5__Grade_Level_9_12" localSheetId="31">'3431'!$A$23</definedName>
    <definedName name="_255_ESE_Level_5__Grade_Level_9_12" localSheetId="32">'3441'!$A$23</definedName>
    <definedName name="_255_ESE_Level_5__Grade_Level_9_12" localSheetId="33">'3924'!$A$23</definedName>
    <definedName name="_255_ESE_Level_5__Grade_Level_9_12" localSheetId="34">'3941'!$A$23</definedName>
    <definedName name="_255_ESE_Level_5__Grade_Level_9_12" localSheetId="35">'3961'!$A$23</definedName>
    <definedName name="_255_ESE_Level_5__Grade_Level_9_12" localSheetId="36">'3971'!$A$23</definedName>
    <definedName name="_255_ESE_Level_5__Grade_Level_9_12" localSheetId="37">'4001'!$A$23</definedName>
    <definedName name="_255_ESE_Level_5__Grade_Level_9_12" localSheetId="38">'4002'!$A$23</definedName>
    <definedName name="_255_ESE_Level_5__Grade_Level_9_12" localSheetId="39">'4012'!$A$23</definedName>
    <definedName name="_255_ESE_Level_5__Grade_Level_9_12" localSheetId="40">'4013'!$A$23</definedName>
    <definedName name="_255_ESE_Level_5__Grade_Level_9_12" localSheetId="41">'4020'!$A$23</definedName>
    <definedName name="_255_ESE_Level_5__Grade_Level_9_12" localSheetId="42">'4030'!$A$23</definedName>
    <definedName name="_255_ESE_Level_5__Grade_Level_9_12" localSheetId="43">'4031'!$A$23</definedName>
    <definedName name="_255_ESE_Level_5__Grade_Level_9_12" localSheetId="44">'4041'!$A$23</definedName>
    <definedName name="_255_ESE_Level_5__Grade_Level_9_12" localSheetId="45">'4050'!$A$23</definedName>
    <definedName name="_255_ESE_Level_5__Grade_Level_9_12" localSheetId="46">'4051'!$A$23</definedName>
    <definedName name="_255_ESE_Level_5__Grade_Level_9_12" localSheetId="47">'4061'!$A$23</definedName>
    <definedName name="_255_ESE_Level_5__Grade_Level_9_12" localSheetId="48">'4080'!$A$23</definedName>
    <definedName name="_255_ESE_Level_5__Grade_Level_9_12" localSheetId="49">'4081'!$A$23</definedName>
    <definedName name="_255_ESE_Level_5__Grade_Level_9_12" localSheetId="50">'4090'!$A$23</definedName>
    <definedName name="_255_ESE_Level_5__Grade_Level_9_12" localSheetId="51">'4091'!$A$23</definedName>
    <definedName name="_255_ESE_Level_5__Grade_Level_9_12" localSheetId="52">'4100'!$A$23</definedName>
    <definedName name="_255_ESE_Level_5__Grade_Level_9_12" localSheetId="53">'4102'!$A$23</definedName>
    <definedName name="_255_ESE_Level_5__Grade_Level_9_12" localSheetId="54">'4103'!$A$23</definedName>
    <definedName name="_255_ESE_Level_5__Grade_Level_9_12" localSheetId="55">'4111'!$A$23</definedName>
    <definedName name="_255_ESE_Level_5__Grade_Level_9_12" localSheetId="56">'4131'!$A$23</definedName>
    <definedName name="_255_ESE_Level_5__Grade_Level_9_12">'0040'!$A$23</definedName>
    <definedName name="_255_ESE_Level_5__Grade_Level_PK_3" localSheetId="8">'0100'!$A$21</definedName>
    <definedName name="_255_ESE_Level_5__Grade_Level_PK_3" localSheetId="7">'0571'!$A$21</definedName>
    <definedName name="_255_ESE_Level_5__Grade_Level_PK_3" localSheetId="9">'1461'!$A$21</definedName>
    <definedName name="_255_ESE_Level_5__Grade_Level_PK_3" localSheetId="10">'1571'!$A$21</definedName>
    <definedName name="_255_ESE_Level_5__Grade_Level_PK_3" localSheetId="11">'2521'!$A$21</definedName>
    <definedName name="_255_ESE_Level_5__Grade_Level_PK_3" localSheetId="12">'2531'!$A$21</definedName>
    <definedName name="_255_ESE_Level_5__Grade_Level_PK_3" localSheetId="13">'2791'!$A$21</definedName>
    <definedName name="_255_ESE_Level_5__Grade_Level_PK_3" localSheetId="14">'2801'!$A$21</definedName>
    <definedName name="_255_ESE_Level_5__Grade_Level_PK_3" localSheetId="15">'2911'!$A$21</definedName>
    <definedName name="_255_ESE_Level_5__Grade_Level_PK_3" localSheetId="16">'2941'!$A$21</definedName>
    <definedName name="_255_ESE_Level_5__Grade_Level_PK_3" localSheetId="17">'3083'!$A$21</definedName>
    <definedName name="_255_ESE_Level_5__Grade_Level_PK_3" localSheetId="18">'3345'!$A$21</definedName>
    <definedName name="_255_ESE_Level_5__Grade_Level_PK_3" localSheetId="19">'3362'!$A$21</definedName>
    <definedName name="_255_ESE_Level_5__Grade_Level_PK_3" localSheetId="20">'3381'!$A$21</definedName>
    <definedName name="_255_ESE_Level_5__Grade_Level_PK_3" localSheetId="21">'3382'!$A$21</definedName>
    <definedName name="_255_ESE_Level_5__Grade_Level_PK_3" localSheetId="22">'3391'!$A$21</definedName>
    <definedName name="_255_ESE_Level_5__Grade_Level_PK_3" localSheetId="23">'3394'!$A$21</definedName>
    <definedName name="_255_ESE_Level_5__Grade_Level_PK_3" localSheetId="24">'3395'!$A$21</definedName>
    <definedName name="_255_ESE_Level_5__Grade_Level_PK_3" localSheetId="25">'3396'!$A$21</definedName>
    <definedName name="_255_ESE_Level_5__Grade_Level_PK_3" localSheetId="26">'3398'!$A$21</definedName>
    <definedName name="_255_ESE_Level_5__Grade_Level_PK_3" localSheetId="27">'3400'!$A$21</definedName>
    <definedName name="_255_ESE_Level_5__Grade_Level_PK_3" localSheetId="28">'3401'!$A$21</definedName>
    <definedName name="_255_ESE_Level_5__Grade_Level_PK_3" localSheetId="29">'3413'!$A$21</definedName>
    <definedName name="_255_ESE_Level_5__Grade_Level_PK_3" localSheetId="30">'3421'!$A$21</definedName>
    <definedName name="_255_ESE_Level_5__Grade_Level_PK_3" localSheetId="31">'3431'!$A$21</definedName>
    <definedName name="_255_ESE_Level_5__Grade_Level_PK_3" localSheetId="32">'3441'!$A$21</definedName>
    <definedName name="_255_ESE_Level_5__Grade_Level_PK_3" localSheetId="33">'3924'!$A$21</definedName>
    <definedName name="_255_ESE_Level_5__Grade_Level_PK_3" localSheetId="34">'3941'!$A$21</definedName>
    <definedName name="_255_ESE_Level_5__Grade_Level_PK_3" localSheetId="35">'3961'!$A$21</definedName>
    <definedName name="_255_ESE_Level_5__Grade_Level_PK_3" localSheetId="36">'3971'!$A$21</definedName>
    <definedName name="_255_ESE_Level_5__Grade_Level_PK_3" localSheetId="37">'4001'!$A$21</definedName>
    <definedName name="_255_ESE_Level_5__Grade_Level_PK_3" localSheetId="38">'4002'!$A$21</definedName>
    <definedName name="_255_ESE_Level_5__Grade_Level_PK_3" localSheetId="39">'4012'!$A$21</definedName>
    <definedName name="_255_ESE_Level_5__Grade_Level_PK_3" localSheetId="40">'4013'!$A$21</definedName>
    <definedName name="_255_ESE_Level_5__Grade_Level_PK_3" localSheetId="41">'4020'!$A$21</definedName>
    <definedName name="_255_ESE_Level_5__Grade_Level_PK_3" localSheetId="42">'4030'!$A$21</definedName>
    <definedName name="_255_ESE_Level_5__Grade_Level_PK_3" localSheetId="43">'4031'!$A$21</definedName>
    <definedName name="_255_ESE_Level_5__Grade_Level_PK_3" localSheetId="44">'4041'!$A$21</definedName>
    <definedName name="_255_ESE_Level_5__Grade_Level_PK_3" localSheetId="45">'4050'!$A$21</definedName>
    <definedName name="_255_ESE_Level_5__Grade_Level_PK_3" localSheetId="46">'4051'!$A$21</definedName>
    <definedName name="_255_ESE_Level_5__Grade_Level_PK_3" localSheetId="47">'4061'!$A$21</definedName>
    <definedName name="_255_ESE_Level_5__Grade_Level_PK_3" localSheetId="48">'4080'!$A$21</definedName>
    <definedName name="_255_ESE_Level_5__Grade_Level_PK_3" localSheetId="49">'4081'!$A$21</definedName>
    <definedName name="_255_ESE_Level_5__Grade_Level_PK_3" localSheetId="50">'4090'!$A$21</definedName>
    <definedName name="_255_ESE_Level_5__Grade_Level_PK_3" localSheetId="51">'4091'!$A$21</definedName>
    <definedName name="_255_ESE_Level_5__Grade_Level_PK_3" localSheetId="52">'4100'!$A$21</definedName>
    <definedName name="_255_ESE_Level_5__Grade_Level_PK_3" localSheetId="53">'4102'!$A$21</definedName>
    <definedName name="_255_ESE_Level_5__Grade_Level_PK_3" localSheetId="54">'4103'!$A$21</definedName>
    <definedName name="_255_ESE_Level_5__Grade_Level_PK_3" localSheetId="55">'4111'!$A$21</definedName>
    <definedName name="_255_ESE_Level_5__Grade_Level_PK_3" localSheetId="56">'4131'!$A$21</definedName>
    <definedName name="_255_ESE_Level_5__Grade_Level_PK_3">'0040'!$A$21</definedName>
    <definedName name="_3.__Supplemental_Academic_Instruction" localSheetId="8">'0100'!#REF!</definedName>
    <definedName name="_3.__Supplemental_Academic_Instruction" localSheetId="7">'0571'!#REF!</definedName>
    <definedName name="_3.__Supplemental_Academic_Instruction" localSheetId="9">'1461'!#REF!</definedName>
    <definedName name="_3.__Supplemental_Academic_Instruction" localSheetId="10">'1571'!#REF!</definedName>
    <definedName name="_3.__Supplemental_Academic_Instruction" localSheetId="11">'2521'!#REF!</definedName>
    <definedName name="_3.__Supplemental_Academic_Instruction" localSheetId="12">'2531'!#REF!</definedName>
    <definedName name="_3.__Supplemental_Academic_Instruction" localSheetId="13">'2791'!#REF!</definedName>
    <definedName name="_3.__Supplemental_Academic_Instruction" localSheetId="14">'2801'!#REF!</definedName>
    <definedName name="_3.__Supplemental_Academic_Instruction" localSheetId="15">'2911'!#REF!</definedName>
    <definedName name="_3.__Supplemental_Academic_Instruction" localSheetId="16">'2941'!#REF!</definedName>
    <definedName name="_3.__Supplemental_Academic_Instruction" localSheetId="17">'3083'!#REF!</definedName>
    <definedName name="_3.__Supplemental_Academic_Instruction" localSheetId="18">'3345'!#REF!</definedName>
    <definedName name="_3.__Supplemental_Academic_Instruction" localSheetId="19">'3362'!#REF!</definedName>
    <definedName name="_3.__Supplemental_Academic_Instruction" localSheetId="20">'3381'!#REF!</definedName>
    <definedName name="_3.__Supplemental_Academic_Instruction" localSheetId="21">'3382'!#REF!</definedName>
    <definedName name="_3.__Supplemental_Academic_Instruction" localSheetId="22">'3391'!#REF!</definedName>
    <definedName name="_3.__Supplemental_Academic_Instruction" localSheetId="23">'3394'!#REF!</definedName>
    <definedName name="_3.__Supplemental_Academic_Instruction" localSheetId="24">'3395'!#REF!</definedName>
    <definedName name="_3.__Supplemental_Academic_Instruction" localSheetId="25">'3396'!#REF!</definedName>
    <definedName name="_3.__Supplemental_Academic_Instruction" localSheetId="26">'3398'!#REF!</definedName>
    <definedName name="_3.__Supplemental_Academic_Instruction" localSheetId="27">'3400'!#REF!</definedName>
    <definedName name="_3.__Supplemental_Academic_Instruction" localSheetId="28">'3401'!#REF!</definedName>
    <definedName name="_3.__Supplemental_Academic_Instruction" localSheetId="29">'3413'!#REF!</definedName>
    <definedName name="_3.__Supplemental_Academic_Instruction" localSheetId="30">'3421'!#REF!</definedName>
    <definedName name="_3.__Supplemental_Academic_Instruction" localSheetId="31">'3431'!#REF!</definedName>
    <definedName name="_3.__Supplemental_Academic_Instruction" localSheetId="32">'3441'!#REF!</definedName>
    <definedName name="_3.__Supplemental_Academic_Instruction" localSheetId="33">'3924'!#REF!</definedName>
    <definedName name="_3.__Supplemental_Academic_Instruction" localSheetId="34">'3941'!#REF!</definedName>
    <definedName name="_3.__Supplemental_Academic_Instruction" localSheetId="35">'3961'!#REF!</definedName>
    <definedName name="_3.__Supplemental_Academic_Instruction" localSheetId="36">'3971'!#REF!</definedName>
    <definedName name="_3.__Supplemental_Academic_Instruction" localSheetId="37">'4001'!#REF!</definedName>
    <definedName name="_3.__Supplemental_Academic_Instruction" localSheetId="38">'4002'!#REF!</definedName>
    <definedName name="_3.__Supplemental_Academic_Instruction" localSheetId="39">'4012'!#REF!</definedName>
    <definedName name="_3.__Supplemental_Academic_Instruction" localSheetId="40">'4013'!#REF!</definedName>
    <definedName name="_3.__Supplemental_Academic_Instruction" localSheetId="41">'4020'!#REF!</definedName>
    <definedName name="_3.__Supplemental_Academic_Instruction" localSheetId="42">'4030'!#REF!</definedName>
    <definedName name="_3.__Supplemental_Academic_Instruction" localSheetId="43">'4031'!#REF!</definedName>
    <definedName name="_3.__Supplemental_Academic_Instruction" localSheetId="44">'4041'!#REF!</definedName>
    <definedName name="_3.__Supplemental_Academic_Instruction" localSheetId="45">'4050'!#REF!</definedName>
    <definedName name="_3.__Supplemental_Academic_Instruction" localSheetId="46">'4051'!#REF!</definedName>
    <definedName name="_3.__Supplemental_Academic_Instruction" localSheetId="47">'4061'!#REF!</definedName>
    <definedName name="_3.__Supplemental_Academic_Instruction" localSheetId="48">'4080'!#REF!</definedName>
    <definedName name="_3.__Supplemental_Academic_Instruction" localSheetId="49">'4081'!#REF!</definedName>
    <definedName name="_3.__Supplemental_Academic_Instruction" localSheetId="50">'4090'!#REF!</definedName>
    <definedName name="_3.__Supplemental_Academic_Instruction" localSheetId="51">'4091'!#REF!</definedName>
    <definedName name="_3.__Supplemental_Academic_Instruction" localSheetId="52">'4100'!#REF!</definedName>
    <definedName name="_3.__Supplemental_Academic_Instruction" localSheetId="53">'4102'!#REF!</definedName>
    <definedName name="_3.__Supplemental_Academic_Instruction" localSheetId="54">'4103'!#REF!</definedName>
    <definedName name="_3.__Supplemental_Academic_Instruction" localSheetId="55">'4111'!#REF!</definedName>
    <definedName name="_3.__Supplemental_Academic_Instruction" localSheetId="56">'4131'!#REF!</definedName>
    <definedName name="_300_Career_Education__Grades_9_12" localSheetId="8">'0100'!$A$27</definedName>
    <definedName name="_300_Career_Education__Grades_9_12" localSheetId="7">'0571'!$A$27</definedName>
    <definedName name="_300_Career_Education__Grades_9_12" localSheetId="9">'1461'!$A$27</definedName>
    <definedName name="_300_Career_Education__Grades_9_12" localSheetId="10">'1571'!$A$27</definedName>
    <definedName name="_300_Career_Education__Grades_9_12" localSheetId="11">'2521'!$A$27</definedName>
    <definedName name="_300_Career_Education__Grades_9_12" localSheetId="12">'2531'!$A$27</definedName>
    <definedName name="_300_Career_Education__Grades_9_12" localSheetId="13">'2791'!$A$27</definedName>
    <definedName name="_300_Career_Education__Grades_9_12" localSheetId="14">'2801'!$A$27</definedName>
    <definedName name="_300_Career_Education__Grades_9_12" localSheetId="15">'2911'!$A$27</definedName>
    <definedName name="_300_Career_Education__Grades_9_12" localSheetId="16">'2941'!$A$27</definedName>
    <definedName name="_300_Career_Education__Grades_9_12" localSheetId="17">'3083'!$A$27</definedName>
    <definedName name="_300_Career_Education__Grades_9_12" localSheetId="18">'3345'!$A$27</definedName>
    <definedName name="_300_Career_Education__Grades_9_12" localSheetId="19">'3362'!$A$27</definedName>
    <definedName name="_300_Career_Education__Grades_9_12" localSheetId="20">'3381'!$A$27</definedName>
    <definedName name="_300_Career_Education__Grades_9_12" localSheetId="21">'3382'!$A$27</definedName>
    <definedName name="_300_Career_Education__Grades_9_12" localSheetId="22">'3391'!$A$27</definedName>
    <definedName name="_300_Career_Education__Grades_9_12" localSheetId="23">'3394'!$A$27</definedName>
    <definedName name="_300_Career_Education__Grades_9_12" localSheetId="24">'3395'!$A$27</definedName>
    <definedName name="_300_Career_Education__Grades_9_12" localSheetId="25">'3396'!$A$27</definedName>
    <definedName name="_300_Career_Education__Grades_9_12" localSheetId="26">'3398'!$A$27</definedName>
    <definedName name="_300_Career_Education__Grades_9_12" localSheetId="27">'3400'!$A$27</definedName>
    <definedName name="_300_Career_Education__Grades_9_12" localSheetId="28">'3401'!$A$27</definedName>
    <definedName name="_300_Career_Education__Grades_9_12" localSheetId="29">'3413'!$A$27</definedName>
    <definedName name="_300_Career_Education__Grades_9_12" localSheetId="30">'3421'!$A$27</definedName>
    <definedName name="_300_Career_Education__Grades_9_12" localSheetId="31">'3431'!$A$27</definedName>
    <definedName name="_300_Career_Education__Grades_9_12" localSheetId="32">'3441'!$A$27</definedName>
    <definedName name="_300_Career_Education__Grades_9_12" localSheetId="33">'3924'!$A$27</definedName>
    <definedName name="_300_Career_Education__Grades_9_12" localSheetId="34">'3941'!$A$27</definedName>
    <definedName name="_300_Career_Education__Grades_9_12" localSheetId="35">'3961'!$A$27</definedName>
    <definedName name="_300_Career_Education__Grades_9_12" localSheetId="36">'3971'!$A$27</definedName>
    <definedName name="_300_Career_Education__Grades_9_12" localSheetId="37">'4001'!$A$27</definedName>
    <definedName name="_300_Career_Education__Grades_9_12" localSheetId="38">'4002'!$A$27</definedName>
    <definedName name="_300_Career_Education__Grades_9_12" localSheetId="39">'4012'!$A$27</definedName>
    <definedName name="_300_Career_Education__Grades_9_12" localSheetId="40">'4013'!$A$27</definedName>
    <definedName name="_300_Career_Education__Grades_9_12" localSheetId="41">'4020'!$A$27</definedName>
    <definedName name="_300_Career_Education__Grades_9_12" localSheetId="42">'4030'!$A$27</definedName>
    <definedName name="_300_Career_Education__Grades_9_12" localSheetId="43">'4031'!$A$27</definedName>
    <definedName name="_300_Career_Education__Grades_9_12" localSheetId="44">'4041'!$A$27</definedName>
    <definedName name="_300_Career_Education__Grades_9_12" localSheetId="45">'4050'!$A$27</definedName>
    <definedName name="_300_Career_Education__Grades_9_12" localSheetId="46">'4051'!$A$27</definedName>
    <definedName name="_300_Career_Education__Grades_9_12" localSheetId="47">'4061'!$A$27</definedName>
    <definedName name="_300_Career_Education__Grades_9_12" localSheetId="48">'4080'!$A$27</definedName>
    <definedName name="_300_Career_Education__Grades_9_12" localSheetId="49">'4081'!$A$27</definedName>
    <definedName name="_300_Career_Education__Grades_9_12" localSheetId="50">'4090'!$A$27</definedName>
    <definedName name="_300_Career_Education__Grades_9_12" localSheetId="51">'4091'!$A$27</definedName>
    <definedName name="_300_Career_Education__Grades_9_12" localSheetId="52">'4100'!$A$27</definedName>
    <definedName name="_300_Career_Education__Grades_9_12" localSheetId="53">'4102'!$A$27</definedName>
    <definedName name="_300_Career_Education__Grades_9_12" localSheetId="54">'4103'!$A$27</definedName>
    <definedName name="_300_Career_Education__Grades_9_12" localSheetId="55">'4111'!$A$27</definedName>
    <definedName name="_300_Career_Education__Grades_9_12" localSheetId="56">'4131'!$A$27</definedName>
    <definedName name="_300_Career_Education__Grades_9_12">'0040'!$A$27</definedName>
    <definedName name="_4_8" localSheetId="8">'0100'!$A$91</definedName>
    <definedName name="_4_8" localSheetId="7">'0571'!$A$91</definedName>
    <definedName name="_4_8" localSheetId="9">'1461'!$A$91</definedName>
    <definedName name="_4_8" localSheetId="10">'1571'!$A$91</definedName>
    <definedName name="_4_8" localSheetId="11">'2521'!$A$91</definedName>
    <definedName name="_4_8" localSheetId="12">'2531'!$A$91</definedName>
    <definedName name="_4_8" localSheetId="13">'2791'!$A$91</definedName>
    <definedName name="_4_8" localSheetId="14">'2801'!$A$91</definedName>
    <definedName name="_4_8" localSheetId="15">'2911'!$A$91</definedName>
    <definedName name="_4_8" localSheetId="16">'2941'!$A$91</definedName>
    <definedName name="_4_8" localSheetId="17">'3083'!$A$91</definedName>
    <definedName name="_4_8" localSheetId="18">'3345'!$A$91</definedName>
    <definedName name="_4_8" localSheetId="19">'3362'!$A$91</definedName>
    <definedName name="_4_8" localSheetId="20">'3381'!$A$91</definedName>
    <definedName name="_4_8" localSheetId="21">'3382'!$A$91</definedName>
    <definedName name="_4_8" localSheetId="22">'3391'!$A$91</definedName>
    <definedName name="_4_8" localSheetId="23">'3394'!$A$91</definedName>
    <definedName name="_4_8" localSheetId="24">'3395'!$A$91</definedName>
    <definedName name="_4_8" localSheetId="25">'3396'!$A$91</definedName>
    <definedName name="_4_8" localSheetId="26">'3398'!$A$91</definedName>
    <definedName name="_4_8" localSheetId="27">'3400'!$A$91</definedName>
    <definedName name="_4_8" localSheetId="28">'3401'!$A$91</definedName>
    <definedName name="_4_8" localSheetId="29">'3413'!$A$91</definedName>
    <definedName name="_4_8" localSheetId="30">'3421'!$A$91</definedName>
    <definedName name="_4_8" localSheetId="31">'3431'!$A$91</definedName>
    <definedName name="_4_8" localSheetId="32">'3441'!$A$91</definedName>
    <definedName name="_4_8" localSheetId="33">'3924'!$A$91</definedName>
    <definedName name="_4_8" localSheetId="34">'3941'!$A$91</definedName>
    <definedName name="_4_8" localSheetId="35">'3961'!$A$91</definedName>
    <definedName name="_4_8" localSheetId="36">'3971'!$A$91</definedName>
    <definedName name="_4_8" localSheetId="37">'4001'!$A$91</definedName>
    <definedName name="_4_8" localSheetId="38">'4002'!$A$91</definedName>
    <definedName name="_4_8" localSheetId="39">'4012'!$A$91</definedName>
    <definedName name="_4_8" localSheetId="40">'4013'!$A$91</definedName>
    <definedName name="_4_8" localSheetId="41">'4020'!$A$91</definedName>
    <definedName name="_4_8" localSheetId="42">'4030'!$A$91</definedName>
    <definedName name="_4_8" localSheetId="43">'4031'!$A$91</definedName>
    <definedName name="_4_8" localSheetId="44">'4041'!$A$91</definedName>
    <definedName name="_4_8" localSheetId="45">'4050'!$A$91</definedName>
    <definedName name="_4_8" localSheetId="46">'4051'!$A$91</definedName>
    <definedName name="_4_8" localSheetId="47">'4061'!$A$91</definedName>
    <definedName name="_4_8" localSheetId="48">'4080'!$A$91</definedName>
    <definedName name="_4_8" localSheetId="49">'4081'!$A$91</definedName>
    <definedName name="_4_8" localSheetId="50">'4090'!$A$91</definedName>
    <definedName name="_4_8" localSheetId="51">'4091'!$A$91</definedName>
    <definedName name="_4_8" localSheetId="52">'4100'!$A$91</definedName>
    <definedName name="_4_8" localSheetId="53">'4102'!$A$91</definedName>
    <definedName name="_4_8" localSheetId="54">'4103'!$A$91</definedName>
    <definedName name="_4_8" localSheetId="55">'4111'!$A$91</definedName>
    <definedName name="_4_8" localSheetId="56">'4131'!$A$91</definedName>
    <definedName name="_4_8">'0040'!$A$91</definedName>
    <definedName name="_9_12" localSheetId="8">'0100'!$A$92</definedName>
    <definedName name="_9_12" localSheetId="7">'0571'!$A$92</definedName>
    <definedName name="_9_12" localSheetId="9">'1461'!$A$92</definedName>
    <definedName name="_9_12" localSheetId="10">'1571'!$A$92</definedName>
    <definedName name="_9_12" localSheetId="11">'2521'!$A$92</definedName>
    <definedName name="_9_12" localSheetId="12">'2531'!$A$92</definedName>
    <definedName name="_9_12" localSheetId="13">'2791'!$A$92</definedName>
    <definedName name="_9_12" localSheetId="14">'2801'!$A$92</definedName>
    <definedName name="_9_12" localSheetId="15">'2911'!$A$92</definedName>
    <definedName name="_9_12" localSheetId="16">'2941'!$A$92</definedName>
    <definedName name="_9_12" localSheetId="17">'3083'!$A$92</definedName>
    <definedName name="_9_12" localSheetId="18">'3345'!$A$92</definedName>
    <definedName name="_9_12" localSheetId="19">'3362'!$A$92</definedName>
    <definedName name="_9_12" localSheetId="20">'3381'!$A$92</definedName>
    <definedName name="_9_12" localSheetId="21">'3382'!$A$92</definedName>
    <definedName name="_9_12" localSheetId="22">'3391'!$A$92</definedName>
    <definedName name="_9_12" localSheetId="23">'3394'!$A$92</definedName>
    <definedName name="_9_12" localSheetId="24">'3395'!$A$92</definedName>
    <definedName name="_9_12" localSheetId="25">'3396'!$A$92</definedName>
    <definedName name="_9_12" localSheetId="26">'3398'!$A$92</definedName>
    <definedName name="_9_12" localSheetId="27">'3400'!$A$92</definedName>
    <definedName name="_9_12" localSheetId="28">'3401'!$A$92</definedName>
    <definedName name="_9_12" localSheetId="29">'3413'!$A$92</definedName>
    <definedName name="_9_12" localSheetId="30">'3421'!$A$92</definedName>
    <definedName name="_9_12" localSheetId="31">'3431'!$A$92</definedName>
    <definedName name="_9_12" localSheetId="32">'3441'!$A$92</definedName>
    <definedName name="_9_12" localSheetId="33">'3924'!$A$92</definedName>
    <definedName name="_9_12" localSheetId="34">'3941'!$A$92</definedName>
    <definedName name="_9_12" localSheetId="35">'3961'!$A$92</definedName>
    <definedName name="_9_12" localSheetId="36">'3971'!$A$92</definedName>
    <definedName name="_9_12" localSheetId="37">'4001'!$A$92</definedName>
    <definedName name="_9_12" localSheetId="38">'4002'!$A$92</definedName>
    <definedName name="_9_12" localSheetId="39">'4012'!$A$92</definedName>
    <definedName name="_9_12" localSheetId="40">'4013'!$A$92</definedName>
    <definedName name="_9_12" localSheetId="41">'4020'!$A$92</definedName>
    <definedName name="_9_12" localSheetId="42">'4030'!$A$92</definedName>
    <definedName name="_9_12" localSheetId="43">'4031'!$A$92</definedName>
    <definedName name="_9_12" localSheetId="44">'4041'!$A$92</definedName>
    <definedName name="_9_12" localSheetId="45">'4050'!$A$92</definedName>
    <definedName name="_9_12" localSheetId="46">'4051'!$A$92</definedName>
    <definedName name="_9_12" localSheetId="47">'4061'!$A$92</definedName>
    <definedName name="_9_12" localSheetId="48">'4080'!$A$92</definedName>
    <definedName name="_9_12" localSheetId="49">'4081'!$A$92</definedName>
    <definedName name="_9_12" localSheetId="50">'4090'!$A$92</definedName>
    <definedName name="_9_12" localSheetId="51">'4091'!$A$92</definedName>
    <definedName name="_9_12" localSheetId="52">'4100'!$A$92</definedName>
    <definedName name="_9_12" localSheetId="53">'4102'!$A$92</definedName>
    <definedName name="_9_12" localSheetId="54">'4103'!$A$92</definedName>
    <definedName name="_9_12" localSheetId="55">'4111'!$A$92</definedName>
    <definedName name="_9_12" localSheetId="56">'4131'!$A$92</definedName>
    <definedName name="_9_12">'0040'!$A$92</definedName>
    <definedName name="_Add_On_FTE" localSheetId="8">'0100'!#REF!</definedName>
    <definedName name="_Add_On_FTE" localSheetId="7">'0571'!#REF!</definedName>
    <definedName name="_Add_On_FTE" localSheetId="9">'1461'!#REF!</definedName>
    <definedName name="_Add_On_FTE" localSheetId="10">'1571'!#REF!</definedName>
    <definedName name="_Add_On_FTE" localSheetId="11">'2521'!#REF!</definedName>
    <definedName name="_Add_On_FTE" localSheetId="12">'2531'!#REF!</definedName>
    <definedName name="_Add_On_FTE" localSheetId="13">'2791'!#REF!</definedName>
    <definedName name="_Add_On_FTE" localSheetId="14">'2801'!#REF!</definedName>
    <definedName name="_Add_On_FTE" localSheetId="15">'2911'!#REF!</definedName>
    <definedName name="_Add_On_FTE" localSheetId="16">'2941'!#REF!</definedName>
    <definedName name="_Add_On_FTE" localSheetId="17">'3083'!#REF!</definedName>
    <definedName name="_Add_On_FTE" localSheetId="18">'3345'!#REF!</definedName>
    <definedName name="_Add_On_FTE" localSheetId="19">'3362'!#REF!</definedName>
    <definedName name="_Add_On_FTE" localSheetId="20">'3381'!#REF!</definedName>
    <definedName name="_Add_On_FTE" localSheetId="21">'3382'!#REF!</definedName>
    <definedName name="_Add_On_FTE" localSheetId="22">'3391'!#REF!</definedName>
    <definedName name="_Add_On_FTE" localSheetId="23">'3394'!#REF!</definedName>
    <definedName name="_Add_On_FTE" localSheetId="24">'3395'!#REF!</definedName>
    <definedName name="_Add_On_FTE" localSheetId="25">'3396'!#REF!</definedName>
    <definedName name="_Add_On_FTE" localSheetId="26">'3398'!#REF!</definedName>
    <definedName name="_Add_On_FTE" localSheetId="27">'3400'!#REF!</definedName>
    <definedName name="_Add_On_FTE" localSheetId="28">'3401'!#REF!</definedName>
    <definedName name="_Add_On_FTE" localSheetId="29">'3413'!#REF!</definedName>
    <definedName name="_Add_On_FTE" localSheetId="30">'3421'!#REF!</definedName>
    <definedName name="_Add_On_FTE" localSheetId="31">'3431'!#REF!</definedName>
    <definedName name="_Add_On_FTE" localSheetId="32">'3441'!#REF!</definedName>
    <definedName name="_Add_On_FTE" localSheetId="33">'3924'!#REF!</definedName>
    <definedName name="_Add_On_FTE" localSheetId="34">'3941'!#REF!</definedName>
    <definedName name="_Add_On_FTE" localSheetId="35">'3961'!#REF!</definedName>
    <definedName name="_Add_On_FTE" localSheetId="36">'3971'!#REF!</definedName>
    <definedName name="_Add_On_FTE" localSheetId="37">'4001'!#REF!</definedName>
    <definedName name="_Add_On_FTE" localSheetId="38">'4002'!#REF!</definedName>
    <definedName name="_Add_On_FTE" localSheetId="39">'4012'!#REF!</definedName>
    <definedName name="_Add_On_FTE" localSheetId="40">'4013'!#REF!</definedName>
    <definedName name="_Add_On_FTE" localSheetId="41">'4020'!#REF!</definedName>
    <definedName name="_Add_On_FTE" localSheetId="42">'4030'!#REF!</definedName>
    <definedName name="_Add_On_FTE" localSheetId="43">'4031'!#REF!</definedName>
    <definedName name="_Add_On_FTE" localSheetId="44">'4041'!#REF!</definedName>
    <definedName name="_Add_On_FTE" localSheetId="45">'4050'!#REF!</definedName>
    <definedName name="_Add_On_FTE" localSheetId="46">'4051'!#REF!</definedName>
    <definedName name="_Add_On_FTE" localSheetId="47">'4061'!#REF!</definedName>
    <definedName name="_Add_On_FTE" localSheetId="48">'4080'!#REF!</definedName>
    <definedName name="_Add_On_FTE" localSheetId="49">'4081'!#REF!</definedName>
    <definedName name="_Add_On_FTE" localSheetId="50">'4090'!#REF!</definedName>
    <definedName name="_Add_On_FTE" localSheetId="51">'4091'!#REF!</definedName>
    <definedName name="_Add_On_FTE" localSheetId="52">'4100'!#REF!</definedName>
    <definedName name="_Add_On_FTE" localSheetId="53">'4102'!#REF!</definedName>
    <definedName name="_Add_On_FTE" localSheetId="54">'4103'!#REF!</definedName>
    <definedName name="_Add_On_FTE" localSheetId="55">'4111'!#REF!</definedName>
    <definedName name="_Add_On_FTE" localSheetId="56">'4131'!#REF!</definedName>
    <definedName name="_xlnm._FilterDatabase" localSheetId="1" hidden="1">'Annual Rev &amp; Fees'!$A$5:$W$55</definedName>
    <definedName name="_xlnm._FilterDatabase" localSheetId="5" hidden="1">CountData!$L$1:$M$53</definedName>
    <definedName name="_xlnm._FilterDatabase" localSheetId="0" hidden="1">'Net Payment'!$A$4:$G$472</definedName>
    <definedName name="Add_On_FTE" localSheetId="8">'0100'!#REF!</definedName>
    <definedName name="Add_On_FTE" localSheetId="7">'0571'!#REF!</definedName>
    <definedName name="Add_On_FTE" localSheetId="9">'1461'!#REF!</definedName>
    <definedName name="Add_On_FTE" localSheetId="10">'1571'!#REF!</definedName>
    <definedName name="Add_On_FTE" localSheetId="11">'2521'!#REF!</definedName>
    <definedName name="Add_On_FTE" localSheetId="12">'2531'!#REF!</definedName>
    <definedName name="Add_On_FTE" localSheetId="13">'2791'!#REF!</definedName>
    <definedName name="Add_On_FTE" localSheetId="14">'2801'!#REF!</definedName>
    <definedName name="Add_On_FTE" localSheetId="15">'2911'!#REF!</definedName>
    <definedName name="Add_On_FTE" localSheetId="16">'2941'!#REF!</definedName>
    <definedName name="Add_On_FTE" localSheetId="17">'3083'!#REF!</definedName>
    <definedName name="Add_On_FTE" localSheetId="18">'3345'!#REF!</definedName>
    <definedName name="Add_On_FTE" localSheetId="19">'3362'!#REF!</definedName>
    <definedName name="Add_On_FTE" localSheetId="20">'3381'!#REF!</definedName>
    <definedName name="Add_On_FTE" localSheetId="21">'3382'!#REF!</definedName>
    <definedName name="Add_On_FTE" localSheetId="22">'3391'!#REF!</definedName>
    <definedName name="Add_On_FTE" localSheetId="23">'3394'!#REF!</definedName>
    <definedName name="Add_On_FTE" localSheetId="24">'3395'!#REF!</definedName>
    <definedName name="Add_On_FTE" localSheetId="25">'3396'!#REF!</definedName>
    <definedName name="Add_On_FTE" localSheetId="26">'3398'!#REF!</definedName>
    <definedName name="Add_On_FTE" localSheetId="27">'3400'!#REF!</definedName>
    <definedName name="Add_On_FTE" localSheetId="28">'3401'!#REF!</definedName>
    <definedName name="Add_On_FTE" localSheetId="29">'3413'!#REF!</definedName>
    <definedName name="Add_On_FTE" localSheetId="30">'3421'!#REF!</definedName>
    <definedName name="Add_On_FTE" localSheetId="31">'3431'!#REF!</definedName>
    <definedName name="Add_On_FTE" localSheetId="32">'3441'!#REF!</definedName>
    <definedName name="Add_On_FTE" localSheetId="33">'3924'!#REF!</definedName>
    <definedName name="Add_On_FTE" localSheetId="34">'3941'!#REF!</definedName>
    <definedName name="Add_On_FTE" localSheetId="35">'3961'!#REF!</definedName>
    <definedName name="Add_On_FTE" localSheetId="36">'3971'!#REF!</definedName>
    <definedName name="Add_On_FTE" localSheetId="37">'4001'!#REF!</definedName>
    <definedName name="Add_On_FTE" localSheetId="38">'4002'!#REF!</definedName>
    <definedName name="Add_On_FTE" localSheetId="39">'4012'!#REF!</definedName>
    <definedName name="Add_On_FTE" localSheetId="40">'4013'!#REF!</definedName>
    <definedName name="Add_On_FTE" localSheetId="41">'4020'!#REF!</definedName>
    <definedName name="Add_On_FTE" localSheetId="42">'4030'!#REF!</definedName>
    <definedName name="Add_On_FTE" localSheetId="43">'4031'!#REF!</definedName>
    <definedName name="Add_On_FTE" localSheetId="44">'4041'!#REF!</definedName>
    <definedName name="Add_On_FTE" localSheetId="45">'4050'!#REF!</definedName>
    <definedName name="Add_On_FTE" localSheetId="46">'4051'!#REF!</definedName>
    <definedName name="Add_On_FTE" localSheetId="47">'4061'!#REF!</definedName>
    <definedName name="Add_On_FTE" localSheetId="48">'4080'!#REF!</definedName>
    <definedName name="Add_On_FTE" localSheetId="49">'4081'!#REF!</definedName>
    <definedName name="Add_On_FTE" localSheetId="50">'4090'!#REF!</definedName>
    <definedName name="Add_On_FTE" localSheetId="51">'4091'!#REF!</definedName>
    <definedName name="Add_On_FTE" localSheetId="52">'4100'!#REF!</definedName>
    <definedName name="Add_On_FTE" localSheetId="53">'4102'!#REF!</definedName>
    <definedName name="Add_On_FTE" localSheetId="54">'4103'!#REF!</definedName>
    <definedName name="Add_On_FTE" localSheetId="55">'4111'!#REF!</definedName>
    <definedName name="Add_On_FTE" localSheetId="56">'4131'!#REF!</definedName>
    <definedName name="Allocation_factors" localSheetId="8">'0100'!$G$89</definedName>
    <definedName name="Allocation_factors" localSheetId="7">'0571'!$G$89</definedName>
    <definedName name="Allocation_factors" localSheetId="9">'1461'!$G$89</definedName>
    <definedName name="Allocation_factors" localSheetId="10">'1571'!$G$89</definedName>
    <definedName name="Allocation_factors" localSheetId="11">'2521'!$G$89</definedName>
    <definedName name="Allocation_factors" localSheetId="12">'2531'!$G$89</definedName>
    <definedName name="Allocation_factors" localSheetId="13">'2791'!$G$89</definedName>
    <definedName name="Allocation_factors" localSheetId="14">'2801'!$G$89</definedName>
    <definedName name="Allocation_factors" localSheetId="15">'2911'!$G$89</definedName>
    <definedName name="Allocation_factors" localSheetId="16">'2941'!$G$89</definedName>
    <definedName name="Allocation_factors" localSheetId="17">'3083'!$G$89</definedName>
    <definedName name="Allocation_factors" localSheetId="18">'3345'!$G$89</definedName>
    <definedName name="Allocation_factors" localSheetId="19">'3362'!$G$89</definedName>
    <definedName name="Allocation_factors" localSheetId="20">'3381'!$G$89</definedName>
    <definedName name="Allocation_factors" localSheetId="21">'3382'!$G$89</definedName>
    <definedName name="Allocation_factors" localSheetId="22">'3391'!$G$89</definedName>
    <definedName name="Allocation_factors" localSheetId="23">'3394'!$G$89</definedName>
    <definedName name="Allocation_factors" localSheetId="24">'3395'!$G$89</definedName>
    <definedName name="Allocation_factors" localSheetId="25">'3396'!$G$89</definedName>
    <definedName name="Allocation_factors" localSheetId="26">'3398'!$G$89</definedName>
    <definedName name="Allocation_factors" localSheetId="27">'3400'!$G$89</definedName>
    <definedName name="Allocation_factors" localSheetId="28">'3401'!$G$89</definedName>
    <definedName name="Allocation_factors" localSheetId="29">'3413'!$G$89</definedName>
    <definedName name="Allocation_factors" localSheetId="30">'3421'!$G$89</definedName>
    <definedName name="Allocation_factors" localSheetId="31">'3431'!$G$89</definedName>
    <definedName name="Allocation_factors" localSheetId="32">'3441'!$G$89</definedName>
    <definedName name="Allocation_factors" localSheetId="33">'3924'!$G$89</definedName>
    <definedName name="Allocation_factors" localSheetId="34">'3941'!$G$89</definedName>
    <definedName name="Allocation_factors" localSheetId="35">'3961'!$G$89</definedName>
    <definedName name="Allocation_factors" localSheetId="36">'3971'!$G$89</definedName>
    <definedName name="Allocation_factors" localSheetId="37">'4001'!$G$89</definedName>
    <definedName name="Allocation_factors" localSheetId="38">'4002'!$G$89</definedName>
    <definedName name="Allocation_factors" localSheetId="39">'4012'!$G$89</definedName>
    <definedName name="Allocation_factors" localSheetId="40">'4013'!$G$89</definedName>
    <definedName name="Allocation_factors" localSheetId="41">'4020'!$G$89</definedName>
    <definedName name="Allocation_factors" localSheetId="42">'4030'!$G$89</definedName>
    <definedName name="Allocation_factors" localSheetId="43">'4031'!$G$89</definedName>
    <definedName name="Allocation_factors" localSheetId="44">'4041'!$G$89</definedName>
    <definedName name="Allocation_factors" localSheetId="45">'4050'!$G$89</definedName>
    <definedName name="Allocation_factors" localSheetId="46">'4051'!$G$89</definedName>
    <definedName name="Allocation_factors" localSheetId="47">'4061'!$G$89</definedName>
    <definedName name="Allocation_factors" localSheetId="48">'4080'!$G$89</definedName>
    <definedName name="Allocation_factors" localSheetId="49">'4081'!$G$89</definedName>
    <definedName name="Allocation_factors" localSheetId="50">'4090'!$G$89</definedName>
    <definedName name="Allocation_factors" localSheetId="51">'4091'!$G$89</definedName>
    <definedName name="Allocation_factors" localSheetId="52">'4100'!$G$89</definedName>
    <definedName name="Allocation_factors" localSheetId="53">'4102'!$G$89</definedName>
    <definedName name="Allocation_factors" localSheetId="54">'4103'!$G$89</definedName>
    <definedName name="Allocation_factors" localSheetId="55">'4111'!$G$89</definedName>
    <definedName name="Allocation_factors" localSheetId="56">'4131'!$G$89</definedName>
    <definedName name="Allocation_factors">'0040'!$G$89</definedName>
    <definedName name="Base_Student_Allocation" localSheetId="8">'0100'!$A$6</definedName>
    <definedName name="Base_Student_Allocation" localSheetId="7">'0571'!$A$6</definedName>
    <definedName name="Base_Student_Allocation" localSheetId="9">'1461'!$A$6</definedName>
    <definedName name="Base_Student_Allocation" localSheetId="10">'1571'!$A$6</definedName>
    <definedName name="Base_Student_Allocation" localSheetId="11">'2521'!$A$6</definedName>
    <definedName name="Base_Student_Allocation" localSheetId="12">'2531'!$A$6</definedName>
    <definedName name="Base_Student_Allocation" localSheetId="13">'2791'!$A$6</definedName>
    <definedName name="Base_Student_Allocation" localSheetId="14">'2801'!$A$6</definedName>
    <definedName name="Base_Student_Allocation" localSheetId="15">'2911'!$A$6</definedName>
    <definedName name="Base_Student_Allocation" localSheetId="16">'2941'!$A$6</definedName>
    <definedName name="Base_Student_Allocation" localSheetId="17">'3083'!$A$6</definedName>
    <definedName name="Base_Student_Allocation" localSheetId="18">'3345'!$A$6</definedName>
    <definedName name="Base_Student_Allocation" localSheetId="19">'3362'!$A$6</definedName>
    <definedName name="Base_Student_Allocation" localSheetId="20">'3381'!$A$6</definedName>
    <definedName name="Base_Student_Allocation" localSheetId="21">'3382'!$A$6</definedName>
    <definedName name="Base_Student_Allocation" localSheetId="22">'3391'!$A$6</definedName>
    <definedName name="Base_Student_Allocation" localSheetId="23">'3394'!$A$6</definedName>
    <definedName name="Base_Student_Allocation" localSheetId="24">'3395'!$A$6</definedName>
    <definedName name="Base_Student_Allocation" localSheetId="25">'3396'!$A$6</definedName>
    <definedName name="Base_Student_Allocation" localSheetId="26">'3398'!$A$6</definedName>
    <definedName name="Base_Student_Allocation" localSheetId="27">'3400'!$A$6</definedName>
    <definedName name="Base_Student_Allocation" localSheetId="28">'3401'!$A$6</definedName>
    <definedName name="Base_Student_Allocation" localSheetId="29">'3413'!$A$6</definedName>
    <definedName name="Base_Student_Allocation" localSheetId="30">'3421'!$A$6</definedName>
    <definedName name="Base_Student_Allocation" localSheetId="31">'3431'!$A$6</definedName>
    <definedName name="Base_Student_Allocation" localSheetId="32">'3441'!$A$6</definedName>
    <definedName name="Base_Student_Allocation" localSheetId="33">'3924'!$A$6</definedName>
    <definedName name="Base_Student_Allocation" localSheetId="34">'3941'!$A$6</definedName>
    <definedName name="Base_Student_Allocation" localSheetId="35">'3961'!$A$6</definedName>
    <definedName name="Base_Student_Allocation" localSheetId="36">'3971'!$A$6</definedName>
    <definedName name="Base_Student_Allocation" localSheetId="37">'4001'!$A$6</definedName>
    <definedName name="Base_Student_Allocation" localSheetId="38">'4002'!$A$6</definedName>
    <definedName name="Base_Student_Allocation" localSheetId="39">'4012'!$A$6</definedName>
    <definedName name="Base_Student_Allocation" localSheetId="40">'4013'!$A$6</definedName>
    <definedName name="Base_Student_Allocation" localSheetId="41">'4020'!$A$6</definedName>
    <definedName name="Base_Student_Allocation" localSheetId="42">'4030'!$A$6</definedName>
    <definedName name="Base_Student_Allocation" localSheetId="43">'4031'!$A$6</definedName>
    <definedName name="Base_Student_Allocation" localSheetId="44">'4041'!$A$6</definedName>
    <definedName name="Base_Student_Allocation" localSheetId="45">'4050'!$A$6</definedName>
    <definedName name="Base_Student_Allocation" localSheetId="46">'4051'!$A$6</definedName>
    <definedName name="Base_Student_Allocation" localSheetId="47">'4061'!$A$6</definedName>
    <definedName name="Base_Student_Allocation" localSheetId="48">'4080'!$A$6</definedName>
    <definedName name="Base_Student_Allocation" localSheetId="49">'4081'!$A$6</definedName>
    <definedName name="Base_Student_Allocation" localSheetId="50">'4090'!$A$6</definedName>
    <definedName name="Base_Student_Allocation" localSheetId="51">'4091'!$A$6</definedName>
    <definedName name="Base_Student_Allocation" localSheetId="52">'4100'!$A$6</definedName>
    <definedName name="Base_Student_Allocation" localSheetId="53">'4102'!$A$6</definedName>
    <definedName name="Base_Student_Allocation" localSheetId="54">'4103'!$A$6</definedName>
    <definedName name="Base_Student_Allocation" localSheetId="55">'4111'!$A$6</definedName>
    <definedName name="Base_Student_Allocation" localSheetId="56">'4131'!$A$6</definedName>
    <definedName name="Base_Student_Allocation">'0040'!$A$6</definedName>
    <definedName name="Based_on_the_Second_Calculation_of_the_FEFP_2010_11" localSheetId="8">'0100'!$A$3</definedName>
    <definedName name="Based_on_the_Second_Calculation_of_the_FEFP_2010_11" localSheetId="7">'0571'!$A$3</definedName>
    <definedName name="Based_on_the_Second_Calculation_of_the_FEFP_2010_11" localSheetId="9">'1461'!$A$3</definedName>
    <definedName name="Based_on_the_Second_Calculation_of_the_FEFP_2010_11" localSheetId="10">'1571'!$A$3</definedName>
    <definedName name="Based_on_the_Second_Calculation_of_the_FEFP_2010_11" localSheetId="11">'2521'!$A$3</definedName>
    <definedName name="Based_on_the_Second_Calculation_of_the_FEFP_2010_11" localSheetId="12">'2531'!$A$3</definedName>
    <definedName name="Based_on_the_Second_Calculation_of_the_FEFP_2010_11" localSheetId="13">'2791'!$A$3</definedName>
    <definedName name="Based_on_the_Second_Calculation_of_the_FEFP_2010_11" localSheetId="14">'2801'!$A$3</definedName>
    <definedName name="Based_on_the_Second_Calculation_of_the_FEFP_2010_11" localSheetId="15">'2911'!$A$3</definedName>
    <definedName name="Based_on_the_Second_Calculation_of_the_FEFP_2010_11" localSheetId="16">'2941'!$A$3</definedName>
    <definedName name="Based_on_the_Second_Calculation_of_the_FEFP_2010_11" localSheetId="17">'3083'!$A$3</definedName>
    <definedName name="Based_on_the_Second_Calculation_of_the_FEFP_2010_11" localSheetId="18">'3345'!$A$3</definedName>
    <definedName name="Based_on_the_Second_Calculation_of_the_FEFP_2010_11" localSheetId="19">'3362'!$A$3</definedName>
    <definedName name="Based_on_the_Second_Calculation_of_the_FEFP_2010_11" localSheetId="20">'3381'!$A$3</definedName>
    <definedName name="Based_on_the_Second_Calculation_of_the_FEFP_2010_11" localSheetId="21">'3382'!$A$3</definedName>
    <definedName name="Based_on_the_Second_Calculation_of_the_FEFP_2010_11" localSheetId="22">'3391'!$A$3</definedName>
    <definedName name="Based_on_the_Second_Calculation_of_the_FEFP_2010_11" localSheetId="23">'3394'!$A$3</definedName>
    <definedName name="Based_on_the_Second_Calculation_of_the_FEFP_2010_11" localSheetId="24">'3395'!$A$3</definedName>
    <definedName name="Based_on_the_Second_Calculation_of_the_FEFP_2010_11" localSheetId="25">'3396'!$A$3</definedName>
    <definedName name="Based_on_the_Second_Calculation_of_the_FEFP_2010_11" localSheetId="26">'3398'!$A$3</definedName>
    <definedName name="Based_on_the_Second_Calculation_of_the_FEFP_2010_11" localSheetId="27">'3400'!$A$3</definedName>
    <definedName name="Based_on_the_Second_Calculation_of_the_FEFP_2010_11" localSheetId="28">'3401'!$A$3</definedName>
    <definedName name="Based_on_the_Second_Calculation_of_the_FEFP_2010_11" localSheetId="29">'3413'!$A$3</definedName>
    <definedName name="Based_on_the_Second_Calculation_of_the_FEFP_2010_11" localSheetId="30">'3421'!$A$3</definedName>
    <definedName name="Based_on_the_Second_Calculation_of_the_FEFP_2010_11" localSheetId="31">'3431'!$A$3</definedName>
    <definedName name="Based_on_the_Second_Calculation_of_the_FEFP_2010_11" localSheetId="32">'3441'!$A$3</definedName>
    <definedName name="Based_on_the_Second_Calculation_of_the_FEFP_2010_11" localSheetId="33">'3924'!$A$3</definedName>
    <definedName name="Based_on_the_Second_Calculation_of_the_FEFP_2010_11" localSheetId="34">'3941'!$A$3</definedName>
    <definedName name="Based_on_the_Second_Calculation_of_the_FEFP_2010_11" localSheetId="35">'3961'!$A$3</definedName>
    <definedName name="Based_on_the_Second_Calculation_of_the_FEFP_2010_11" localSheetId="36">'3971'!$A$3</definedName>
    <definedName name="Based_on_the_Second_Calculation_of_the_FEFP_2010_11" localSheetId="37">'4001'!$A$3</definedName>
    <definedName name="Based_on_the_Second_Calculation_of_the_FEFP_2010_11" localSheetId="38">'4002'!$A$3</definedName>
    <definedName name="Based_on_the_Second_Calculation_of_the_FEFP_2010_11" localSheetId="39">'4012'!$A$3</definedName>
    <definedName name="Based_on_the_Second_Calculation_of_the_FEFP_2010_11" localSheetId="40">'4013'!$A$3</definedName>
    <definedName name="Based_on_the_Second_Calculation_of_the_FEFP_2010_11" localSheetId="41">'4020'!$A$3</definedName>
    <definedName name="Based_on_the_Second_Calculation_of_the_FEFP_2010_11" localSheetId="42">'4030'!$A$3</definedName>
    <definedName name="Based_on_the_Second_Calculation_of_the_FEFP_2010_11" localSheetId="43">'4031'!$A$3</definedName>
    <definedName name="Based_on_the_Second_Calculation_of_the_FEFP_2010_11" localSheetId="44">'4041'!$A$3</definedName>
    <definedName name="Based_on_the_Second_Calculation_of_the_FEFP_2010_11" localSheetId="45">'4050'!$A$3</definedName>
    <definedName name="Based_on_the_Second_Calculation_of_the_FEFP_2010_11" localSheetId="46">'4051'!$A$3</definedName>
    <definedName name="Based_on_the_Second_Calculation_of_the_FEFP_2010_11" localSheetId="47">'4061'!$A$3</definedName>
    <definedName name="Based_on_the_Second_Calculation_of_the_FEFP_2010_11" localSheetId="48">'4080'!$A$3</definedName>
    <definedName name="Based_on_the_Second_Calculation_of_the_FEFP_2010_11" localSheetId="49">'4081'!$A$3</definedName>
    <definedName name="Based_on_the_Second_Calculation_of_the_FEFP_2010_11" localSheetId="50">'4090'!$A$3</definedName>
    <definedName name="Based_on_the_Second_Calculation_of_the_FEFP_2010_11" localSheetId="51">'4091'!$A$3</definedName>
    <definedName name="Based_on_the_Second_Calculation_of_the_FEFP_2010_11" localSheetId="52">'4100'!$A$3</definedName>
    <definedName name="Based_on_the_Second_Calculation_of_the_FEFP_2010_11" localSheetId="53">'4102'!$A$3</definedName>
    <definedName name="Based_on_the_Second_Calculation_of_the_FEFP_2010_11" localSheetId="54">'4103'!$A$3</definedName>
    <definedName name="Based_on_the_Second_Calculation_of_the_FEFP_2010_11" localSheetId="55">'4111'!$A$3</definedName>
    <definedName name="Based_on_the_Second_Calculation_of_the_FEFP_2010_11" localSheetId="56">'4131'!$A$3</definedName>
    <definedName name="Based_on_the_Second_Calculation_of_the_FEFP_2010_11">'0040'!$A$3</definedName>
    <definedName name="CAP" localSheetId="6" hidden="1">{#N/A,#N/A,FALSE,"Summation";#N/A,#N/A,FALSE,"BSA";#N/A,#N/A,FALSE,"Detail1";#N/A,#N/A,FALSE,"Detail2";#N/A,#N/A,FALSE,"Detail3";#N/A,#N/A,FALSE,"WFTE_Summary";#N/A,#N/A,FALSE,"Funded_WFTE";#N/A,#N/A,FALSE,"PYADJ96"}</definedName>
    <definedName name="CAP" localSheetId="8" hidden="1">{#N/A,#N/A,FALSE,"Summation";#N/A,#N/A,FALSE,"BSA";#N/A,#N/A,FALSE,"Detail1";#N/A,#N/A,FALSE,"Detail2";#N/A,#N/A,FALSE,"Detail3";#N/A,#N/A,FALSE,"WFTE_Summary";#N/A,#N/A,FALSE,"Funded_WFTE";#N/A,#N/A,FALSE,"PYADJ96"}</definedName>
    <definedName name="CAP" localSheetId="7" hidden="1">{#N/A,#N/A,FALSE,"Summation";#N/A,#N/A,FALSE,"BSA";#N/A,#N/A,FALSE,"Detail1";#N/A,#N/A,FALSE,"Detail2";#N/A,#N/A,FALSE,"Detail3";#N/A,#N/A,FALSE,"WFTE_Summary";#N/A,#N/A,FALSE,"Funded_WFTE";#N/A,#N/A,FALSE,"PYADJ96"}</definedName>
    <definedName name="CAP" localSheetId="9" hidden="1">{#N/A,#N/A,FALSE,"Summation";#N/A,#N/A,FALSE,"BSA";#N/A,#N/A,FALSE,"Detail1";#N/A,#N/A,FALSE,"Detail2";#N/A,#N/A,FALSE,"Detail3";#N/A,#N/A,FALSE,"WFTE_Summary";#N/A,#N/A,FALSE,"Funded_WFTE";#N/A,#N/A,FALSE,"PYADJ96"}</definedName>
    <definedName name="CAP" localSheetId="10" hidden="1">{#N/A,#N/A,FALSE,"Summation";#N/A,#N/A,FALSE,"BSA";#N/A,#N/A,FALSE,"Detail1";#N/A,#N/A,FALSE,"Detail2";#N/A,#N/A,FALSE,"Detail3";#N/A,#N/A,FALSE,"WFTE_Summary";#N/A,#N/A,FALSE,"Funded_WFTE";#N/A,#N/A,FALSE,"PYADJ96"}</definedName>
    <definedName name="CAP" localSheetId="11" hidden="1">{#N/A,#N/A,FALSE,"Summation";#N/A,#N/A,FALSE,"BSA";#N/A,#N/A,FALSE,"Detail1";#N/A,#N/A,FALSE,"Detail2";#N/A,#N/A,FALSE,"Detail3";#N/A,#N/A,FALSE,"WFTE_Summary";#N/A,#N/A,FALSE,"Funded_WFTE";#N/A,#N/A,FALSE,"PYADJ96"}</definedName>
    <definedName name="CAP" localSheetId="12" hidden="1">{#N/A,#N/A,FALSE,"Summation";#N/A,#N/A,FALSE,"BSA";#N/A,#N/A,FALSE,"Detail1";#N/A,#N/A,FALSE,"Detail2";#N/A,#N/A,FALSE,"Detail3";#N/A,#N/A,FALSE,"WFTE_Summary";#N/A,#N/A,FALSE,"Funded_WFTE";#N/A,#N/A,FALSE,"PYADJ96"}</definedName>
    <definedName name="CAP" localSheetId="13" hidden="1">{#N/A,#N/A,FALSE,"Summation";#N/A,#N/A,FALSE,"BSA";#N/A,#N/A,FALSE,"Detail1";#N/A,#N/A,FALSE,"Detail2";#N/A,#N/A,FALSE,"Detail3";#N/A,#N/A,FALSE,"WFTE_Summary";#N/A,#N/A,FALSE,"Funded_WFTE";#N/A,#N/A,FALSE,"PYADJ96"}</definedName>
    <definedName name="CAP" localSheetId="14" hidden="1">{#N/A,#N/A,FALSE,"Summation";#N/A,#N/A,FALSE,"BSA";#N/A,#N/A,FALSE,"Detail1";#N/A,#N/A,FALSE,"Detail2";#N/A,#N/A,FALSE,"Detail3";#N/A,#N/A,FALSE,"WFTE_Summary";#N/A,#N/A,FALSE,"Funded_WFTE";#N/A,#N/A,FALSE,"PYADJ96"}</definedName>
    <definedName name="CAP" localSheetId="15" hidden="1">{#N/A,#N/A,FALSE,"Summation";#N/A,#N/A,FALSE,"BSA";#N/A,#N/A,FALSE,"Detail1";#N/A,#N/A,FALSE,"Detail2";#N/A,#N/A,FALSE,"Detail3";#N/A,#N/A,FALSE,"WFTE_Summary";#N/A,#N/A,FALSE,"Funded_WFTE";#N/A,#N/A,FALSE,"PYADJ96"}</definedName>
    <definedName name="CAP" localSheetId="16" hidden="1">{#N/A,#N/A,FALSE,"Summation";#N/A,#N/A,FALSE,"BSA";#N/A,#N/A,FALSE,"Detail1";#N/A,#N/A,FALSE,"Detail2";#N/A,#N/A,FALSE,"Detail3";#N/A,#N/A,FALSE,"WFTE_Summary";#N/A,#N/A,FALSE,"Funded_WFTE";#N/A,#N/A,FALSE,"PYADJ96"}</definedName>
    <definedName name="CAP" localSheetId="17" hidden="1">{#N/A,#N/A,FALSE,"Summation";#N/A,#N/A,FALSE,"BSA";#N/A,#N/A,FALSE,"Detail1";#N/A,#N/A,FALSE,"Detail2";#N/A,#N/A,FALSE,"Detail3";#N/A,#N/A,FALSE,"WFTE_Summary";#N/A,#N/A,FALSE,"Funded_WFTE";#N/A,#N/A,FALSE,"PYADJ96"}</definedName>
    <definedName name="CAP" localSheetId="18" hidden="1">{#N/A,#N/A,FALSE,"Summation";#N/A,#N/A,FALSE,"BSA";#N/A,#N/A,FALSE,"Detail1";#N/A,#N/A,FALSE,"Detail2";#N/A,#N/A,FALSE,"Detail3";#N/A,#N/A,FALSE,"WFTE_Summary";#N/A,#N/A,FALSE,"Funded_WFTE";#N/A,#N/A,FALSE,"PYADJ96"}</definedName>
    <definedName name="CAP" localSheetId="19" hidden="1">{#N/A,#N/A,FALSE,"Summation";#N/A,#N/A,FALSE,"BSA";#N/A,#N/A,FALSE,"Detail1";#N/A,#N/A,FALSE,"Detail2";#N/A,#N/A,FALSE,"Detail3";#N/A,#N/A,FALSE,"WFTE_Summary";#N/A,#N/A,FALSE,"Funded_WFTE";#N/A,#N/A,FALSE,"PYADJ96"}</definedName>
    <definedName name="CAP" localSheetId="20" hidden="1">{#N/A,#N/A,FALSE,"Summation";#N/A,#N/A,FALSE,"BSA";#N/A,#N/A,FALSE,"Detail1";#N/A,#N/A,FALSE,"Detail2";#N/A,#N/A,FALSE,"Detail3";#N/A,#N/A,FALSE,"WFTE_Summary";#N/A,#N/A,FALSE,"Funded_WFTE";#N/A,#N/A,FALSE,"PYADJ96"}</definedName>
    <definedName name="CAP" localSheetId="21" hidden="1">{#N/A,#N/A,FALSE,"Summation";#N/A,#N/A,FALSE,"BSA";#N/A,#N/A,FALSE,"Detail1";#N/A,#N/A,FALSE,"Detail2";#N/A,#N/A,FALSE,"Detail3";#N/A,#N/A,FALSE,"WFTE_Summary";#N/A,#N/A,FALSE,"Funded_WFTE";#N/A,#N/A,FALSE,"PYADJ96"}</definedName>
    <definedName name="CAP" localSheetId="22" hidden="1">{#N/A,#N/A,FALSE,"Summation";#N/A,#N/A,FALSE,"BSA";#N/A,#N/A,FALSE,"Detail1";#N/A,#N/A,FALSE,"Detail2";#N/A,#N/A,FALSE,"Detail3";#N/A,#N/A,FALSE,"WFTE_Summary";#N/A,#N/A,FALSE,"Funded_WFTE";#N/A,#N/A,FALSE,"PYADJ96"}</definedName>
    <definedName name="CAP" localSheetId="23" hidden="1">{#N/A,#N/A,FALSE,"Summation";#N/A,#N/A,FALSE,"BSA";#N/A,#N/A,FALSE,"Detail1";#N/A,#N/A,FALSE,"Detail2";#N/A,#N/A,FALSE,"Detail3";#N/A,#N/A,FALSE,"WFTE_Summary";#N/A,#N/A,FALSE,"Funded_WFTE";#N/A,#N/A,FALSE,"PYADJ96"}</definedName>
    <definedName name="CAP" localSheetId="24" hidden="1">{#N/A,#N/A,FALSE,"Summation";#N/A,#N/A,FALSE,"BSA";#N/A,#N/A,FALSE,"Detail1";#N/A,#N/A,FALSE,"Detail2";#N/A,#N/A,FALSE,"Detail3";#N/A,#N/A,FALSE,"WFTE_Summary";#N/A,#N/A,FALSE,"Funded_WFTE";#N/A,#N/A,FALSE,"PYADJ96"}</definedName>
    <definedName name="CAP" localSheetId="25" hidden="1">{#N/A,#N/A,FALSE,"Summation";#N/A,#N/A,FALSE,"BSA";#N/A,#N/A,FALSE,"Detail1";#N/A,#N/A,FALSE,"Detail2";#N/A,#N/A,FALSE,"Detail3";#N/A,#N/A,FALSE,"WFTE_Summary";#N/A,#N/A,FALSE,"Funded_WFTE";#N/A,#N/A,FALSE,"PYADJ96"}</definedName>
    <definedName name="CAP" localSheetId="26" hidden="1">{#N/A,#N/A,FALSE,"Summation";#N/A,#N/A,FALSE,"BSA";#N/A,#N/A,FALSE,"Detail1";#N/A,#N/A,FALSE,"Detail2";#N/A,#N/A,FALSE,"Detail3";#N/A,#N/A,FALSE,"WFTE_Summary";#N/A,#N/A,FALSE,"Funded_WFTE";#N/A,#N/A,FALSE,"PYADJ96"}</definedName>
    <definedName name="CAP" localSheetId="27" hidden="1">{#N/A,#N/A,FALSE,"Summation";#N/A,#N/A,FALSE,"BSA";#N/A,#N/A,FALSE,"Detail1";#N/A,#N/A,FALSE,"Detail2";#N/A,#N/A,FALSE,"Detail3";#N/A,#N/A,FALSE,"WFTE_Summary";#N/A,#N/A,FALSE,"Funded_WFTE";#N/A,#N/A,FALSE,"PYADJ96"}</definedName>
    <definedName name="CAP" localSheetId="28" hidden="1">{#N/A,#N/A,FALSE,"Summation";#N/A,#N/A,FALSE,"BSA";#N/A,#N/A,FALSE,"Detail1";#N/A,#N/A,FALSE,"Detail2";#N/A,#N/A,FALSE,"Detail3";#N/A,#N/A,FALSE,"WFTE_Summary";#N/A,#N/A,FALSE,"Funded_WFTE";#N/A,#N/A,FALSE,"PYADJ96"}</definedName>
    <definedName name="CAP" localSheetId="29" hidden="1">{#N/A,#N/A,FALSE,"Summation";#N/A,#N/A,FALSE,"BSA";#N/A,#N/A,FALSE,"Detail1";#N/A,#N/A,FALSE,"Detail2";#N/A,#N/A,FALSE,"Detail3";#N/A,#N/A,FALSE,"WFTE_Summary";#N/A,#N/A,FALSE,"Funded_WFTE";#N/A,#N/A,FALSE,"PYADJ96"}</definedName>
    <definedName name="CAP" localSheetId="30" hidden="1">{#N/A,#N/A,FALSE,"Summation";#N/A,#N/A,FALSE,"BSA";#N/A,#N/A,FALSE,"Detail1";#N/A,#N/A,FALSE,"Detail2";#N/A,#N/A,FALSE,"Detail3";#N/A,#N/A,FALSE,"WFTE_Summary";#N/A,#N/A,FALSE,"Funded_WFTE";#N/A,#N/A,FALSE,"PYADJ96"}</definedName>
    <definedName name="CAP" localSheetId="31" hidden="1">{#N/A,#N/A,FALSE,"Summation";#N/A,#N/A,FALSE,"BSA";#N/A,#N/A,FALSE,"Detail1";#N/A,#N/A,FALSE,"Detail2";#N/A,#N/A,FALSE,"Detail3";#N/A,#N/A,FALSE,"WFTE_Summary";#N/A,#N/A,FALSE,"Funded_WFTE";#N/A,#N/A,FALSE,"PYADJ96"}</definedName>
    <definedName name="CAP" localSheetId="32" hidden="1">{#N/A,#N/A,FALSE,"Summation";#N/A,#N/A,FALSE,"BSA";#N/A,#N/A,FALSE,"Detail1";#N/A,#N/A,FALSE,"Detail2";#N/A,#N/A,FALSE,"Detail3";#N/A,#N/A,FALSE,"WFTE_Summary";#N/A,#N/A,FALSE,"Funded_WFTE";#N/A,#N/A,FALSE,"PYADJ96"}</definedName>
    <definedName name="CAP" localSheetId="33" hidden="1">{#N/A,#N/A,FALSE,"Summation";#N/A,#N/A,FALSE,"BSA";#N/A,#N/A,FALSE,"Detail1";#N/A,#N/A,FALSE,"Detail2";#N/A,#N/A,FALSE,"Detail3";#N/A,#N/A,FALSE,"WFTE_Summary";#N/A,#N/A,FALSE,"Funded_WFTE";#N/A,#N/A,FALSE,"PYADJ96"}</definedName>
    <definedName name="CAP" localSheetId="34" hidden="1">{#N/A,#N/A,FALSE,"Summation";#N/A,#N/A,FALSE,"BSA";#N/A,#N/A,FALSE,"Detail1";#N/A,#N/A,FALSE,"Detail2";#N/A,#N/A,FALSE,"Detail3";#N/A,#N/A,FALSE,"WFTE_Summary";#N/A,#N/A,FALSE,"Funded_WFTE";#N/A,#N/A,FALSE,"PYADJ96"}</definedName>
    <definedName name="CAP" localSheetId="35" hidden="1">{#N/A,#N/A,FALSE,"Summation";#N/A,#N/A,FALSE,"BSA";#N/A,#N/A,FALSE,"Detail1";#N/A,#N/A,FALSE,"Detail2";#N/A,#N/A,FALSE,"Detail3";#N/A,#N/A,FALSE,"WFTE_Summary";#N/A,#N/A,FALSE,"Funded_WFTE";#N/A,#N/A,FALSE,"PYADJ96"}</definedName>
    <definedName name="CAP" localSheetId="36" hidden="1">{#N/A,#N/A,FALSE,"Summation";#N/A,#N/A,FALSE,"BSA";#N/A,#N/A,FALSE,"Detail1";#N/A,#N/A,FALSE,"Detail2";#N/A,#N/A,FALSE,"Detail3";#N/A,#N/A,FALSE,"WFTE_Summary";#N/A,#N/A,FALSE,"Funded_WFTE";#N/A,#N/A,FALSE,"PYADJ96"}</definedName>
    <definedName name="CAP" localSheetId="37" hidden="1">{#N/A,#N/A,FALSE,"Summation";#N/A,#N/A,FALSE,"BSA";#N/A,#N/A,FALSE,"Detail1";#N/A,#N/A,FALSE,"Detail2";#N/A,#N/A,FALSE,"Detail3";#N/A,#N/A,FALSE,"WFTE_Summary";#N/A,#N/A,FALSE,"Funded_WFTE";#N/A,#N/A,FALSE,"PYADJ96"}</definedName>
    <definedName name="CAP" localSheetId="38" hidden="1">{#N/A,#N/A,FALSE,"Summation";#N/A,#N/A,FALSE,"BSA";#N/A,#N/A,FALSE,"Detail1";#N/A,#N/A,FALSE,"Detail2";#N/A,#N/A,FALSE,"Detail3";#N/A,#N/A,FALSE,"WFTE_Summary";#N/A,#N/A,FALSE,"Funded_WFTE";#N/A,#N/A,FALSE,"PYADJ96"}</definedName>
    <definedName name="CAP" localSheetId="39" hidden="1">{#N/A,#N/A,FALSE,"Summation";#N/A,#N/A,FALSE,"BSA";#N/A,#N/A,FALSE,"Detail1";#N/A,#N/A,FALSE,"Detail2";#N/A,#N/A,FALSE,"Detail3";#N/A,#N/A,FALSE,"WFTE_Summary";#N/A,#N/A,FALSE,"Funded_WFTE";#N/A,#N/A,FALSE,"PYADJ96"}</definedName>
    <definedName name="CAP" localSheetId="40" hidden="1">{#N/A,#N/A,FALSE,"Summation";#N/A,#N/A,FALSE,"BSA";#N/A,#N/A,FALSE,"Detail1";#N/A,#N/A,FALSE,"Detail2";#N/A,#N/A,FALSE,"Detail3";#N/A,#N/A,FALSE,"WFTE_Summary";#N/A,#N/A,FALSE,"Funded_WFTE";#N/A,#N/A,FALSE,"PYADJ96"}</definedName>
    <definedName name="CAP" localSheetId="41" hidden="1">{#N/A,#N/A,FALSE,"Summation";#N/A,#N/A,FALSE,"BSA";#N/A,#N/A,FALSE,"Detail1";#N/A,#N/A,FALSE,"Detail2";#N/A,#N/A,FALSE,"Detail3";#N/A,#N/A,FALSE,"WFTE_Summary";#N/A,#N/A,FALSE,"Funded_WFTE";#N/A,#N/A,FALSE,"PYADJ96"}</definedName>
    <definedName name="CAP" localSheetId="42" hidden="1">{#N/A,#N/A,FALSE,"Summation";#N/A,#N/A,FALSE,"BSA";#N/A,#N/A,FALSE,"Detail1";#N/A,#N/A,FALSE,"Detail2";#N/A,#N/A,FALSE,"Detail3";#N/A,#N/A,FALSE,"WFTE_Summary";#N/A,#N/A,FALSE,"Funded_WFTE";#N/A,#N/A,FALSE,"PYADJ96"}</definedName>
    <definedName name="CAP" localSheetId="43" hidden="1">{#N/A,#N/A,FALSE,"Summation";#N/A,#N/A,FALSE,"BSA";#N/A,#N/A,FALSE,"Detail1";#N/A,#N/A,FALSE,"Detail2";#N/A,#N/A,FALSE,"Detail3";#N/A,#N/A,FALSE,"WFTE_Summary";#N/A,#N/A,FALSE,"Funded_WFTE";#N/A,#N/A,FALSE,"PYADJ96"}</definedName>
    <definedName name="CAP" localSheetId="44" hidden="1">{#N/A,#N/A,FALSE,"Summation";#N/A,#N/A,FALSE,"BSA";#N/A,#N/A,FALSE,"Detail1";#N/A,#N/A,FALSE,"Detail2";#N/A,#N/A,FALSE,"Detail3";#N/A,#N/A,FALSE,"WFTE_Summary";#N/A,#N/A,FALSE,"Funded_WFTE";#N/A,#N/A,FALSE,"PYADJ96"}</definedName>
    <definedName name="CAP" localSheetId="45" hidden="1">{#N/A,#N/A,FALSE,"Summation";#N/A,#N/A,FALSE,"BSA";#N/A,#N/A,FALSE,"Detail1";#N/A,#N/A,FALSE,"Detail2";#N/A,#N/A,FALSE,"Detail3";#N/A,#N/A,FALSE,"WFTE_Summary";#N/A,#N/A,FALSE,"Funded_WFTE";#N/A,#N/A,FALSE,"PYADJ96"}</definedName>
    <definedName name="CAP" localSheetId="46" hidden="1">{#N/A,#N/A,FALSE,"Summation";#N/A,#N/A,FALSE,"BSA";#N/A,#N/A,FALSE,"Detail1";#N/A,#N/A,FALSE,"Detail2";#N/A,#N/A,FALSE,"Detail3";#N/A,#N/A,FALSE,"WFTE_Summary";#N/A,#N/A,FALSE,"Funded_WFTE";#N/A,#N/A,FALSE,"PYADJ96"}</definedName>
    <definedName name="CAP" localSheetId="47" hidden="1">{#N/A,#N/A,FALSE,"Summation";#N/A,#N/A,FALSE,"BSA";#N/A,#N/A,FALSE,"Detail1";#N/A,#N/A,FALSE,"Detail2";#N/A,#N/A,FALSE,"Detail3";#N/A,#N/A,FALSE,"WFTE_Summary";#N/A,#N/A,FALSE,"Funded_WFTE";#N/A,#N/A,FALSE,"PYADJ96"}</definedName>
    <definedName name="CAP" localSheetId="48" hidden="1">{#N/A,#N/A,FALSE,"Summation";#N/A,#N/A,FALSE,"BSA";#N/A,#N/A,FALSE,"Detail1";#N/A,#N/A,FALSE,"Detail2";#N/A,#N/A,FALSE,"Detail3";#N/A,#N/A,FALSE,"WFTE_Summary";#N/A,#N/A,FALSE,"Funded_WFTE";#N/A,#N/A,FALSE,"PYADJ96"}</definedName>
    <definedName name="CAP" localSheetId="49" hidden="1">{#N/A,#N/A,FALSE,"Summation";#N/A,#N/A,FALSE,"BSA";#N/A,#N/A,FALSE,"Detail1";#N/A,#N/A,FALSE,"Detail2";#N/A,#N/A,FALSE,"Detail3";#N/A,#N/A,FALSE,"WFTE_Summary";#N/A,#N/A,FALSE,"Funded_WFTE";#N/A,#N/A,FALSE,"PYADJ96"}</definedName>
    <definedName name="CAP" localSheetId="50" hidden="1">{#N/A,#N/A,FALSE,"Summation";#N/A,#N/A,FALSE,"BSA";#N/A,#N/A,FALSE,"Detail1";#N/A,#N/A,FALSE,"Detail2";#N/A,#N/A,FALSE,"Detail3";#N/A,#N/A,FALSE,"WFTE_Summary";#N/A,#N/A,FALSE,"Funded_WFTE";#N/A,#N/A,FALSE,"PYADJ96"}</definedName>
    <definedName name="CAP" localSheetId="51" hidden="1">{#N/A,#N/A,FALSE,"Summation";#N/A,#N/A,FALSE,"BSA";#N/A,#N/A,FALSE,"Detail1";#N/A,#N/A,FALSE,"Detail2";#N/A,#N/A,FALSE,"Detail3";#N/A,#N/A,FALSE,"WFTE_Summary";#N/A,#N/A,FALSE,"Funded_WFTE";#N/A,#N/A,FALSE,"PYADJ96"}</definedName>
    <definedName name="CAP" localSheetId="52" hidden="1">{#N/A,#N/A,FALSE,"Summation";#N/A,#N/A,FALSE,"BSA";#N/A,#N/A,FALSE,"Detail1";#N/A,#N/A,FALSE,"Detail2";#N/A,#N/A,FALSE,"Detail3";#N/A,#N/A,FALSE,"WFTE_Summary";#N/A,#N/A,FALSE,"Funded_WFTE";#N/A,#N/A,FALSE,"PYADJ96"}</definedName>
    <definedName name="CAP" localSheetId="53" hidden="1">{#N/A,#N/A,FALSE,"Summation";#N/A,#N/A,FALSE,"BSA";#N/A,#N/A,FALSE,"Detail1";#N/A,#N/A,FALSE,"Detail2";#N/A,#N/A,FALSE,"Detail3";#N/A,#N/A,FALSE,"WFTE_Summary";#N/A,#N/A,FALSE,"Funded_WFTE";#N/A,#N/A,FALSE,"PYADJ96"}</definedName>
    <definedName name="CAP" localSheetId="54" hidden="1">{#N/A,#N/A,FALSE,"Summation";#N/A,#N/A,FALSE,"BSA";#N/A,#N/A,FALSE,"Detail1";#N/A,#N/A,FALSE,"Detail2";#N/A,#N/A,FALSE,"Detail3";#N/A,#N/A,FALSE,"WFTE_Summary";#N/A,#N/A,FALSE,"Funded_WFTE";#N/A,#N/A,FALSE,"PYADJ96"}</definedName>
    <definedName name="CAP" localSheetId="55" hidden="1">{#N/A,#N/A,FALSE,"Summation";#N/A,#N/A,FALSE,"BSA";#N/A,#N/A,FALSE,"Detail1";#N/A,#N/A,FALSE,"Detail2";#N/A,#N/A,FALSE,"Detail3";#N/A,#N/A,FALSE,"WFTE_Summary";#N/A,#N/A,FALSE,"Funded_WFTE";#N/A,#N/A,FALSE,"PYADJ96"}</definedName>
    <definedName name="CAP" localSheetId="56" hidden="1">{#N/A,#N/A,FALSE,"Summation";#N/A,#N/A,FALSE,"BSA";#N/A,#N/A,FALSE,"Detail1";#N/A,#N/A,FALSE,"Detail2";#N/A,#N/A,FALSE,"Detail3";#N/A,#N/A,FALSE,"WFTE_Summary";#N/A,#N/A,FALSE,"Funded_WFTE";#N/A,#N/A,FALSE,"PYADJ96"}</definedName>
    <definedName name="CAP" localSheetId="1" hidden="1">{#N/A,#N/A,FALSE,"Summation";#N/A,#N/A,FALSE,"BSA";#N/A,#N/A,FALSE,"Detail1";#N/A,#N/A,FALSE,"Detail2";#N/A,#N/A,FALSE,"Detail3";#N/A,#N/A,FALSE,"WFTE_Summary";#N/A,#N/A,FALSE,"Funded_WFTE";#N/A,#N/A,FALSE,"PYADJ96"}</definedName>
    <definedName name="CAP" localSheetId="2" hidden="1">{#N/A,#N/A,FALSE,"Summation";#N/A,#N/A,FALSE,"BSA";#N/A,#N/A,FALSE,"Detail1";#N/A,#N/A,FALSE,"Detail2";#N/A,#N/A,FALSE,"Detail3";#N/A,#N/A,FALSE,"WFTE_Summary";#N/A,#N/A,FALSE,"Funded_WFTE";#N/A,#N/A,FALSE,"PYADJ96"}</definedName>
    <definedName name="CAP" localSheetId="4" hidden="1">{#N/A,#N/A,FALSE,"Summation";#N/A,#N/A,FALSE,"BSA";#N/A,#N/A,FALSE,"Detail1";#N/A,#N/A,FALSE,"Detail2";#N/A,#N/A,FALSE,"Detail3";#N/A,#N/A,FALSE,"WFTE_Summary";#N/A,#N/A,FALSE,"Funded_WFTE";#N/A,#N/A,FALSE,"PYADJ96"}</definedName>
    <definedName name="CAP" localSheetId="3" hidden="1">{#N/A,#N/A,FALSE,"Summation";#N/A,#N/A,FALSE,"BSA";#N/A,#N/A,FALSE,"Detail1";#N/A,#N/A,FALSE,"Detail2";#N/A,#N/A,FALSE,"Detail3";#N/A,#N/A,FALSE,"WFTE_Summary";#N/A,#N/A,FALSE,"Funded_WFTE";#N/A,#N/A,FALSE,"PYADJ96"}</definedName>
    <definedName name="CAP" localSheetId="0" hidden="1">{#N/A,#N/A,FALSE,"Summation";#N/A,#N/A,FALSE,"BSA";#N/A,#N/A,FALSE,"Detail1";#N/A,#N/A,FALSE,"Detail2";#N/A,#N/A,FALSE,"Detail3";#N/A,#N/A,FALSE,"WFTE_Summary";#N/A,#N/A,FALSE,"Funded_WFTE";#N/A,#N/A,FALSE,"PYADJ96"}</definedName>
    <definedName name="CAP" hidden="1">{#N/A,#N/A,FALSE,"Summation";#N/A,#N/A,FALSE,"BSA";#N/A,#N/A,FALSE,"Detail1";#N/A,#N/A,FALSE,"Detail2";#N/A,#N/A,FALSE,"Detail3";#N/A,#N/A,FALSE,"WFTE_Summary";#N/A,#N/A,FALSE,"Funded_WFTE";#N/A,#N/A,FALSE,"PYADJ96"}</definedName>
    <definedName name="DCD" localSheetId="8">'0100'!$D$89</definedName>
    <definedName name="DCD" localSheetId="7">'0571'!$D$89</definedName>
    <definedName name="DCD" localSheetId="9">'1461'!$D$89</definedName>
    <definedName name="DCD" localSheetId="10">'1571'!$D$89</definedName>
    <definedName name="DCD" localSheetId="11">'2521'!$D$89</definedName>
    <definedName name="DCD" localSheetId="12">'2531'!$D$89</definedName>
    <definedName name="DCD" localSheetId="13">'2791'!$D$89</definedName>
    <definedName name="DCD" localSheetId="14">'2801'!$D$89</definedName>
    <definedName name="DCD" localSheetId="15">'2911'!$D$89</definedName>
    <definedName name="DCD" localSheetId="16">'2941'!$D$89</definedName>
    <definedName name="DCD" localSheetId="17">'3083'!$D$89</definedName>
    <definedName name="DCD" localSheetId="18">'3345'!$D$89</definedName>
    <definedName name="DCD" localSheetId="19">'3362'!$D$89</definedName>
    <definedName name="DCD" localSheetId="20">'3381'!$D$89</definedName>
    <definedName name="DCD" localSheetId="21">'3382'!$D$89</definedName>
    <definedName name="DCD" localSheetId="22">'3391'!$D$89</definedName>
    <definedName name="DCD" localSheetId="23">'3394'!$D$89</definedName>
    <definedName name="DCD" localSheetId="24">'3395'!$D$89</definedName>
    <definedName name="DCD" localSheetId="25">'3396'!$D$89</definedName>
    <definedName name="DCD" localSheetId="26">'3398'!$D$89</definedName>
    <definedName name="DCD" localSheetId="27">'3400'!$D$89</definedName>
    <definedName name="DCD" localSheetId="28">'3401'!$D$89</definedName>
    <definedName name="DCD" localSheetId="29">'3413'!$D$89</definedName>
    <definedName name="DCD" localSheetId="30">'3421'!$D$89</definedName>
    <definedName name="DCD" localSheetId="31">'3431'!$D$89</definedName>
    <definedName name="DCD" localSheetId="32">'3441'!$D$89</definedName>
    <definedName name="DCD" localSheetId="33">'3924'!$D$89</definedName>
    <definedName name="DCD" localSheetId="34">'3941'!$D$89</definedName>
    <definedName name="DCD" localSheetId="35">'3961'!$D$89</definedName>
    <definedName name="DCD" localSheetId="36">'3971'!$D$89</definedName>
    <definedName name="DCD" localSheetId="37">'4001'!$D$89</definedName>
    <definedName name="DCD" localSheetId="38">'4002'!$D$89</definedName>
    <definedName name="DCD" localSheetId="39">'4012'!$D$89</definedName>
    <definedName name="DCD" localSheetId="40">'4013'!$D$89</definedName>
    <definedName name="DCD" localSheetId="41">'4020'!$D$89</definedName>
    <definedName name="DCD" localSheetId="42">'4030'!$D$89</definedName>
    <definedName name="DCD" localSheetId="43">'4031'!$D$89</definedName>
    <definedName name="DCD" localSheetId="44">'4041'!$D$89</definedName>
    <definedName name="DCD" localSheetId="45">'4050'!$D$89</definedName>
    <definedName name="DCD" localSheetId="46">'4051'!$D$89</definedName>
    <definedName name="DCD" localSheetId="47">'4061'!$D$89</definedName>
    <definedName name="DCD" localSheetId="48">'4080'!$D$89</definedName>
    <definedName name="DCD" localSheetId="49">'4081'!$D$89</definedName>
    <definedName name="DCD" localSheetId="50">'4090'!$D$89</definedName>
    <definedName name="DCD" localSheetId="51">'4091'!$D$89</definedName>
    <definedName name="DCD" localSheetId="52">'4100'!$D$89</definedName>
    <definedName name="DCD" localSheetId="53">'4102'!$D$89</definedName>
    <definedName name="DCD" localSheetId="54">'4103'!$D$89</definedName>
    <definedName name="DCD" localSheetId="55">'4111'!$D$89</definedName>
    <definedName name="DCD" localSheetId="56">'4131'!$D$89</definedName>
    <definedName name="DCD">'0040'!$D$89</definedName>
    <definedName name="District_Cost_Differential" localSheetId="8">'0100'!$G$6</definedName>
    <definedName name="District_Cost_Differential" localSheetId="7">'0571'!$G$6</definedName>
    <definedName name="District_Cost_Differential" localSheetId="9">'1461'!$G$6</definedName>
    <definedName name="District_Cost_Differential" localSheetId="10">'1571'!$G$6</definedName>
    <definedName name="District_Cost_Differential" localSheetId="11">'2521'!$G$6</definedName>
    <definedName name="District_Cost_Differential" localSheetId="12">'2531'!$G$6</definedName>
    <definedName name="District_Cost_Differential" localSheetId="13">'2791'!$G$6</definedName>
    <definedName name="District_Cost_Differential" localSheetId="14">'2801'!$G$6</definedName>
    <definedName name="District_Cost_Differential" localSheetId="15">'2911'!$G$6</definedName>
    <definedName name="District_Cost_Differential" localSheetId="16">'2941'!$G$6</definedName>
    <definedName name="District_Cost_Differential" localSheetId="17">'3083'!$G$6</definedName>
    <definedName name="District_Cost_Differential" localSheetId="18">'3345'!$G$6</definedName>
    <definedName name="District_Cost_Differential" localSheetId="19">'3362'!$G$6</definedName>
    <definedName name="District_Cost_Differential" localSheetId="20">'3381'!$G$6</definedName>
    <definedName name="District_Cost_Differential" localSheetId="21">'3382'!$G$6</definedName>
    <definedName name="District_Cost_Differential" localSheetId="22">'3391'!$G$6</definedName>
    <definedName name="District_Cost_Differential" localSheetId="23">'3394'!$G$6</definedName>
    <definedName name="District_Cost_Differential" localSheetId="24">'3395'!$G$6</definedName>
    <definedName name="District_Cost_Differential" localSheetId="25">'3396'!$G$6</definedName>
    <definedName name="District_Cost_Differential" localSheetId="26">'3398'!$G$6</definedName>
    <definedName name="District_Cost_Differential" localSheetId="27">'3400'!$G$6</definedName>
    <definedName name="District_Cost_Differential" localSheetId="28">'3401'!$G$6</definedName>
    <definedName name="District_Cost_Differential" localSheetId="29">'3413'!$G$6</definedName>
    <definedName name="District_Cost_Differential" localSheetId="30">'3421'!$G$6</definedName>
    <definedName name="District_Cost_Differential" localSheetId="31">'3431'!$G$6</definedName>
    <definedName name="District_Cost_Differential" localSheetId="32">'3441'!$G$6</definedName>
    <definedName name="District_Cost_Differential" localSheetId="33">'3924'!$G$6</definedName>
    <definedName name="District_Cost_Differential" localSheetId="34">'3941'!$G$6</definedName>
    <definedName name="District_Cost_Differential" localSheetId="35">'3961'!$G$6</definedName>
    <definedName name="District_Cost_Differential" localSheetId="36">'3971'!$G$6</definedName>
    <definedName name="District_Cost_Differential" localSheetId="37">'4001'!$G$6</definedName>
    <definedName name="District_Cost_Differential" localSheetId="38">'4002'!$G$6</definedName>
    <definedName name="District_Cost_Differential" localSheetId="39">'4012'!$G$6</definedName>
    <definedName name="District_Cost_Differential" localSheetId="40">'4013'!$G$6</definedName>
    <definedName name="District_Cost_Differential" localSheetId="41">'4020'!$G$6</definedName>
    <definedName name="District_Cost_Differential" localSheetId="42">'4030'!$G$6</definedName>
    <definedName name="District_Cost_Differential" localSheetId="43">'4031'!$G$6</definedName>
    <definedName name="District_Cost_Differential" localSheetId="44">'4041'!$G$6</definedName>
    <definedName name="District_Cost_Differential" localSheetId="45">'4050'!$G$6</definedName>
    <definedName name="District_Cost_Differential" localSheetId="46">'4051'!$G$6</definedName>
    <definedName name="District_Cost_Differential" localSheetId="47">'4061'!$G$6</definedName>
    <definedName name="District_Cost_Differential" localSheetId="48">'4080'!$G$6</definedName>
    <definedName name="District_Cost_Differential" localSheetId="49">'4081'!$G$6</definedName>
    <definedName name="District_Cost_Differential" localSheetId="50">'4090'!$G$6</definedName>
    <definedName name="District_Cost_Differential" localSheetId="51">'4091'!$G$6</definedName>
    <definedName name="District_Cost_Differential" localSheetId="52">'4100'!$G$6</definedName>
    <definedName name="District_Cost_Differential" localSheetId="53">'4102'!$G$6</definedName>
    <definedName name="District_Cost_Differential" localSheetId="54">'4103'!$G$6</definedName>
    <definedName name="District_Cost_Differential" localSheetId="55">'4111'!$G$6</definedName>
    <definedName name="District_Cost_Differential" localSheetId="56">'4131'!$G$6</definedName>
    <definedName name="District_Cost_Differential">'0040'!$G$6</definedName>
    <definedName name="District_SAI_Allocation" localSheetId="8">'0100'!#REF!</definedName>
    <definedName name="District_SAI_Allocation" localSheetId="7">'0571'!#REF!</definedName>
    <definedName name="District_SAI_Allocation" localSheetId="9">'1461'!#REF!</definedName>
    <definedName name="District_SAI_Allocation" localSheetId="10">'1571'!#REF!</definedName>
    <definedName name="District_SAI_Allocation" localSheetId="11">'2521'!#REF!</definedName>
    <definedName name="District_SAI_Allocation" localSheetId="12">'2531'!#REF!</definedName>
    <definedName name="District_SAI_Allocation" localSheetId="13">'2791'!#REF!</definedName>
    <definedName name="District_SAI_Allocation" localSheetId="14">'2801'!#REF!</definedName>
    <definedName name="District_SAI_Allocation" localSheetId="15">'2911'!#REF!</definedName>
    <definedName name="District_SAI_Allocation" localSheetId="16">'2941'!#REF!</definedName>
    <definedName name="District_SAI_Allocation" localSheetId="17">'3083'!#REF!</definedName>
    <definedName name="District_SAI_Allocation" localSheetId="18">'3345'!#REF!</definedName>
    <definedName name="District_SAI_Allocation" localSheetId="19">'3362'!#REF!</definedName>
    <definedName name="District_SAI_Allocation" localSheetId="20">'3381'!#REF!</definedName>
    <definedName name="District_SAI_Allocation" localSheetId="21">'3382'!#REF!</definedName>
    <definedName name="District_SAI_Allocation" localSheetId="22">'3391'!#REF!</definedName>
    <definedName name="District_SAI_Allocation" localSheetId="23">'3394'!#REF!</definedName>
    <definedName name="District_SAI_Allocation" localSheetId="24">'3395'!#REF!</definedName>
    <definedName name="District_SAI_Allocation" localSheetId="25">'3396'!#REF!</definedName>
    <definedName name="District_SAI_Allocation" localSheetId="26">'3398'!#REF!</definedName>
    <definedName name="District_SAI_Allocation" localSheetId="27">'3400'!#REF!</definedName>
    <definedName name="District_SAI_Allocation" localSheetId="28">'3401'!#REF!</definedName>
    <definedName name="District_SAI_Allocation" localSheetId="29">'3413'!#REF!</definedName>
    <definedName name="District_SAI_Allocation" localSheetId="30">'3421'!#REF!</definedName>
    <definedName name="District_SAI_Allocation" localSheetId="31">'3431'!#REF!</definedName>
    <definedName name="District_SAI_Allocation" localSheetId="32">'3441'!#REF!</definedName>
    <definedName name="District_SAI_Allocation" localSheetId="33">'3924'!#REF!</definedName>
    <definedName name="District_SAI_Allocation" localSheetId="34">'3941'!#REF!</definedName>
    <definedName name="District_SAI_Allocation" localSheetId="35">'3961'!#REF!</definedName>
    <definedName name="District_SAI_Allocation" localSheetId="36">'3971'!#REF!</definedName>
    <definedName name="District_SAI_Allocation" localSheetId="37">'4001'!#REF!</definedName>
    <definedName name="District_SAI_Allocation" localSheetId="38">'4002'!#REF!</definedName>
    <definedName name="District_SAI_Allocation" localSheetId="39">'4012'!#REF!</definedName>
    <definedName name="District_SAI_Allocation" localSheetId="40">'4013'!#REF!</definedName>
    <definedName name="District_SAI_Allocation" localSheetId="41">'4020'!#REF!</definedName>
    <definedName name="District_SAI_Allocation" localSheetId="42">'4030'!#REF!</definedName>
    <definedName name="District_SAI_Allocation" localSheetId="43">'4031'!#REF!</definedName>
    <definedName name="District_SAI_Allocation" localSheetId="44">'4041'!#REF!</definedName>
    <definedName name="District_SAI_Allocation" localSheetId="45">'4050'!#REF!</definedName>
    <definedName name="District_SAI_Allocation" localSheetId="46">'4051'!#REF!</definedName>
    <definedName name="District_SAI_Allocation" localSheetId="47">'4061'!#REF!</definedName>
    <definedName name="District_SAI_Allocation" localSheetId="48">'4080'!#REF!</definedName>
    <definedName name="District_SAI_Allocation" localSheetId="49">'4081'!#REF!</definedName>
    <definedName name="District_SAI_Allocation" localSheetId="50">'4090'!#REF!</definedName>
    <definedName name="District_SAI_Allocation" localSheetId="51">'4091'!#REF!</definedName>
    <definedName name="District_SAI_Allocation" localSheetId="52">'4100'!#REF!</definedName>
    <definedName name="District_SAI_Allocation" localSheetId="53">'4102'!#REF!</definedName>
    <definedName name="District_SAI_Allocation" localSheetId="54">'4103'!#REF!</definedName>
    <definedName name="District_SAI_Allocation" localSheetId="55">'4111'!#REF!</definedName>
    <definedName name="District_SAI_Allocation" localSheetId="56">'4131'!#REF!</definedName>
    <definedName name="divided_by_district_FTE" localSheetId="8">'0100'!#REF!</definedName>
    <definedName name="divided_by_district_FTE" localSheetId="7">'0571'!#REF!</definedName>
    <definedName name="divided_by_district_FTE" localSheetId="9">'1461'!#REF!</definedName>
    <definedName name="divided_by_district_FTE" localSheetId="10">'1571'!#REF!</definedName>
    <definedName name="divided_by_district_FTE" localSheetId="11">'2521'!#REF!</definedName>
    <definedName name="divided_by_district_FTE" localSheetId="12">'2531'!#REF!</definedName>
    <definedName name="divided_by_district_FTE" localSheetId="13">'2791'!#REF!</definedName>
    <definedName name="divided_by_district_FTE" localSheetId="14">'2801'!#REF!</definedName>
    <definedName name="divided_by_district_FTE" localSheetId="15">'2911'!#REF!</definedName>
    <definedName name="divided_by_district_FTE" localSheetId="16">'2941'!#REF!</definedName>
    <definedName name="divided_by_district_FTE" localSheetId="17">'3083'!#REF!</definedName>
    <definedName name="divided_by_district_FTE" localSheetId="18">'3345'!#REF!</definedName>
    <definedName name="divided_by_district_FTE" localSheetId="19">'3362'!#REF!</definedName>
    <definedName name="divided_by_district_FTE" localSheetId="20">'3381'!#REF!</definedName>
    <definedName name="divided_by_district_FTE" localSheetId="21">'3382'!#REF!</definedName>
    <definedName name="divided_by_district_FTE" localSheetId="22">'3391'!#REF!</definedName>
    <definedName name="divided_by_district_FTE" localSheetId="23">'3394'!#REF!</definedName>
    <definedName name="divided_by_district_FTE" localSheetId="24">'3395'!#REF!</definedName>
    <definedName name="divided_by_district_FTE" localSheetId="25">'3396'!#REF!</definedName>
    <definedName name="divided_by_district_FTE" localSheetId="26">'3398'!#REF!</definedName>
    <definedName name="divided_by_district_FTE" localSheetId="27">'3400'!#REF!</definedName>
    <definedName name="divided_by_district_FTE" localSheetId="28">'3401'!#REF!</definedName>
    <definedName name="divided_by_district_FTE" localSheetId="29">'3413'!#REF!</definedName>
    <definedName name="divided_by_district_FTE" localSheetId="30">'3421'!#REF!</definedName>
    <definedName name="divided_by_district_FTE" localSheetId="31">'3431'!#REF!</definedName>
    <definedName name="divided_by_district_FTE" localSheetId="32">'3441'!#REF!</definedName>
    <definedName name="divided_by_district_FTE" localSheetId="33">'3924'!#REF!</definedName>
    <definedName name="divided_by_district_FTE" localSheetId="34">'3941'!#REF!</definedName>
    <definedName name="divided_by_district_FTE" localSheetId="35">'3961'!#REF!</definedName>
    <definedName name="divided_by_district_FTE" localSheetId="36">'3971'!#REF!</definedName>
    <definedName name="divided_by_district_FTE" localSheetId="37">'4001'!#REF!</definedName>
    <definedName name="divided_by_district_FTE" localSheetId="38">'4002'!#REF!</definedName>
    <definedName name="divided_by_district_FTE" localSheetId="39">'4012'!#REF!</definedName>
    <definedName name="divided_by_district_FTE" localSheetId="40">'4013'!#REF!</definedName>
    <definedName name="divided_by_district_FTE" localSheetId="41">'4020'!#REF!</definedName>
    <definedName name="divided_by_district_FTE" localSheetId="42">'4030'!#REF!</definedName>
    <definedName name="divided_by_district_FTE" localSheetId="43">'4031'!#REF!</definedName>
    <definedName name="divided_by_district_FTE" localSheetId="44">'4041'!#REF!</definedName>
    <definedName name="divided_by_district_FTE" localSheetId="45">'4050'!#REF!</definedName>
    <definedName name="divided_by_district_FTE" localSheetId="46">'4051'!#REF!</definedName>
    <definedName name="divided_by_district_FTE" localSheetId="47">'4061'!#REF!</definedName>
    <definedName name="divided_by_district_FTE" localSheetId="48">'4080'!#REF!</definedName>
    <definedName name="divided_by_district_FTE" localSheetId="49">'4081'!#REF!</definedName>
    <definedName name="divided_by_district_FTE" localSheetId="50">'4090'!#REF!</definedName>
    <definedName name="divided_by_district_FTE" localSheetId="51">'4091'!#REF!</definedName>
    <definedName name="divided_by_district_FTE" localSheetId="52">'4100'!#REF!</definedName>
    <definedName name="divided_by_district_FTE" localSheetId="53">'4102'!#REF!</definedName>
    <definedName name="divided_by_district_FTE" localSheetId="54">'4103'!#REF!</definedName>
    <definedName name="divided_by_district_FTE" localSheetId="55">'4111'!#REF!</definedName>
    <definedName name="divided_by_district_FTE" localSheetId="56">'4131'!#REF!</definedName>
    <definedName name="FTE" localSheetId="8">'0100'!#REF!</definedName>
    <definedName name="FTE" localSheetId="7">'0571'!#REF!</definedName>
    <definedName name="FTE" localSheetId="9">'1461'!#REF!</definedName>
    <definedName name="FTE" localSheetId="10">'1571'!#REF!</definedName>
    <definedName name="FTE" localSheetId="11">'2521'!#REF!</definedName>
    <definedName name="FTE" localSheetId="12">'2531'!#REF!</definedName>
    <definedName name="FTE" localSheetId="13">'2791'!#REF!</definedName>
    <definedName name="FTE" localSheetId="14">'2801'!#REF!</definedName>
    <definedName name="FTE" localSheetId="15">'2911'!#REF!</definedName>
    <definedName name="FTE" localSheetId="16">'2941'!#REF!</definedName>
    <definedName name="FTE" localSheetId="17">'3083'!#REF!</definedName>
    <definedName name="FTE" localSheetId="18">'3345'!#REF!</definedName>
    <definedName name="FTE" localSheetId="19">'3362'!#REF!</definedName>
    <definedName name="FTE" localSheetId="20">'3381'!#REF!</definedName>
    <definedName name="FTE" localSheetId="21">'3382'!#REF!</definedName>
    <definedName name="FTE" localSheetId="22">'3391'!#REF!</definedName>
    <definedName name="FTE" localSheetId="23">'3394'!#REF!</definedName>
    <definedName name="FTE" localSheetId="24">'3395'!#REF!</definedName>
    <definedName name="FTE" localSheetId="25">'3396'!#REF!</definedName>
    <definedName name="FTE" localSheetId="26">'3398'!#REF!</definedName>
    <definedName name="FTE" localSheetId="27">'3400'!#REF!</definedName>
    <definedName name="FTE" localSheetId="28">'3401'!#REF!</definedName>
    <definedName name="FTE" localSheetId="29">'3413'!#REF!</definedName>
    <definedName name="FTE" localSheetId="30">'3421'!#REF!</definedName>
    <definedName name="FTE" localSheetId="31">'3431'!#REF!</definedName>
    <definedName name="FTE" localSheetId="32">'3441'!#REF!</definedName>
    <definedName name="FTE" localSheetId="33">'3924'!#REF!</definedName>
    <definedName name="FTE" localSheetId="34">'3941'!#REF!</definedName>
    <definedName name="FTE" localSheetId="35">'3961'!#REF!</definedName>
    <definedName name="FTE" localSheetId="36">'3971'!#REF!</definedName>
    <definedName name="FTE" localSheetId="37">'4001'!#REF!</definedName>
    <definedName name="FTE" localSheetId="38">'4002'!#REF!</definedName>
    <definedName name="FTE" localSheetId="39">'4012'!#REF!</definedName>
    <definedName name="FTE" localSheetId="40">'4013'!#REF!</definedName>
    <definedName name="FTE" localSheetId="41">'4020'!#REF!</definedName>
    <definedName name="FTE" localSheetId="42">'4030'!#REF!</definedName>
    <definedName name="FTE" localSheetId="43">'4031'!#REF!</definedName>
    <definedName name="FTE" localSheetId="44">'4041'!#REF!</definedName>
    <definedName name="FTE" localSheetId="45">'4050'!#REF!</definedName>
    <definedName name="FTE" localSheetId="46">'4051'!#REF!</definedName>
    <definedName name="FTE" localSheetId="47">'4061'!#REF!</definedName>
    <definedName name="FTE" localSheetId="48">'4080'!#REF!</definedName>
    <definedName name="FTE" localSheetId="49">'4081'!#REF!</definedName>
    <definedName name="FTE" localSheetId="50">'4090'!#REF!</definedName>
    <definedName name="FTE" localSheetId="51">'4091'!#REF!</definedName>
    <definedName name="FTE" localSheetId="52">'4100'!#REF!</definedName>
    <definedName name="FTE" localSheetId="53">'4102'!#REF!</definedName>
    <definedName name="FTE" localSheetId="54">'4103'!#REF!</definedName>
    <definedName name="FTE" localSheetId="55">'4111'!#REF!</definedName>
    <definedName name="FTE" localSheetId="56">'4131'!#REF!</definedName>
    <definedName name="Grade_Level" localSheetId="8">'0100'!#REF!</definedName>
    <definedName name="Grade_Level" localSheetId="7">'0571'!#REF!</definedName>
    <definedName name="Grade_Level" localSheetId="9">'1461'!#REF!</definedName>
    <definedName name="Grade_Level" localSheetId="10">'1571'!#REF!</definedName>
    <definedName name="Grade_Level" localSheetId="11">'2521'!#REF!</definedName>
    <definedName name="Grade_Level" localSheetId="12">'2531'!#REF!</definedName>
    <definedName name="Grade_Level" localSheetId="13">'2791'!#REF!</definedName>
    <definedName name="Grade_Level" localSheetId="14">'2801'!#REF!</definedName>
    <definedName name="Grade_Level" localSheetId="15">'2911'!#REF!</definedName>
    <definedName name="Grade_Level" localSheetId="16">'2941'!#REF!</definedName>
    <definedName name="Grade_Level" localSheetId="17">'3083'!#REF!</definedName>
    <definedName name="Grade_Level" localSheetId="18">'3345'!#REF!</definedName>
    <definedName name="Grade_Level" localSheetId="19">'3362'!#REF!</definedName>
    <definedName name="Grade_Level" localSheetId="20">'3381'!#REF!</definedName>
    <definedName name="Grade_Level" localSheetId="21">'3382'!#REF!</definedName>
    <definedName name="Grade_Level" localSheetId="22">'3391'!#REF!</definedName>
    <definedName name="Grade_Level" localSheetId="23">'3394'!#REF!</definedName>
    <definedName name="Grade_Level" localSheetId="24">'3395'!#REF!</definedName>
    <definedName name="Grade_Level" localSheetId="25">'3396'!#REF!</definedName>
    <definedName name="Grade_Level" localSheetId="26">'3398'!#REF!</definedName>
    <definedName name="Grade_Level" localSheetId="27">'3400'!#REF!</definedName>
    <definedName name="Grade_Level" localSheetId="28">'3401'!#REF!</definedName>
    <definedName name="Grade_Level" localSheetId="29">'3413'!#REF!</definedName>
    <definedName name="Grade_Level" localSheetId="30">'3421'!#REF!</definedName>
    <definedName name="Grade_Level" localSheetId="31">'3431'!#REF!</definedName>
    <definedName name="Grade_Level" localSheetId="32">'3441'!#REF!</definedName>
    <definedName name="Grade_Level" localSheetId="33">'3924'!#REF!</definedName>
    <definedName name="Grade_Level" localSheetId="34">'3941'!#REF!</definedName>
    <definedName name="Grade_Level" localSheetId="35">'3961'!#REF!</definedName>
    <definedName name="Grade_Level" localSheetId="36">'3971'!#REF!</definedName>
    <definedName name="Grade_Level" localSheetId="37">'4001'!#REF!</definedName>
    <definedName name="Grade_Level" localSheetId="38">'4002'!#REF!</definedName>
    <definedName name="Grade_Level" localSheetId="39">'4012'!#REF!</definedName>
    <definedName name="Grade_Level" localSheetId="40">'4013'!#REF!</definedName>
    <definedName name="Grade_Level" localSheetId="41">'4020'!#REF!</definedName>
    <definedName name="Grade_Level" localSheetId="42">'4030'!#REF!</definedName>
    <definedName name="Grade_Level" localSheetId="43">'4031'!#REF!</definedName>
    <definedName name="Grade_Level" localSheetId="44">'4041'!#REF!</definedName>
    <definedName name="Grade_Level" localSheetId="45">'4050'!#REF!</definedName>
    <definedName name="Grade_Level" localSheetId="46">'4051'!#REF!</definedName>
    <definedName name="Grade_Level" localSheetId="47">'4061'!#REF!</definedName>
    <definedName name="Grade_Level" localSheetId="48">'4080'!#REF!</definedName>
    <definedName name="Grade_Level" localSheetId="49">'4081'!#REF!</definedName>
    <definedName name="Grade_Level" localSheetId="50">'4090'!#REF!</definedName>
    <definedName name="Grade_Level" localSheetId="51">'4091'!#REF!</definedName>
    <definedName name="Grade_Level" localSheetId="52">'4100'!#REF!</definedName>
    <definedName name="Grade_Level" localSheetId="53">'4102'!#REF!</definedName>
    <definedName name="Grade_Level" localSheetId="54">'4103'!#REF!</definedName>
    <definedName name="Grade_Level" localSheetId="55">'4111'!#REF!</definedName>
    <definedName name="Grade_Level" localSheetId="56">'4131'!#REF!</definedName>
    <definedName name="Guarantee_Per_Student" localSheetId="8">'0100'!#REF!</definedName>
    <definedName name="Guarantee_Per_Student" localSheetId="7">'0571'!#REF!</definedName>
    <definedName name="Guarantee_Per_Student" localSheetId="9">'1461'!#REF!</definedName>
    <definedName name="Guarantee_Per_Student" localSheetId="10">'1571'!#REF!</definedName>
    <definedName name="Guarantee_Per_Student" localSheetId="11">'2521'!#REF!</definedName>
    <definedName name="Guarantee_Per_Student" localSheetId="12">'2531'!#REF!</definedName>
    <definedName name="Guarantee_Per_Student" localSheetId="13">'2791'!#REF!</definedName>
    <definedName name="Guarantee_Per_Student" localSheetId="14">'2801'!#REF!</definedName>
    <definedName name="Guarantee_Per_Student" localSheetId="15">'2911'!#REF!</definedName>
    <definedName name="Guarantee_Per_Student" localSheetId="16">'2941'!#REF!</definedName>
    <definedName name="Guarantee_Per_Student" localSheetId="17">'3083'!#REF!</definedName>
    <definedName name="Guarantee_Per_Student" localSheetId="18">'3345'!#REF!</definedName>
    <definedName name="Guarantee_Per_Student" localSheetId="19">'3362'!#REF!</definedName>
    <definedName name="Guarantee_Per_Student" localSheetId="20">'3381'!#REF!</definedName>
    <definedName name="Guarantee_Per_Student" localSheetId="21">'3382'!#REF!</definedName>
    <definedName name="Guarantee_Per_Student" localSheetId="22">'3391'!#REF!</definedName>
    <definedName name="Guarantee_Per_Student" localSheetId="23">'3394'!#REF!</definedName>
    <definedName name="Guarantee_Per_Student" localSheetId="24">'3395'!#REF!</definedName>
    <definedName name="Guarantee_Per_Student" localSheetId="25">'3396'!#REF!</definedName>
    <definedName name="Guarantee_Per_Student" localSheetId="26">'3398'!#REF!</definedName>
    <definedName name="Guarantee_Per_Student" localSheetId="27">'3400'!#REF!</definedName>
    <definedName name="Guarantee_Per_Student" localSheetId="28">'3401'!#REF!</definedName>
    <definedName name="Guarantee_Per_Student" localSheetId="29">'3413'!#REF!</definedName>
    <definedName name="Guarantee_Per_Student" localSheetId="30">'3421'!#REF!</definedName>
    <definedName name="Guarantee_Per_Student" localSheetId="31">'3431'!#REF!</definedName>
    <definedName name="Guarantee_Per_Student" localSheetId="32">'3441'!#REF!</definedName>
    <definedName name="Guarantee_Per_Student" localSheetId="33">'3924'!#REF!</definedName>
    <definedName name="Guarantee_Per_Student" localSheetId="34">'3941'!#REF!</definedName>
    <definedName name="Guarantee_Per_Student" localSheetId="35">'3961'!#REF!</definedName>
    <definedName name="Guarantee_Per_Student" localSheetId="36">'3971'!#REF!</definedName>
    <definedName name="Guarantee_Per_Student" localSheetId="37">'4001'!#REF!</definedName>
    <definedName name="Guarantee_Per_Student" localSheetId="38">'4002'!#REF!</definedName>
    <definedName name="Guarantee_Per_Student" localSheetId="39">'4012'!#REF!</definedName>
    <definedName name="Guarantee_Per_Student" localSheetId="40">'4013'!#REF!</definedName>
    <definedName name="Guarantee_Per_Student" localSheetId="41">'4020'!#REF!</definedName>
    <definedName name="Guarantee_Per_Student" localSheetId="42">'4030'!#REF!</definedName>
    <definedName name="Guarantee_Per_Student" localSheetId="43">'4031'!#REF!</definedName>
    <definedName name="Guarantee_Per_Student" localSheetId="44">'4041'!#REF!</definedName>
    <definedName name="Guarantee_Per_Student" localSheetId="45">'4050'!#REF!</definedName>
    <definedName name="Guarantee_Per_Student" localSheetId="46">'4051'!#REF!</definedName>
    <definedName name="Guarantee_Per_Student" localSheetId="47">'4061'!#REF!</definedName>
    <definedName name="Guarantee_Per_Student" localSheetId="48">'4080'!#REF!</definedName>
    <definedName name="Guarantee_Per_Student" localSheetId="49">'4081'!#REF!</definedName>
    <definedName name="Guarantee_Per_Student" localSheetId="50">'4090'!#REF!</definedName>
    <definedName name="Guarantee_Per_Student" localSheetId="51">'4091'!#REF!</definedName>
    <definedName name="Guarantee_Per_Student" localSheetId="52">'4100'!#REF!</definedName>
    <definedName name="Guarantee_Per_Student" localSheetId="53">'4102'!#REF!</definedName>
    <definedName name="Guarantee_Per_Student" localSheetId="54">'4103'!#REF!</definedName>
    <definedName name="Guarantee_Per_Student" localSheetId="55">'4111'!#REF!</definedName>
    <definedName name="Guarantee_Per_Student" localSheetId="56">'4131'!#REF!</definedName>
    <definedName name="HTML_CodePage" hidden="1">1252</definedName>
    <definedName name="HTML_Control" localSheetId="1" hidden="1">{"'AssumptionsHTML'!$B$9:$E$357","'SummationHTML'!$A$4:$J$93","'Difference'!$A$11:$K$101","'DifferenceFTE'!$A$11:$K$101","'Detail1'!$A$11:$I$97","'Detail2'!$A$11:$J$97","'Detail3'!$A$11:$J$97","'Categorical1'!$A$11:$L$97"}</definedName>
    <definedName name="HTML_Control" localSheetId="2" hidden="1">{"'AssumptionsHTML'!$B$9:$E$357","'SummationHTML'!$A$4:$J$93","'Difference'!$A$11:$K$101","'DifferenceFTE'!$A$11:$K$101","'Detail1'!$A$11:$I$97","'Detail2'!$A$11:$J$97","'Detail3'!$A$11:$J$97","'Categorical1'!$A$11:$L$97"}</definedName>
    <definedName name="HTML_Control" localSheetId="4" hidden="1">{"'AssumptionsHTML'!$B$9:$E$357","'SummationHTML'!$A$4:$J$93","'Difference'!$A$11:$K$101","'DifferenceFTE'!$A$11:$K$101","'Detail1'!$A$11:$I$97","'Detail2'!$A$11:$J$97","'Detail3'!$A$11:$J$97","'Categorical1'!$A$11:$L$97"}</definedName>
    <definedName name="HTML_Control" localSheetId="3" hidden="1">{"'AssumptionsHTML'!$B$9:$E$357","'SummationHTML'!$A$4:$J$93","'Difference'!$A$11:$K$101","'DifferenceFTE'!$A$11:$K$101","'Detail1'!$A$11:$I$97","'Detail2'!$A$11:$J$97","'Detail3'!$A$11:$J$97","'Categorical1'!$A$11:$L$97"}</definedName>
    <definedName name="HTML_Control" localSheetId="0" hidden="1">{"'AssumptionsHTML'!$B$9:$E$357","'SummationHTML'!$A$4:$J$93","'Difference'!$A$11:$K$101","'DifferenceFTE'!$A$11:$K$101","'Detail1'!$A$11:$I$97","'Detail2'!$A$11:$J$97","'Detail3'!$A$11:$J$97","'Categorical1'!$A$11:$L$97"}</definedName>
    <definedName name="HTML_Control" hidden="1">{"'AssumptionsHTML'!$B$9:$E$357","'SummationHTML'!$A$4:$J$93","'Difference'!$A$11:$K$101","'DifferenceFTE'!$A$11:$K$101","'Detail1'!$A$11:$I$97","'Detail2'!$A$11:$J$97","'Detail3'!$A$11:$J$97","'Categorical1'!$A$11:$L$97"}</definedName>
    <definedName name="HTML_Description" hidden="1">""</definedName>
    <definedName name="HTML_Email" hidden="1">""</definedName>
    <definedName name="HTML_Header" hidden="1">""</definedName>
    <definedName name="HTML_LastUpdate" hidden="1">"9/4/97"</definedName>
    <definedName name="HTML_LineAfter" hidden="1">FALSE</definedName>
    <definedName name="HTML_LineBefore" hidden="1">FALSE</definedName>
    <definedName name="HTML_Name" hidden="1">"David Montford"</definedName>
    <definedName name="HTML_OBDlg2" hidden="1">TRUE</definedName>
    <definedName name="HTML_OBDlg4" hidden="1">TRUE</definedName>
    <definedName name="HTML_OS" hidden="1">0</definedName>
    <definedName name="HTML_PathFile" hidden="1">"H:\XLFILES\test.htm"</definedName>
    <definedName name="HTML_Title" hidden="1">""</definedName>
    <definedName name="Matrix_Level" localSheetId="8">'0100'!#REF!</definedName>
    <definedName name="Matrix_Level" localSheetId="7">'0571'!#REF!</definedName>
    <definedName name="Matrix_Level" localSheetId="9">'1461'!#REF!</definedName>
    <definedName name="Matrix_Level" localSheetId="10">'1571'!#REF!</definedName>
    <definedName name="Matrix_Level" localSheetId="11">'2521'!#REF!</definedName>
    <definedName name="Matrix_Level" localSheetId="12">'2531'!#REF!</definedName>
    <definedName name="Matrix_Level" localSheetId="13">'2791'!#REF!</definedName>
    <definedName name="Matrix_Level" localSheetId="14">'2801'!#REF!</definedName>
    <definedName name="Matrix_Level" localSheetId="15">'2911'!#REF!</definedName>
    <definedName name="Matrix_Level" localSheetId="16">'2941'!#REF!</definedName>
    <definedName name="Matrix_Level" localSheetId="17">'3083'!#REF!</definedName>
    <definedName name="Matrix_Level" localSheetId="18">'3345'!#REF!</definedName>
    <definedName name="Matrix_Level" localSheetId="19">'3362'!#REF!</definedName>
    <definedName name="Matrix_Level" localSheetId="20">'3381'!#REF!</definedName>
    <definedName name="Matrix_Level" localSheetId="21">'3382'!#REF!</definedName>
    <definedName name="Matrix_Level" localSheetId="22">'3391'!#REF!</definedName>
    <definedName name="Matrix_Level" localSheetId="23">'3394'!#REF!</definedName>
    <definedName name="Matrix_Level" localSheetId="24">'3395'!#REF!</definedName>
    <definedName name="Matrix_Level" localSheetId="25">'3396'!#REF!</definedName>
    <definedName name="Matrix_Level" localSheetId="26">'3398'!#REF!</definedName>
    <definedName name="Matrix_Level" localSheetId="27">'3400'!#REF!</definedName>
    <definedName name="Matrix_Level" localSheetId="28">'3401'!#REF!</definedName>
    <definedName name="Matrix_Level" localSheetId="29">'3413'!#REF!</definedName>
    <definedName name="Matrix_Level" localSheetId="30">'3421'!#REF!</definedName>
    <definedName name="Matrix_Level" localSheetId="31">'3431'!#REF!</definedName>
    <definedName name="Matrix_Level" localSheetId="32">'3441'!#REF!</definedName>
    <definedName name="Matrix_Level" localSheetId="33">'3924'!#REF!</definedName>
    <definedName name="Matrix_Level" localSheetId="34">'3941'!#REF!</definedName>
    <definedName name="Matrix_Level" localSheetId="35">'3961'!#REF!</definedName>
    <definedName name="Matrix_Level" localSheetId="36">'3971'!#REF!</definedName>
    <definedName name="Matrix_Level" localSheetId="37">'4001'!#REF!</definedName>
    <definedName name="Matrix_Level" localSheetId="38">'4002'!#REF!</definedName>
    <definedName name="Matrix_Level" localSheetId="39">'4012'!#REF!</definedName>
    <definedName name="Matrix_Level" localSheetId="40">'4013'!#REF!</definedName>
    <definedName name="Matrix_Level" localSheetId="41">'4020'!#REF!</definedName>
    <definedName name="Matrix_Level" localSheetId="42">'4030'!#REF!</definedName>
    <definedName name="Matrix_Level" localSheetId="43">'4031'!#REF!</definedName>
    <definedName name="Matrix_Level" localSheetId="44">'4041'!#REF!</definedName>
    <definedName name="Matrix_Level" localSheetId="45">'4050'!#REF!</definedName>
    <definedName name="Matrix_Level" localSheetId="46">'4051'!#REF!</definedName>
    <definedName name="Matrix_Level" localSheetId="47">'4061'!#REF!</definedName>
    <definedName name="Matrix_Level" localSheetId="48">'4080'!#REF!</definedName>
    <definedName name="Matrix_Level" localSheetId="49">'4081'!#REF!</definedName>
    <definedName name="Matrix_Level" localSheetId="50">'4090'!#REF!</definedName>
    <definedName name="Matrix_Level" localSheetId="51">'4091'!#REF!</definedName>
    <definedName name="Matrix_Level" localSheetId="52">'4100'!#REF!</definedName>
    <definedName name="Matrix_Level" localSheetId="53">'4102'!#REF!</definedName>
    <definedName name="Matrix_Level" localSheetId="54">'4103'!#REF!</definedName>
    <definedName name="Matrix_Level" localSheetId="55">'4111'!#REF!</definedName>
    <definedName name="Matrix_Level" localSheetId="56">'4131'!#REF!</definedName>
    <definedName name="Number_of_FTE" localSheetId="8">'0100'!$E$10</definedName>
    <definedName name="Number_of_FTE" localSheetId="7">'0571'!$E$10</definedName>
    <definedName name="Number_of_FTE" localSheetId="9">'1461'!$E$10</definedName>
    <definedName name="Number_of_FTE" localSheetId="10">'1571'!$E$10</definedName>
    <definedName name="Number_of_FTE" localSheetId="11">'2521'!$E$10</definedName>
    <definedName name="Number_of_FTE" localSheetId="12">'2531'!$E$10</definedName>
    <definedName name="Number_of_FTE" localSheetId="13">'2791'!$E$10</definedName>
    <definedName name="Number_of_FTE" localSheetId="14">'2801'!$E$10</definedName>
    <definedName name="Number_of_FTE" localSheetId="15">'2911'!$E$10</definedName>
    <definedName name="Number_of_FTE" localSheetId="16">'2941'!$E$10</definedName>
    <definedName name="Number_of_FTE" localSheetId="17">'3083'!$E$10</definedName>
    <definedName name="Number_of_FTE" localSheetId="18">'3345'!$E$10</definedName>
    <definedName name="Number_of_FTE" localSheetId="19">'3362'!$E$10</definedName>
    <definedName name="Number_of_FTE" localSheetId="20">'3381'!$E$10</definedName>
    <definedName name="Number_of_FTE" localSheetId="21">'3382'!$E$10</definedName>
    <definedName name="Number_of_FTE" localSheetId="22">'3391'!$E$10</definedName>
    <definedName name="Number_of_FTE" localSheetId="23">'3394'!$E$10</definedName>
    <definedName name="Number_of_FTE" localSheetId="24">'3395'!$E$10</definedName>
    <definedName name="Number_of_FTE" localSheetId="25">'3396'!$E$10</definedName>
    <definedName name="Number_of_FTE" localSheetId="26">'3398'!$E$10</definedName>
    <definedName name="Number_of_FTE" localSheetId="27">'3400'!$E$10</definedName>
    <definedName name="Number_of_FTE" localSheetId="28">'3401'!$E$10</definedName>
    <definedName name="Number_of_FTE" localSheetId="29">'3413'!$E$10</definedName>
    <definedName name="Number_of_FTE" localSheetId="30">'3421'!$E$10</definedName>
    <definedName name="Number_of_FTE" localSheetId="31">'3431'!$E$10</definedName>
    <definedName name="Number_of_FTE" localSheetId="32">'3441'!$E$10</definedName>
    <definedName name="Number_of_FTE" localSheetId="33">'3924'!$E$10</definedName>
    <definedName name="Number_of_FTE" localSheetId="34">'3941'!$E$10</definedName>
    <definedName name="Number_of_FTE" localSheetId="35">'3961'!$E$10</definedName>
    <definedName name="Number_of_FTE" localSheetId="36">'3971'!$E$10</definedName>
    <definedName name="Number_of_FTE" localSheetId="37">'4001'!$E$10</definedName>
    <definedName name="Number_of_FTE" localSheetId="38">'4002'!$E$10</definedName>
    <definedName name="Number_of_FTE" localSheetId="39">'4012'!$E$10</definedName>
    <definedName name="Number_of_FTE" localSheetId="40">'4013'!$E$10</definedName>
    <definedName name="Number_of_FTE" localSheetId="41">'4020'!$E$10</definedName>
    <definedName name="Number_of_FTE" localSheetId="42">'4030'!$E$10</definedName>
    <definedName name="Number_of_FTE" localSheetId="43">'4031'!$E$10</definedName>
    <definedName name="Number_of_FTE" localSheetId="44">'4041'!$E$10</definedName>
    <definedName name="Number_of_FTE" localSheetId="45">'4050'!$E$10</definedName>
    <definedName name="Number_of_FTE" localSheetId="46">'4051'!$E$10</definedName>
    <definedName name="Number_of_FTE" localSheetId="47">'4061'!$E$10</definedName>
    <definedName name="Number_of_FTE" localSheetId="48">'4080'!$E$10</definedName>
    <definedName name="Number_of_FTE" localSheetId="49">'4081'!$E$10</definedName>
    <definedName name="Number_of_FTE" localSheetId="50">'4090'!$E$10</definedName>
    <definedName name="Number_of_FTE" localSheetId="51">'4091'!$E$10</definedName>
    <definedName name="Number_of_FTE" localSheetId="52">'4100'!$E$10</definedName>
    <definedName name="Number_of_FTE" localSheetId="53">'4102'!$E$10</definedName>
    <definedName name="Number_of_FTE" localSheetId="54">'4103'!$E$10</definedName>
    <definedName name="Number_of_FTE" localSheetId="55">'4111'!$E$10</definedName>
    <definedName name="Number_of_FTE" localSheetId="56">'4131'!$E$10</definedName>
    <definedName name="Number_of_FTE">'0040'!$E$10</definedName>
    <definedName name="Per_Student" localSheetId="8">'0100'!#REF!</definedName>
    <definedName name="Per_Student" localSheetId="7">'0571'!#REF!</definedName>
    <definedName name="Per_Student" localSheetId="9">'1461'!#REF!</definedName>
    <definedName name="Per_Student" localSheetId="10">'1571'!#REF!</definedName>
    <definedName name="Per_Student" localSheetId="11">'2521'!#REF!</definedName>
    <definedName name="Per_Student" localSheetId="12">'2531'!#REF!</definedName>
    <definedName name="Per_Student" localSheetId="13">'2791'!#REF!</definedName>
    <definedName name="Per_Student" localSheetId="14">'2801'!#REF!</definedName>
    <definedName name="Per_Student" localSheetId="15">'2911'!#REF!</definedName>
    <definedName name="Per_Student" localSheetId="16">'2941'!#REF!</definedName>
    <definedName name="Per_Student" localSheetId="17">'3083'!#REF!</definedName>
    <definedName name="Per_Student" localSheetId="18">'3345'!#REF!</definedName>
    <definedName name="Per_Student" localSheetId="19">'3362'!#REF!</definedName>
    <definedName name="Per_Student" localSheetId="20">'3381'!#REF!</definedName>
    <definedName name="Per_Student" localSheetId="21">'3382'!#REF!</definedName>
    <definedName name="Per_Student" localSheetId="22">'3391'!#REF!</definedName>
    <definedName name="Per_Student" localSheetId="23">'3394'!#REF!</definedName>
    <definedName name="Per_Student" localSheetId="24">'3395'!#REF!</definedName>
    <definedName name="Per_Student" localSheetId="25">'3396'!#REF!</definedName>
    <definedName name="Per_Student" localSheetId="26">'3398'!#REF!</definedName>
    <definedName name="Per_Student" localSheetId="27">'3400'!#REF!</definedName>
    <definedName name="Per_Student" localSheetId="28">'3401'!#REF!</definedName>
    <definedName name="Per_Student" localSheetId="29">'3413'!#REF!</definedName>
    <definedName name="Per_Student" localSheetId="30">'3421'!#REF!</definedName>
    <definedName name="Per_Student" localSheetId="31">'3431'!#REF!</definedName>
    <definedName name="Per_Student" localSheetId="32">'3441'!#REF!</definedName>
    <definedName name="Per_Student" localSheetId="33">'3924'!#REF!</definedName>
    <definedName name="Per_Student" localSheetId="34">'3941'!#REF!</definedName>
    <definedName name="Per_Student" localSheetId="35">'3961'!#REF!</definedName>
    <definedName name="Per_Student" localSheetId="36">'3971'!#REF!</definedName>
    <definedName name="Per_Student" localSheetId="37">'4001'!#REF!</definedName>
    <definedName name="Per_Student" localSheetId="38">'4002'!#REF!</definedName>
    <definedName name="Per_Student" localSheetId="39">'4012'!#REF!</definedName>
    <definedName name="Per_Student" localSheetId="40">'4013'!#REF!</definedName>
    <definedName name="Per_Student" localSheetId="41">'4020'!#REF!</definedName>
    <definedName name="Per_Student" localSheetId="42">'4030'!#REF!</definedName>
    <definedName name="Per_Student" localSheetId="43">'4031'!#REF!</definedName>
    <definedName name="Per_Student" localSheetId="44">'4041'!#REF!</definedName>
    <definedName name="Per_Student" localSheetId="45">'4050'!#REF!</definedName>
    <definedName name="Per_Student" localSheetId="46">'4051'!#REF!</definedName>
    <definedName name="Per_Student" localSheetId="47">'4061'!#REF!</definedName>
    <definedName name="Per_Student" localSheetId="48">'4080'!#REF!</definedName>
    <definedName name="Per_Student" localSheetId="49">'4081'!#REF!</definedName>
    <definedName name="Per_Student" localSheetId="50">'4090'!#REF!</definedName>
    <definedName name="Per_Student" localSheetId="51">'4091'!#REF!</definedName>
    <definedName name="Per_Student" localSheetId="52">'4100'!#REF!</definedName>
    <definedName name="Per_Student" localSheetId="53">'4102'!#REF!</definedName>
    <definedName name="Per_Student" localSheetId="54">'4103'!#REF!</definedName>
    <definedName name="Per_Student" localSheetId="55">'4111'!#REF!</definedName>
    <definedName name="Per_Student" localSheetId="56">'4131'!#REF!</definedName>
    <definedName name="PK___3" localSheetId="8">'0100'!$A$90</definedName>
    <definedName name="PK___3" localSheetId="7">'0571'!$A$90</definedName>
    <definedName name="PK___3" localSheetId="9">'1461'!$A$90</definedName>
    <definedName name="PK___3" localSheetId="10">'1571'!$A$90</definedName>
    <definedName name="PK___3" localSheetId="11">'2521'!$A$90</definedName>
    <definedName name="PK___3" localSheetId="12">'2531'!$A$90</definedName>
    <definedName name="PK___3" localSheetId="13">'2791'!$A$90</definedName>
    <definedName name="PK___3" localSheetId="14">'2801'!$A$90</definedName>
    <definedName name="PK___3" localSheetId="15">'2911'!$A$90</definedName>
    <definedName name="PK___3" localSheetId="16">'2941'!$A$90</definedName>
    <definedName name="PK___3" localSheetId="17">'3083'!$A$90</definedName>
    <definedName name="PK___3" localSheetId="18">'3345'!$A$90</definedName>
    <definedName name="PK___3" localSheetId="19">'3362'!$A$90</definedName>
    <definedName name="PK___3" localSheetId="20">'3381'!$A$90</definedName>
    <definedName name="PK___3" localSheetId="21">'3382'!$A$90</definedName>
    <definedName name="PK___3" localSheetId="22">'3391'!$A$90</definedName>
    <definedName name="PK___3" localSheetId="23">'3394'!$A$90</definedName>
    <definedName name="PK___3" localSheetId="24">'3395'!$A$90</definedName>
    <definedName name="PK___3" localSheetId="25">'3396'!$A$90</definedName>
    <definedName name="PK___3" localSheetId="26">'3398'!$A$90</definedName>
    <definedName name="PK___3" localSheetId="27">'3400'!$A$90</definedName>
    <definedName name="PK___3" localSheetId="28">'3401'!$A$90</definedName>
    <definedName name="PK___3" localSheetId="29">'3413'!$A$90</definedName>
    <definedName name="PK___3" localSheetId="30">'3421'!$A$90</definedName>
    <definedName name="PK___3" localSheetId="31">'3431'!$A$90</definedName>
    <definedName name="PK___3" localSheetId="32">'3441'!$A$90</definedName>
    <definedName name="PK___3" localSheetId="33">'3924'!$A$90</definedName>
    <definedName name="PK___3" localSheetId="34">'3941'!$A$90</definedName>
    <definedName name="PK___3" localSheetId="35">'3961'!$A$90</definedName>
    <definedName name="PK___3" localSheetId="36">'3971'!$A$90</definedName>
    <definedName name="PK___3" localSheetId="37">'4001'!$A$90</definedName>
    <definedName name="PK___3" localSheetId="38">'4002'!$A$90</definedName>
    <definedName name="PK___3" localSheetId="39">'4012'!$A$90</definedName>
    <definedName name="PK___3" localSheetId="40">'4013'!$A$90</definedName>
    <definedName name="PK___3" localSheetId="41">'4020'!$A$90</definedName>
    <definedName name="PK___3" localSheetId="42">'4030'!$A$90</definedName>
    <definedName name="PK___3" localSheetId="43">'4031'!$A$90</definedName>
    <definedName name="PK___3" localSheetId="44">'4041'!$A$90</definedName>
    <definedName name="PK___3" localSheetId="45">'4050'!$A$90</definedName>
    <definedName name="PK___3" localSheetId="46">'4051'!$A$90</definedName>
    <definedName name="PK___3" localSheetId="47">'4061'!$A$90</definedName>
    <definedName name="PK___3" localSheetId="48">'4080'!$A$90</definedName>
    <definedName name="PK___3" localSheetId="49">'4081'!$A$90</definedName>
    <definedName name="PK___3" localSheetId="50">'4090'!$A$90</definedName>
    <definedName name="PK___3" localSheetId="51">'4091'!$A$90</definedName>
    <definedName name="PK___3" localSheetId="52">'4100'!$A$90</definedName>
    <definedName name="PK___3" localSheetId="53">'4102'!$A$90</definedName>
    <definedName name="PK___3" localSheetId="54">'4103'!$A$90</definedName>
    <definedName name="PK___3" localSheetId="55">'4111'!$A$90</definedName>
    <definedName name="PK___3" localSheetId="56">'4131'!$A$90</definedName>
    <definedName name="PK___3">'0040'!$A$90</definedName>
    <definedName name="PRACTICE" localSheetId="6" hidden="1">{#N/A,#N/A,FALSE,"Summation";#N/A,#N/A,FALSE,"BSA";#N/A,#N/A,FALSE,"Detail1";#N/A,#N/A,FALSE,"Detail2";#N/A,#N/A,FALSE,"Detail3";#N/A,#N/A,FALSE,"WFTE_Summary";#N/A,#N/A,FALSE,"Funded_WFTE";#N/A,#N/A,FALSE,"PYADJ96"}</definedName>
    <definedName name="PRACTICE" localSheetId="8" hidden="1">{#N/A,#N/A,FALSE,"Summation";#N/A,#N/A,FALSE,"BSA";#N/A,#N/A,FALSE,"Detail1";#N/A,#N/A,FALSE,"Detail2";#N/A,#N/A,FALSE,"Detail3";#N/A,#N/A,FALSE,"WFTE_Summary";#N/A,#N/A,FALSE,"Funded_WFTE";#N/A,#N/A,FALSE,"PYADJ96"}</definedName>
    <definedName name="PRACTICE" localSheetId="7" hidden="1">{#N/A,#N/A,FALSE,"Summation";#N/A,#N/A,FALSE,"BSA";#N/A,#N/A,FALSE,"Detail1";#N/A,#N/A,FALSE,"Detail2";#N/A,#N/A,FALSE,"Detail3";#N/A,#N/A,FALSE,"WFTE_Summary";#N/A,#N/A,FALSE,"Funded_WFTE";#N/A,#N/A,FALSE,"PYADJ96"}</definedName>
    <definedName name="PRACTICE" localSheetId="9" hidden="1">{#N/A,#N/A,FALSE,"Summation";#N/A,#N/A,FALSE,"BSA";#N/A,#N/A,FALSE,"Detail1";#N/A,#N/A,FALSE,"Detail2";#N/A,#N/A,FALSE,"Detail3";#N/A,#N/A,FALSE,"WFTE_Summary";#N/A,#N/A,FALSE,"Funded_WFTE";#N/A,#N/A,FALSE,"PYADJ96"}</definedName>
    <definedName name="PRACTICE" localSheetId="10" hidden="1">{#N/A,#N/A,FALSE,"Summation";#N/A,#N/A,FALSE,"BSA";#N/A,#N/A,FALSE,"Detail1";#N/A,#N/A,FALSE,"Detail2";#N/A,#N/A,FALSE,"Detail3";#N/A,#N/A,FALSE,"WFTE_Summary";#N/A,#N/A,FALSE,"Funded_WFTE";#N/A,#N/A,FALSE,"PYADJ96"}</definedName>
    <definedName name="PRACTICE" localSheetId="11" hidden="1">{#N/A,#N/A,FALSE,"Summation";#N/A,#N/A,FALSE,"BSA";#N/A,#N/A,FALSE,"Detail1";#N/A,#N/A,FALSE,"Detail2";#N/A,#N/A,FALSE,"Detail3";#N/A,#N/A,FALSE,"WFTE_Summary";#N/A,#N/A,FALSE,"Funded_WFTE";#N/A,#N/A,FALSE,"PYADJ96"}</definedName>
    <definedName name="PRACTICE" localSheetId="12" hidden="1">{#N/A,#N/A,FALSE,"Summation";#N/A,#N/A,FALSE,"BSA";#N/A,#N/A,FALSE,"Detail1";#N/A,#N/A,FALSE,"Detail2";#N/A,#N/A,FALSE,"Detail3";#N/A,#N/A,FALSE,"WFTE_Summary";#N/A,#N/A,FALSE,"Funded_WFTE";#N/A,#N/A,FALSE,"PYADJ96"}</definedName>
    <definedName name="PRACTICE" localSheetId="13" hidden="1">{#N/A,#N/A,FALSE,"Summation";#N/A,#N/A,FALSE,"BSA";#N/A,#N/A,FALSE,"Detail1";#N/A,#N/A,FALSE,"Detail2";#N/A,#N/A,FALSE,"Detail3";#N/A,#N/A,FALSE,"WFTE_Summary";#N/A,#N/A,FALSE,"Funded_WFTE";#N/A,#N/A,FALSE,"PYADJ96"}</definedName>
    <definedName name="PRACTICE" localSheetId="14" hidden="1">{#N/A,#N/A,FALSE,"Summation";#N/A,#N/A,FALSE,"BSA";#N/A,#N/A,FALSE,"Detail1";#N/A,#N/A,FALSE,"Detail2";#N/A,#N/A,FALSE,"Detail3";#N/A,#N/A,FALSE,"WFTE_Summary";#N/A,#N/A,FALSE,"Funded_WFTE";#N/A,#N/A,FALSE,"PYADJ96"}</definedName>
    <definedName name="PRACTICE" localSheetId="15" hidden="1">{#N/A,#N/A,FALSE,"Summation";#N/A,#N/A,FALSE,"BSA";#N/A,#N/A,FALSE,"Detail1";#N/A,#N/A,FALSE,"Detail2";#N/A,#N/A,FALSE,"Detail3";#N/A,#N/A,FALSE,"WFTE_Summary";#N/A,#N/A,FALSE,"Funded_WFTE";#N/A,#N/A,FALSE,"PYADJ96"}</definedName>
    <definedName name="PRACTICE" localSheetId="16" hidden="1">{#N/A,#N/A,FALSE,"Summation";#N/A,#N/A,FALSE,"BSA";#N/A,#N/A,FALSE,"Detail1";#N/A,#N/A,FALSE,"Detail2";#N/A,#N/A,FALSE,"Detail3";#N/A,#N/A,FALSE,"WFTE_Summary";#N/A,#N/A,FALSE,"Funded_WFTE";#N/A,#N/A,FALSE,"PYADJ96"}</definedName>
    <definedName name="PRACTICE" localSheetId="17" hidden="1">{#N/A,#N/A,FALSE,"Summation";#N/A,#N/A,FALSE,"BSA";#N/A,#N/A,FALSE,"Detail1";#N/A,#N/A,FALSE,"Detail2";#N/A,#N/A,FALSE,"Detail3";#N/A,#N/A,FALSE,"WFTE_Summary";#N/A,#N/A,FALSE,"Funded_WFTE";#N/A,#N/A,FALSE,"PYADJ96"}</definedName>
    <definedName name="PRACTICE" localSheetId="18" hidden="1">{#N/A,#N/A,FALSE,"Summation";#N/A,#N/A,FALSE,"BSA";#N/A,#N/A,FALSE,"Detail1";#N/A,#N/A,FALSE,"Detail2";#N/A,#N/A,FALSE,"Detail3";#N/A,#N/A,FALSE,"WFTE_Summary";#N/A,#N/A,FALSE,"Funded_WFTE";#N/A,#N/A,FALSE,"PYADJ96"}</definedName>
    <definedName name="PRACTICE" localSheetId="19" hidden="1">{#N/A,#N/A,FALSE,"Summation";#N/A,#N/A,FALSE,"BSA";#N/A,#N/A,FALSE,"Detail1";#N/A,#N/A,FALSE,"Detail2";#N/A,#N/A,FALSE,"Detail3";#N/A,#N/A,FALSE,"WFTE_Summary";#N/A,#N/A,FALSE,"Funded_WFTE";#N/A,#N/A,FALSE,"PYADJ96"}</definedName>
    <definedName name="PRACTICE" localSheetId="20" hidden="1">{#N/A,#N/A,FALSE,"Summation";#N/A,#N/A,FALSE,"BSA";#N/A,#N/A,FALSE,"Detail1";#N/A,#N/A,FALSE,"Detail2";#N/A,#N/A,FALSE,"Detail3";#N/A,#N/A,FALSE,"WFTE_Summary";#N/A,#N/A,FALSE,"Funded_WFTE";#N/A,#N/A,FALSE,"PYADJ96"}</definedName>
    <definedName name="PRACTICE" localSheetId="21" hidden="1">{#N/A,#N/A,FALSE,"Summation";#N/A,#N/A,FALSE,"BSA";#N/A,#N/A,FALSE,"Detail1";#N/A,#N/A,FALSE,"Detail2";#N/A,#N/A,FALSE,"Detail3";#N/A,#N/A,FALSE,"WFTE_Summary";#N/A,#N/A,FALSE,"Funded_WFTE";#N/A,#N/A,FALSE,"PYADJ96"}</definedName>
    <definedName name="PRACTICE" localSheetId="22" hidden="1">{#N/A,#N/A,FALSE,"Summation";#N/A,#N/A,FALSE,"BSA";#N/A,#N/A,FALSE,"Detail1";#N/A,#N/A,FALSE,"Detail2";#N/A,#N/A,FALSE,"Detail3";#N/A,#N/A,FALSE,"WFTE_Summary";#N/A,#N/A,FALSE,"Funded_WFTE";#N/A,#N/A,FALSE,"PYADJ96"}</definedName>
    <definedName name="PRACTICE" localSheetId="23" hidden="1">{#N/A,#N/A,FALSE,"Summation";#N/A,#N/A,FALSE,"BSA";#N/A,#N/A,FALSE,"Detail1";#N/A,#N/A,FALSE,"Detail2";#N/A,#N/A,FALSE,"Detail3";#N/A,#N/A,FALSE,"WFTE_Summary";#N/A,#N/A,FALSE,"Funded_WFTE";#N/A,#N/A,FALSE,"PYADJ96"}</definedName>
    <definedName name="PRACTICE" localSheetId="24" hidden="1">{#N/A,#N/A,FALSE,"Summation";#N/A,#N/A,FALSE,"BSA";#N/A,#N/A,FALSE,"Detail1";#N/A,#N/A,FALSE,"Detail2";#N/A,#N/A,FALSE,"Detail3";#N/A,#N/A,FALSE,"WFTE_Summary";#N/A,#N/A,FALSE,"Funded_WFTE";#N/A,#N/A,FALSE,"PYADJ96"}</definedName>
    <definedName name="PRACTICE" localSheetId="25" hidden="1">{#N/A,#N/A,FALSE,"Summation";#N/A,#N/A,FALSE,"BSA";#N/A,#N/A,FALSE,"Detail1";#N/A,#N/A,FALSE,"Detail2";#N/A,#N/A,FALSE,"Detail3";#N/A,#N/A,FALSE,"WFTE_Summary";#N/A,#N/A,FALSE,"Funded_WFTE";#N/A,#N/A,FALSE,"PYADJ96"}</definedName>
    <definedName name="PRACTICE" localSheetId="26" hidden="1">{#N/A,#N/A,FALSE,"Summation";#N/A,#N/A,FALSE,"BSA";#N/A,#N/A,FALSE,"Detail1";#N/A,#N/A,FALSE,"Detail2";#N/A,#N/A,FALSE,"Detail3";#N/A,#N/A,FALSE,"WFTE_Summary";#N/A,#N/A,FALSE,"Funded_WFTE";#N/A,#N/A,FALSE,"PYADJ96"}</definedName>
    <definedName name="PRACTICE" localSheetId="27" hidden="1">{#N/A,#N/A,FALSE,"Summation";#N/A,#N/A,FALSE,"BSA";#N/A,#N/A,FALSE,"Detail1";#N/A,#N/A,FALSE,"Detail2";#N/A,#N/A,FALSE,"Detail3";#N/A,#N/A,FALSE,"WFTE_Summary";#N/A,#N/A,FALSE,"Funded_WFTE";#N/A,#N/A,FALSE,"PYADJ96"}</definedName>
    <definedName name="PRACTICE" localSheetId="28" hidden="1">{#N/A,#N/A,FALSE,"Summation";#N/A,#N/A,FALSE,"BSA";#N/A,#N/A,FALSE,"Detail1";#N/A,#N/A,FALSE,"Detail2";#N/A,#N/A,FALSE,"Detail3";#N/A,#N/A,FALSE,"WFTE_Summary";#N/A,#N/A,FALSE,"Funded_WFTE";#N/A,#N/A,FALSE,"PYADJ96"}</definedName>
    <definedName name="PRACTICE" localSheetId="29" hidden="1">{#N/A,#N/A,FALSE,"Summation";#N/A,#N/A,FALSE,"BSA";#N/A,#N/A,FALSE,"Detail1";#N/A,#N/A,FALSE,"Detail2";#N/A,#N/A,FALSE,"Detail3";#N/A,#N/A,FALSE,"WFTE_Summary";#N/A,#N/A,FALSE,"Funded_WFTE";#N/A,#N/A,FALSE,"PYADJ96"}</definedName>
    <definedName name="PRACTICE" localSheetId="30" hidden="1">{#N/A,#N/A,FALSE,"Summation";#N/A,#N/A,FALSE,"BSA";#N/A,#N/A,FALSE,"Detail1";#N/A,#N/A,FALSE,"Detail2";#N/A,#N/A,FALSE,"Detail3";#N/A,#N/A,FALSE,"WFTE_Summary";#N/A,#N/A,FALSE,"Funded_WFTE";#N/A,#N/A,FALSE,"PYADJ96"}</definedName>
    <definedName name="PRACTICE" localSheetId="31" hidden="1">{#N/A,#N/A,FALSE,"Summation";#N/A,#N/A,FALSE,"BSA";#N/A,#N/A,FALSE,"Detail1";#N/A,#N/A,FALSE,"Detail2";#N/A,#N/A,FALSE,"Detail3";#N/A,#N/A,FALSE,"WFTE_Summary";#N/A,#N/A,FALSE,"Funded_WFTE";#N/A,#N/A,FALSE,"PYADJ96"}</definedName>
    <definedName name="PRACTICE" localSheetId="32" hidden="1">{#N/A,#N/A,FALSE,"Summation";#N/A,#N/A,FALSE,"BSA";#N/A,#N/A,FALSE,"Detail1";#N/A,#N/A,FALSE,"Detail2";#N/A,#N/A,FALSE,"Detail3";#N/A,#N/A,FALSE,"WFTE_Summary";#N/A,#N/A,FALSE,"Funded_WFTE";#N/A,#N/A,FALSE,"PYADJ96"}</definedName>
    <definedName name="PRACTICE" localSheetId="33" hidden="1">{#N/A,#N/A,FALSE,"Summation";#N/A,#N/A,FALSE,"BSA";#N/A,#N/A,FALSE,"Detail1";#N/A,#N/A,FALSE,"Detail2";#N/A,#N/A,FALSE,"Detail3";#N/A,#N/A,FALSE,"WFTE_Summary";#N/A,#N/A,FALSE,"Funded_WFTE";#N/A,#N/A,FALSE,"PYADJ96"}</definedName>
    <definedName name="PRACTICE" localSheetId="34" hidden="1">{#N/A,#N/A,FALSE,"Summation";#N/A,#N/A,FALSE,"BSA";#N/A,#N/A,FALSE,"Detail1";#N/A,#N/A,FALSE,"Detail2";#N/A,#N/A,FALSE,"Detail3";#N/A,#N/A,FALSE,"WFTE_Summary";#N/A,#N/A,FALSE,"Funded_WFTE";#N/A,#N/A,FALSE,"PYADJ96"}</definedName>
    <definedName name="PRACTICE" localSheetId="35" hidden="1">{#N/A,#N/A,FALSE,"Summation";#N/A,#N/A,FALSE,"BSA";#N/A,#N/A,FALSE,"Detail1";#N/A,#N/A,FALSE,"Detail2";#N/A,#N/A,FALSE,"Detail3";#N/A,#N/A,FALSE,"WFTE_Summary";#N/A,#N/A,FALSE,"Funded_WFTE";#N/A,#N/A,FALSE,"PYADJ96"}</definedName>
    <definedName name="PRACTICE" localSheetId="36" hidden="1">{#N/A,#N/A,FALSE,"Summation";#N/A,#N/A,FALSE,"BSA";#N/A,#N/A,FALSE,"Detail1";#N/A,#N/A,FALSE,"Detail2";#N/A,#N/A,FALSE,"Detail3";#N/A,#N/A,FALSE,"WFTE_Summary";#N/A,#N/A,FALSE,"Funded_WFTE";#N/A,#N/A,FALSE,"PYADJ96"}</definedName>
    <definedName name="PRACTICE" localSheetId="37" hidden="1">{#N/A,#N/A,FALSE,"Summation";#N/A,#N/A,FALSE,"BSA";#N/A,#N/A,FALSE,"Detail1";#N/A,#N/A,FALSE,"Detail2";#N/A,#N/A,FALSE,"Detail3";#N/A,#N/A,FALSE,"WFTE_Summary";#N/A,#N/A,FALSE,"Funded_WFTE";#N/A,#N/A,FALSE,"PYADJ96"}</definedName>
    <definedName name="PRACTICE" localSheetId="38" hidden="1">{#N/A,#N/A,FALSE,"Summation";#N/A,#N/A,FALSE,"BSA";#N/A,#N/A,FALSE,"Detail1";#N/A,#N/A,FALSE,"Detail2";#N/A,#N/A,FALSE,"Detail3";#N/A,#N/A,FALSE,"WFTE_Summary";#N/A,#N/A,FALSE,"Funded_WFTE";#N/A,#N/A,FALSE,"PYADJ96"}</definedName>
    <definedName name="PRACTICE" localSheetId="39" hidden="1">{#N/A,#N/A,FALSE,"Summation";#N/A,#N/A,FALSE,"BSA";#N/A,#N/A,FALSE,"Detail1";#N/A,#N/A,FALSE,"Detail2";#N/A,#N/A,FALSE,"Detail3";#N/A,#N/A,FALSE,"WFTE_Summary";#N/A,#N/A,FALSE,"Funded_WFTE";#N/A,#N/A,FALSE,"PYADJ96"}</definedName>
    <definedName name="PRACTICE" localSheetId="40" hidden="1">{#N/A,#N/A,FALSE,"Summation";#N/A,#N/A,FALSE,"BSA";#N/A,#N/A,FALSE,"Detail1";#N/A,#N/A,FALSE,"Detail2";#N/A,#N/A,FALSE,"Detail3";#N/A,#N/A,FALSE,"WFTE_Summary";#N/A,#N/A,FALSE,"Funded_WFTE";#N/A,#N/A,FALSE,"PYADJ96"}</definedName>
    <definedName name="PRACTICE" localSheetId="41" hidden="1">{#N/A,#N/A,FALSE,"Summation";#N/A,#N/A,FALSE,"BSA";#N/A,#N/A,FALSE,"Detail1";#N/A,#N/A,FALSE,"Detail2";#N/A,#N/A,FALSE,"Detail3";#N/A,#N/A,FALSE,"WFTE_Summary";#N/A,#N/A,FALSE,"Funded_WFTE";#N/A,#N/A,FALSE,"PYADJ96"}</definedName>
    <definedName name="PRACTICE" localSheetId="42" hidden="1">{#N/A,#N/A,FALSE,"Summation";#N/A,#N/A,FALSE,"BSA";#N/A,#N/A,FALSE,"Detail1";#N/A,#N/A,FALSE,"Detail2";#N/A,#N/A,FALSE,"Detail3";#N/A,#N/A,FALSE,"WFTE_Summary";#N/A,#N/A,FALSE,"Funded_WFTE";#N/A,#N/A,FALSE,"PYADJ96"}</definedName>
    <definedName name="PRACTICE" localSheetId="43" hidden="1">{#N/A,#N/A,FALSE,"Summation";#N/A,#N/A,FALSE,"BSA";#N/A,#N/A,FALSE,"Detail1";#N/A,#N/A,FALSE,"Detail2";#N/A,#N/A,FALSE,"Detail3";#N/A,#N/A,FALSE,"WFTE_Summary";#N/A,#N/A,FALSE,"Funded_WFTE";#N/A,#N/A,FALSE,"PYADJ96"}</definedName>
    <definedName name="PRACTICE" localSheetId="44" hidden="1">{#N/A,#N/A,FALSE,"Summation";#N/A,#N/A,FALSE,"BSA";#N/A,#N/A,FALSE,"Detail1";#N/A,#N/A,FALSE,"Detail2";#N/A,#N/A,FALSE,"Detail3";#N/A,#N/A,FALSE,"WFTE_Summary";#N/A,#N/A,FALSE,"Funded_WFTE";#N/A,#N/A,FALSE,"PYADJ96"}</definedName>
    <definedName name="PRACTICE" localSheetId="45" hidden="1">{#N/A,#N/A,FALSE,"Summation";#N/A,#N/A,FALSE,"BSA";#N/A,#N/A,FALSE,"Detail1";#N/A,#N/A,FALSE,"Detail2";#N/A,#N/A,FALSE,"Detail3";#N/A,#N/A,FALSE,"WFTE_Summary";#N/A,#N/A,FALSE,"Funded_WFTE";#N/A,#N/A,FALSE,"PYADJ96"}</definedName>
    <definedName name="PRACTICE" localSheetId="46" hidden="1">{#N/A,#N/A,FALSE,"Summation";#N/A,#N/A,FALSE,"BSA";#N/A,#N/A,FALSE,"Detail1";#N/A,#N/A,FALSE,"Detail2";#N/A,#N/A,FALSE,"Detail3";#N/A,#N/A,FALSE,"WFTE_Summary";#N/A,#N/A,FALSE,"Funded_WFTE";#N/A,#N/A,FALSE,"PYADJ96"}</definedName>
    <definedName name="PRACTICE" localSheetId="47" hidden="1">{#N/A,#N/A,FALSE,"Summation";#N/A,#N/A,FALSE,"BSA";#N/A,#N/A,FALSE,"Detail1";#N/A,#N/A,FALSE,"Detail2";#N/A,#N/A,FALSE,"Detail3";#N/A,#N/A,FALSE,"WFTE_Summary";#N/A,#N/A,FALSE,"Funded_WFTE";#N/A,#N/A,FALSE,"PYADJ96"}</definedName>
    <definedName name="PRACTICE" localSheetId="48" hidden="1">{#N/A,#N/A,FALSE,"Summation";#N/A,#N/A,FALSE,"BSA";#N/A,#N/A,FALSE,"Detail1";#N/A,#N/A,FALSE,"Detail2";#N/A,#N/A,FALSE,"Detail3";#N/A,#N/A,FALSE,"WFTE_Summary";#N/A,#N/A,FALSE,"Funded_WFTE";#N/A,#N/A,FALSE,"PYADJ96"}</definedName>
    <definedName name="PRACTICE" localSheetId="49" hidden="1">{#N/A,#N/A,FALSE,"Summation";#N/A,#N/A,FALSE,"BSA";#N/A,#N/A,FALSE,"Detail1";#N/A,#N/A,FALSE,"Detail2";#N/A,#N/A,FALSE,"Detail3";#N/A,#N/A,FALSE,"WFTE_Summary";#N/A,#N/A,FALSE,"Funded_WFTE";#N/A,#N/A,FALSE,"PYADJ96"}</definedName>
    <definedName name="PRACTICE" localSheetId="50" hidden="1">{#N/A,#N/A,FALSE,"Summation";#N/A,#N/A,FALSE,"BSA";#N/A,#N/A,FALSE,"Detail1";#N/A,#N/A,FALSE,"Detail2";#N/A,#N/A,FALSE,"Detail3";#N/A,#N/A,FALSE,"WFTE_Summary";#N/A,#N/A,FALSE,"Funded_WFTE";#N/A,#N/A,FALSE,"PYADJ96"}</definedName>
    <definedName name="PRACTICE" localSheetId="51" hidden="1">{#N/A,#N/A,FALSE,"Summation";#N/A,#N/A,FALSE,"BSA";#N/A,#N/A,FALSE,"Detail1";#N/A,#N/A,FALSE,"Detail2";#N/A,#N/A,FALSE,"Detail3";#N/A,#N/A,FALSE,"WFTE_Summary";#N/A,#N/A,FALSE,"Funded_WFTE";#N/A,#N/A,FALSE,"PYADJ96"}</definedName>
    <definedName name="PRACTICE" localSheetId="52" hidden="1">{#N/A,#N/A,FALSE,"Summation";#N/A,#N/A,FALSE,"BSA";#N/A,#N/A,FALSE,"Detail1";#N/A,#N/A,FALSE,"Detail2";#N/A,#N/A,FALSE,"Detail3";#N/A,#N/A,FALSE,"WFTE_Summary";#N/A,#N/A,FALSE,"Funded_WFTE";#N/A,#N/A,FALSE,"PYADJ96"}</definedName>
    <definedName name="PRACTICE" localSheetId="53" hidden="1">{#N/A,#N/A,FALSE,"Summation";#N/A,#N/A,FALSE,"BSA";#N/A,#N/A,FALSE,"Detail1";#N/A,#N/A,FALSE,"Detail2";#N/A,#N/A,FALSE,"Detail3";#N/A,#N/A,FALSE,"WFTE_Summary";#N/A,#N/A,FALSE,"Funded_WFTE";#N/A,#N/A,FALSE,"PYADJ96"}</definedName>
    <definedName name="PRACTICE" localSheetId="54" hidden="1">{#N/A,#N/A,FALSE,"Summation";#N/A,#N/A,FALSE,"BSA";#N/A,#N/A,FALSE,"Detail1";#N/A,#N/A,FALSE,"Detail2";#N/A,#N/A,FALSE,"Detail3";#N/A,#N/A,FALSE,"WFTE_Summary";#N/A,#N/A,FALSE,"Funded_WFTE";#N/A,#N/A,FALSE,"PYADJ96"}</definedName>
    <definedName name="PRACTICE" localSheetId="55" hidden="1">{#N/A,#N/A,FALSE,"Summation";#N/A,#N/A,FALSE,"BSA";#N/A,#N/A,FALSE,"Detail1";#N/A,#N/A,FALSE,"Detail2";#N/A,#N/A,FALSE,"Detail3";#N/A,#N/A,FALSE,"WFTE_Summary";#N/A,#N/A,FALSE,"Funded_WFTE";#N/A,#N/A,FALSE,"PYADJ96"}</definedName>
    <definedName name="PRACTICE" localSheetId="56" hidden="1">{#N/A,#N/A,FALSE,"Summation";#N/A,#N/A,FALSE,"BSA";#N/A,#N/A,FALSE,"Detail1";#N/A,#N/A,FALSE,"Detail2";#N/A,#N/A,FALSE,"Detail3";#N/A,#N/A,FALSE,"WFTE_Summary";#N/A,#N/A,FALSE,"Funded_WFTE";#N/A,#N/A,FALSE,"PYADJ96"}</definedName>
    <definedName name="PRACTICE" localSheetId="1" hidden="1">{#N/A,#N/A,FALSE,"Summation";#N/A,#N/A,FALSE,"BSA";#N/A,#N/A,FALSE,"Detail1";#N/A,#N/A,FALSE,"Detail2";#N/A,#N/A,FALSE,"Detail3";#N/A,#N/A,FALSE,"WFTE_Summary";#N/A,#N/A,FALSE,"Funded_WFTE";#N/A,#N/A,FALSE,"PYADJ96"}</definedName>
    <definedName name="PRACTICE" localSheetId="2" hidden="1">{#N/A,#N/A,FALSE,"Summation";#N/A,#N/A,FALSE,"BSA";#N/A,#N/A,FALSE,"Detail1";#N/A,#N/A,FALSE,"Detail2";#N/A,#N/A,FALSE,"Detail3";#N/A,#N/A,FALSE,"WFTE_Summary";#N/A,#N/A,FALSE,"Funded_WFTE";#N/A,#N/A,FALSE,"PYADJ96"}</definedName>
    <definedName name="PRACTICE" localSheetId="4" hidden="1">{#N/A,#N/A,FALSE,"Summation";#N/A,#N/A,FALSE,"BSA";#N/A,#N/A,FALSE,"Detail1";#N/A,#N/A,FALSE,"Detail2";#N/A,#N/A,FALSE,"Detail3";#N/A,#N/A,FALSE,"WFTE_Summary";#N/A,#N/A,FALSE,"Funded_WFTE";#N/A,#N/A,FALSE,"PYADJ96"}</definedName>
    <definedName name="PRACTICE" localSheetId="3" hidden="1">{#N/A,#N/A,FALSE,"Summation";#N/A,#N/A,FALSE,"BSA";#N/A,#N/A,FALSE,"Detail1";#N/A,#N/A,FALSE,"Detail2";#N/A,#N/A,FALSE,"Detail3";#N/A,#N/A,FALSE,"WFTE_Summary";#N/A,#N/A,FALSE,"Funded_WFTE";#N/A,#N/A,FALSE,"PYADJ96"}</definedName>
    <definedName name="PRACTICE" localSheetId="0" hidden="1">{#N/A,#N/A,FALSE,"Summation";#N/A,#N/A,FALSE,"BSA";#N/A,#N/A,FALSE,"Detail1";#N/A,#N/A,FALSE,"Detail2";#N/A,#N/A,FALSE,"Detail3";#N/A,#N/A,FALSE,"WFTE_Summary";#N/A,#N/A,FALSE,"Funded_WFTE";#N/A,#N/A,FALSE,"PYADJ96"}</definedName>
    <definedName name="PRACTICE" hidden="1">{#N/A,#N/A,FALSE,"Summation";#N/A,#N/A,FALSE,"BSA";#N/A,#N/A,FALSE,"Detail1";#N/A,#N/A,FALSE,"Detail2";#N/A,#N/A,FALSE,"Detail3";#N/A,#N/A,FALSE,"WFTE_Summary";#N/A,#N/A,FALSE,"Funded_WFTE";#N/A,#N/A,FALSE,"PYADJ96"}</definedName>
    <definedName name="PRACTOCE" localSheetId="6" hidden="1">{#N/A,#N/A,FALSE,"Summation";#N/A,#N/A,FALSE,"BSA";#N/A,#N/A,FALSE,"Detail1";#N/A,#N/A,FALSE,"Detail2";#N/A,#N/A,FALSE,"Detail3";#N/A,#N/A,FALSE,"WFTE_Summary";#N/A,#N/A,FALSE,"Funded_WFTE";#N/A,#N/A,FALSE,"PYADJ96"}</definedName>
    <definedName name="PRACTOCE" localSheetId="8" hidden="1">{#N/A,#N/A,FALSE,"Summation";#N/A,#N/A,FALSE,"BSA";#N/A,#N/A,FALSE,"Detail1";#N/A,#N/A,FALSE,"Detail2";#N/A,#N/A,FALSE,"Detail3";#N/A,#N/A,FALSE,"WFTE_Summary";#N/A,#N/A,FALSE,"Funded_WFTE";#N/A,#N/A,FALSE,"PYADJ96"}</definedName>
    <definedName name="PRACTOCE" localSheetId="7" hidden="1">{#N/A,#N/A,FALSE,"Summation";#N/A,#N/A,FALSE,"BSA";#N/A,#N/A,FALSE,"Detail1";#N/A,#N/A,FALSE,"Detail2";#N/A,#N/A,FALSE,"Detail3";#N/A,#N/A,FALSE,"WFTE_Summary";#N/A,#N/A,FALSE,"Funded_WFTE";#N/A,#N/A,FALSE,"PYADJ96"}</definedName>
    <definedName name="PRACTOCE" localSheetId="9" hidden="1">{#N/A,#N/A,FALSE,"Summation";#N/A,#N/A,FALSE,"BSA";#N/A,#N/A,FALSE,"Detail1";#N/A,#N/A,FALSE,"Detail2";#N/A,#N/A,FALSE,"Detail3";#N/A,#N/A,FALSE,"WFTE_Summary";#N/A,#N/A,FALSE,"Funded_WFTE";#N/A,#N/A,FALSE,"PYADJ96"}</definedName>
    <definedName name="PRACTOCE" localSheetId="10" hidden="1">{#N/A,#N/A,FALSE,"Summation";#N/A,#N/A,FALSE,"BSA";#N/A,#N/A,FALSE,"Detail1";#N/A,#N/A,FALSE,"Detail2";#N/A,#N/A,FALSE,"Detail3";#N/A,#N/A,FALSE,"WFTE_Summary";#N/A,#N/A,FALSE,"Funded_WFTE";#N/A,#N/A,FALSE,"PYADJ96"}</definedName>
    <definedName name="PRACTOCE" localSheetId="11" hidden="1">{#N/A,#N/A,FALSE,"Summation";#N/A,#N/A,FALSE,"BSA";#N/A,#N/A,FALSE,"Detail1";#N/A,#N/A,FALSE,"Detail2";#N/A,#N/A,FALSE,"Detail3";#N/A,#N/A,FALSE,"WFTE_Summary";#N/A,#N/A,FALSE,"Funded_WFTE";#N/A,#N/A,FALSE,"PYADJ96"}</definedName>
    <definedName name="PRACTOCE" localSheetId="12" hidden="1">{#N/A,#N/A,FALSE,"Summation";#N/A,#N/A,FALSE,"BSA";#N/A,#N/A,FALSE,"Detail1";#N/A,#N/A,FALSE,"Detail2";#N/A,#N/A,FALSE,"Detail3";#N/A,#N/A,FALSE,"WFTE_Summary";#N/A,#N/A,FALSE,"Funded_WFTE";#N/A,#N/A,FALSE,"PYADJ96"}</definedName>
    <definedName name="PRACTOCE" localSheetId="13" hidden="1">{#N/A,#N/A,FALSE,"Summation";#N/A,#N/A,FALSE,"BSA";#N/A,#N/A,FALSE,"Detail1";#N/A,#N/A,FALSE,"Detail2";#N/A,#N/A,FALSE,"Detail3";#N/A,#N/A,FALSE,"WFTE_Summary";#N/A,#N/A,FALSE,"Funded_WFTE";#N/A,#N/A,FALSE,"PYADJ96"}</definedName>
    <definedName name="PRACTOCE" localSheetId="14" hidden="1">{#N/A,#N/A,FALSE,"Summation";#N/A,#N/A,FALSE,"BSA";#N/A,#N/A,FALSE,"Detail1";#N/A,#N/A,FALSE,"Detail2";#N/A,#N/A,FALSE,"Detail3";#N/A,#N/A,FALSE,"WFTE_Summary";#N/A,#N/A,FALSE,"Funded_WFTE";#N/A,#N/A,FALSE,"PYADJ96"}</definedName>
    <definedName name="PRACTOCE" localSheetId="15" hidden="1">{#N/A,#N/A,FALSE,"Summation";#N/A,#N/A,FALSE,"BSA";#N/A,#N/A,FALSE,"Detail1";#N/A,#N/A,FALSE,"Detail2";#N/A,#N/A,FALSE,"Detail3";#N/A,#N/A,FALSE,"WFTE_Summary";#N/A,#N/A,FALSE,"Funded_WFTE";#N/A,#N/A,FALSE,"PYADJ96"}</definedName>
    <definedName name="PRACTOCE" localSheetId="16" hidden="1">{#N/A,#N/A,FALSE,"Summation";#N/A,#N/A,FALSE,"BSA";#N/A,#N/A,FALSE,"Detail1";#N/A,#N/A,FALSE,"Detail2";#N/A,#N/A,FALSE,"Detail3";#N/A,#N/A,FALSE,"WFTE_Summary";#N/A,#N/A,FALSE,"Funded_WFTE";#N/A,#N/A,FALSE,"PYADJ96"}</definedName>
    <definedName name="PRACTOCE" localSheetId="17" hidden="1">{#N/A,#N/A,FALSE,"Summation";#N/A,#N/A,FALSE,"BSA";#N/A,#N/A,FALSE,"Detail1";#N/A,#N/A,FALSE,"Detail2";#N/A,#N/A,FALSE,"Detail3";#N/A,#N/A,FALSE,"WFTE_Summary";#N/A,#N/A,FALSE,"Funded_WFTE";#N/A,#N/A,FALSE,"PYADJ96"}</definedName>
    <definedName name="PRACTOCE" localSheetId="18" hidden="1">{#N/A,#N/A,FALSE,"Summation";#N/A,#N/A,FALSE,"BSA";#N/A,#N/A,FALSE,"Detail1";#N/A,#N/A,FALSE,"Detail2";#N/A,#N/A,FALSE,"Detail3";#N/A,#N/A,FALSE,"WFTE_Summary";#N/A,#N/A,FALSE,"Funded_WFTE";#N/A,#N/A,FALSE,"PYADJ96"}</definedName>
    <definedName name="PRACTOCE" localSheetId="19" hidden="1">{#N/A,#N/A,FALSE,"Summation";#N/A,#N/A,FALSE,"BSA";#N/A,#N/A,FALSE,"Detail1";#N/A,#N/A,FALSE,"Detail2";#N/A,#N/A,FALSE,"Detail3";#N/A,#N/A,FALSE,"WFTE_Summary";#N/A,#N/A,FALSE,"Funded_WFTE";#N/A,#N/A,FALSE,"PYADJ96"}</definedName>
    <definedName name="PRACTOCE" localSheetId="20" hidden="1">{#N/A,#N/A,FALSE,"Summation";#N/A,#N/A,FALSE,"BSA";#N/A,#N/A,FALSE,"Detail1";#N/A,#N/A,FALSE,"Detail2";#N/A,#N/A,FALSE,"Detail3";#N/A,#N/A,FALSE,"WFTE_Summary";#N/A,#N/A,FALSE,"Funded_WFTE";#N/A,#N/A,FALSE,"PYADJ96"}</definedName>
    <definedName name="PRACTOCE" localSheetId="21" hidden="1">{#N/A,#N/A,FALSE,"Summation";#N/A,#N/A,FALSE,"BSA";#N/A,#N/A,FALSE,"Detail1";#N/A,#N/A,FALSE,"Detail2";#N/A,#N/A,FALSE,"Detail3";#N/A,#N/A,FALSE,"WFTE_Summary";#N/A,#N/A,FALSE,"Funded_WFTE";#N/A,#N/A,FALSE,"PYADJ96"}</definedName>
    <definedName name="PRACTOCE" localSheetId="22" hidden="1">{#N/A,#N/A,FALSE,"Summation";#N/A,#N/A,FALSE,"BSA";#N/A,#N/A,FALSE,"Detail1";#N/A,#N/A,FALSE,"Detail2";#N/A,#N/A,FALSE,"Detail3";#N/A,#N/A,FALSE,"WFTE_Summary";#N/A,#N/A,FALSE,"Funded_WFTE";#N/A,#N/A,FALSE,"PYADJ96"}</definedName>
    <definedName name="PRACTOCE" localSheetId="23" hidden="1">{#N/A,#N/A,FALSE,"Summation";#N/A,#N/A,FALSE,"BSA";#N/A,#N/A,FALSE,"Detail1";#N/A,#N/A,FALSE,"Detail2";#N/A,#N/A,FALSE,"Detail3";#N/A,#N/A,FALSE,"WFTE_Summary";#N/A,#N/A,FALSE,"Funded_WFTE";#N/A,#N/A,FALSE,"PYADJ96"}</definedName>
    <definedName name="PRACTOCE" localSheetId="24" hidden="1">{#N/A,#N/A,FALSE,"Summation";#N/A,#N/A,FALSE,"BSA";#N/A,#N/A,FALSE,"Detail1";#N/A,#N/A,FALSE,"Detail2";#N/A,#N/A,FALSE,"Detail3";#N/A,#N/A,FALSE,"WFTE_Summary";#N/A,#N/A,FALSE,"Funded_WFTE";#N/A,#N/A,FALSE,"PYADJ96"}</definedName>
    <definedName name="PRACTOCE" localSheetId="25" hidden="1">{#N/A,#N/A,FALSE,"Summation";#N/A,#N/A,FALSE,"BSA";#N/A,#N/A,FALSE,"Detail1";#N/A,#N/A,FALSE,"Detail2";#N/A,#N/A,FALSE,"Detail3";#N/A,#N/A,FALSE,"WFTE_Summary";#N/A,#N/A,FALSE,"Funded_WFTE";#N/A,#N/A,FALSE,"PYADJ96"}</definedName>
    <definedName name="PRACTOCE" localSheetId="26" hidden="1">{#N/A,#N/A,FALSE,"Summation";#N/A,#N/A,FALSE,"BSA";#N/A,#N/A,FALSE,"Detail1";#N/A,#N/A,FALSE,"Detail2";#N/A,#N/A,FALSE,"Detail3";#N/A,#N/A,FALSE,"WFTE_Summary";#N/A,#N/A,FALSE,"Funded_WFTE";#N/A,#N/A,FALSE,"PYADJ96"}</definedName>
    <definedName name="PRACTOCE" localSheetId="27" hidden="1">{#N/A,#N/A,FALSE,"Summation";#N/A,#N/A,FALSE,"BSA";#N/A,#N/A,FALSE,"Detail1";#N/A,#N/A,FALSE,"Detail2";#N/A,#N/A,FALSE,"Detail3";#N/A,#N/A,FALSE,"WFTE_Summary";#N/A,#N/A,FALSE,"Funded_WFTE";#N/A,#N/A,FALSE,"PYADJ96"}</definedName>
    <definedName name="PRACTOCE" localSheetId="28" hidden="1">{#N/A,#N/A,FALSE,"Summation";#N/A,#N/A,FALSE,"BSA";#N/A,#N/A,FALSE,"Detail1";#N/A,#N/A,FALSE,"Detail2";#N/A,#N/A,FALSE,"Detail3";#N/A,#N/A,FALSE,"WFTE_Summary";#N/A,#N/A,FALSE,"Funded_WFTE";#N/A,#N/A,FALSE,"PYADJ96"}</definedName>
    <definedName name="PRACTOCE" localSheetId="29" hidden="1">{#N/A,#N/A,FALSE,"Summation";#N/A,#N/A,FALSE,"BSA";#N/A,#N/A,FALSE,"Detail1";#N/A,#N/A,FALSE,"Detail2";#N/A,#N/A,FALSE,"Detail3";#N/A,#N/A,FALSE,"WFTE_Summary";#N/A,#N/A,FALSE,"Funded_WFTE";#N/A,#N/A,FALSE,"PYADJ96"}</definedName>
    <definedName name="PRACTOCE" localSheetId="30" hidden="1">{#N/A,#N/A,FALSE,"Summation";#N/A,#N/A,FALSE,"BSA";#N/A,#N/A,FALSE,"Detail1";#N/A,#N/A,FALSE,"Detail2";#N/A,#N/A,FALSE,"Detail3";#N/A,#N/A,FALSE,"WFTE_Summary";#N/A,#N/A,FALSE,"Funded_WFTE";#N/A,#N/A,FALSE,"PYADJ96"}</definedName>
    <definedName name="PRACTOCE" localSheetId="31" hidden="1">{#N/A,#N/A,FALSE,"Summation";#N/A,#N/A,FALSE,"BSA";#N/A,#N/A,FALSE,"Detail1";#N/A,#N/A,FALSE,"Detail2";#N/A,#N/A,FALSE,"Detail3";#N/A,#N/A,FALSE,"WFTE_Summary";#N/A,#N/A,FALSE,"Funded_WFTE";#N/A,#N/A,FALSE,"PYADJ96"}</definedName>
    <definedName name="PRACTOCE" localSheetId="32" hidden="1">{#N/A,#N/A,FALSE,"Summation";#N/A,#N/A,FALSE,"BSA";#N/A,#N/A,FALSE,"Detail1";#N/A,#N/A,FALSE,"Detail2";#N/A,#N/A,FALSE,"Detail3";#N/A,#N/A,FALSE,"WFTE_Summary";#N/A,#N/A,FALSE,"Funded_WFTE";#N/A,#N/A,FALSE,"PYADJ96"}</definedName>
    <definedName name="PRACTOCE" localSheetId="33" hidden="1">{#N/A,#N/A,FALSE,"Summation";#N/A,#N/A,FALSE,"BSA";#N/A,#N/A,FALSE,"Detail1";#N/A,#N/A,FALSE,"Detail2";#N/A,#N/A,FALSE,"Detail3";#N/A,#N/A,FALSE,"WFTE_Summary";#N/A,#N/A,FALSE,"Funded_WFTE";#N/A,#N/A,FALSE,"PYADJ96"}</definedName>
    <definedName name="PRACTOCE" localSheetId="34" hidden="1">{#N/A,#N/A,FALSE,"Summation";#N/A,#N/A,FALSE,"BSA";#N/A,#N/A,FALSE,"Detail1";#N/A,#N/A,FALSE,"Detail2";#N/A,#N/A,FALSE,"Detail3";#N/A,#N/A,FALSE,"WFTE_Summary";#N/A,#N/A,FALSE,"Funded_WFTE";#N/A,#N/A,FALSE,"PYADJ96"}</definedName>
    <definedName name="PRACTOCE" localSheetId="35" hidden="1">{#N/A,#N/A,FALSE,"Summation";#N/A,#N/A,FALSE,"BSA";#N/A,#N/A,FALSE,"Detail1";#N/A,#N/A,FALSE,"Detail2";#N/A,#N/A,FALSE,"Detail3";#N/A,#N/A,FALSE,"WFTE_Summary";#N/A,#N/A,FALSE,"Funded_WFTE";#N/A,#N/A,FALSE,"PYADJ96"}</definedName>
    <definedName name="PRACTOCE" localSheetId="36" hidden="1">{#N/A,#N/A,FALSE,"Summation";#N/A,#N/A,FALSE,"BSA";#N/A,#N/A,FALSE,"Detail1";#N/A,#N/A,FALSE,"Detail2";#N/A,#N/A,FALSE,"Detail3";#N/A,#N/A,FALSE,"WFTE_Summary";#N/A,#N/A,FALSE,"Funded_WFTE";#N/A,#N/A,FALSE,"PYADJ96"}</definedName>
    <definedName name="PRACTOCE" localSheetId="37" hidden="1">{#N/A,#N/A,FALSE,"Summation";#N/A,#N/A,FALSE,"BSA";#N/A,#N/A,FALSE,"Detail1";#N/A,#N/A,FALSE,"Detail2";#N/A,#N/A,FALSE,"Detail3";#N/A,#N/A,FALSE,"WFTE_Summary";#N/A,#N/A,FALSE,"Funded_WFTE";#N/A,#N/A,FALSE,"PYADJ96"}</definedName>
    <definedName name="PRACTOCE" localSheetId="38" hidden="1">{#N/A,#N/A,FALSE,"Summation";#N/A,#N/A,FALSE,"BSA";#N/A,#N/A,FALSE,"Detail1";#N/A,#N/A,FALSE,"Detail2";#N/A,#N/A,FALSE,"Detail3";#N/A,#N/A,FALSE,"WFTE_Summary";#N/A,#N/A,FALSE,"Funded_WFTE";#N/A,#N/A,FALSE,"PYADJ96"}</definedName>
    <definedName name="PRACTOCE" localSheetId="39" hidden="1">{#N/A,#N/A,FALSE,"Summation";#N/A,#N/A,FALSE,"BSA";#N/A,#N/A,FALSE,"Detail1";#N/A,#N/A,FALSE,"Detail2";#N/A,#N/A,FALSE,"Detail3";#N/A,#N/A,FALSE,"WFTE_Summary";#N/A,#N/A,FALSE,"Funded_WFTE";#N/A,#N/A,FALSE,"PYADJ96"}</definedName>
    <definedName name="PRACTOCE" localSheetId="40" hidden="1">{#N/A,#N/A,FALSE,"Summation";#N/A,#N/A,FALSE,"BSA";#N/A,#N/A,FALSE,"Detail1";#N/A,#N/A,FALSE,"Detail2";#N/A,#N/A,FALSE,"Detail3";#N/A,#N/A,FALSE,"WFTE_Summary";#N/A,#N/A,FALSE,"Funded_WFTE";#N/A,#N/A,FALSE,"PYADJ96"}</definedName>
    <definedName name="PRACTOCE" localSheetId="41" hidden="1">{#N/A,#N/A,FALSE,"Summation";#N/A,#N/A,FALSE,"BSA";#N/A,#N/A,FALSE,"Detail1";#N/A,#N/A,FALSE,"Detail2";#N/A,#N/A,FALSE,"Detail3";#N/A,#N/A,FALSE,"WFTE_Summary";#N/A,#N/A,FALSE,"Funded_WFTE";#N/A,#N/A,FALSE,"PYADJ96"}</definedName>
    <definedName name="PRACTOCE" localSheetId="42" hidden="1">{#N/A,#N/A,FALSE,"Summation";#N/A,#N/A,FALSE,"BSA";#N/A,#N/A,FALSE,"Detail1";#N/A,#N/A,FALSE,"Detail2";#N/A,#N/A,FALSE,"Detail3";#N/A,#N/A,FALSE,"WFTE_Summary";#N/A,#N/A,FALSE,"Funded_WFTE";#N/A,#N/A,FALSE,"PYADJ96"}</definedName>
    <definedName name="PRACTOCE" localSheetId="43" hidden="1">{#N/A,#N/A,FALSE,"Summation";#N/A,#N/A,FALSE,"BSA";#N/A,#N/A,FALSE,"Detail1";#N/A,#N/A,FALSE,"Detail2";#N/A,#N/A,FALSE,"Detail3";#N/A,#N/A,FALSE,"WFTE_Summary";#N/A,#N/A,FALSE,"Funded_WFTE";#N/A,#N/A,FALSE,"PYADJ96"}</definedName>
    <definedName name="PRACTOCE" localSheetId="44" hidden="1">{#N/A,#N/A,FALSE,"Summation";#N/A,#N/A,FALSE,"BSA";#N/A,#N/A,FALSE,"Detail1";#N/A,#N/A,FALSE,"Detail2";#N/A,#N/A,FALSE,"Detail3";#N/A,#N/A,FALSE,"WFTE_Summary";#N/A,#N/A,FALSE,"Funded_WFTE";#N/A,#N/A,FALSE,"PYADJ96"}</definedName>
    <definedName name="PRACTOCE" localSheetId="45" hidden="1">{#N/A,#N/A,FALSE,"Summation";#N/A,#N/A,FALSE,"BSA";#N/A,#N/A,FALSE,"Detail1";#N/A,#N/A,FALSE,"Detail2";#N/A,#N/A,FALSE,"Detail3";#N/A,#N/A,FALSE,"WFTE_Summary";#N/A,#N/A,FALSE,"Funded_WFTE";#N/A,#N/A,FALSE,"PYADJ96"}</definedName>
    <definedName name="PRACTOCE" localSheetId="46" hidden="1">{#N/A,#N/A,FALSE,"Summation";#N/A,#N/A,FALSE,"BSA";#N/A,#N/A,FALSE,"Detail1";#N/A,#N/A,FALSE,"Detail2";#N/A,#N/A,FALSE,"Detail3";#N/A,#N/A,FALSE,"WFTE_Summary";#N/A,#N/A,FALSE,"Funded_WFTE";#N/A,#N/A,FALSE,"PYADJ96"}</definedName>
    <definedName name="PRACTOCE" localSheetId="47" hidden="1">{#N/A,#N/A,FALSE,"Summation";#N/A,#N/A,FALSE,"BSA";#N/A,#N/A,FALSE,"Detail1";#N/A,#N/A,FALSE,"Detail2";#N/A,#N/A,FALSE,"Detail3";#N/A,#N/A,FALSE,"WFTE_Summary";#N/A,#N/A,FALSE,"Funded_WFTE";#N/A,#N/A,FALSE,"PYADJ96"}</definedName>
    <definedName name="PRACTOCE" localSheetId="48" hidden="1">{#N/A,#N/A,FALSE,"Summation";#N/A,#N/A,FALSE,"BSA";#N/A,#N/A,FALSE,"Detail1";#N/A,#N/A,FALSE,"Detail2";#N/A,#N/A,FALSE,"Detail3";#N/A,#N/A,FALSE,"WFTE_Summary";#N/A,#N/A,FALSE,"Funded_WFTE";#N/A,#N/A,FALSE,"PYADJ96"}</definedName>
    <definedName name="PRACTOCE" localSheetId="49" hidden="1">{#N/A,#N/A,FALSE,"Summation";#N/A,#N/A,FALSE,"BSA";#N/A,#N/A,FALSE,"Detail1";#N/A,#N/A,FALSE,"Detail2";#N/A,#N/A,FALSE,"Detail3";#N/A,#N/A,FALSE,"WFTE_Summary";#N/A,#N/A,FALSE,"Funded_WFTE";#N/A,#N/A,FALSE,"PYADJ96"}</definedName>
    <definedName name="PRACTOCE" localSheetId="50" hidden="1">{#N/A,#N/A,FALSE,"Summation";#N/A,#N/A,FALSE,"BSA";#N/A,#N/A,FALSE,"Detail1";#N/A,#N/A,FALSE,"Detail2";#N/A,#N/A,FALSE,"Detail3";#N/A,#N/A,FALSE,"WFTE_Summary";#N/A,#N/A,FALSE,"Funded_WFTE";#N/A,#N/A,FALSE,"PYADJ96"}</definedName>
    <definedName name="PRACTOCE" localSheetId="51" hidden="1">{#N/A,#N/A,FALSE,"Summation";#N/A,#N/A,FALSE,"BSA";#N/A,#N/A,FALSE,"Detail1";#N/A,#N/A,FALSE,"Detail2";#N/A,#N/A,FALSE,"Detail3";#N/A,#N/A,FALSE,"WFTE_Summary";#N/A,#N/A,FALSE,"Funded_WFTE";#N/A,#N/A,FALSE,"PYADJ96"}</definedName>
    <definedName name="PRACTOCE" localSheetId="52" hidden="1">{#N/A,#N/A,FALSE,"Summation";#N/A,#N/A,FALSE,"BSA";#N/A,#N/A,FALSE,"Detail1";#N/A,#N/A,FALSE,"Detail2";#N/A,#N/A,FALSE,"Detail3";#N/A,#N/A,FALSE,"WFTE_Summary";#N/A,#N/A,FALSE,"Funded_WFTE";#N/A,#N/A,FALSE,"PYADJ96"}</definedName>
    <definedName name="PRACTOCE" localSheetId="53" hidden="1">{#N/A,#N/A,FALSE,"Summation";#N/A,#N/A,FALSE,"BSA";#N/A,#N/A,FALSE,"Detail1";#N/A,#N/A,FALSE,"Detail2";#N/A,#N/A,FALSE,"Detail3";#N/A,#N/A,FALSE,"WFTE_Summary";#N/A,#N/A,FALSE,"Funded_WFTE";#N/A,#N/A,FALSE,"PYADJ96"}</definedName>
    <definedName name="PRACTOCE" localSheetId="54" hidden="1">{#N/A,#N/A,FALSE,"Summation";#N/A,#N/A,FALSE,"BSA";#N/A,#N/A,FALSE,"Detail1";#N/A,#N/A,FALSE,"Detail2";#N/A,#N/A,FALSE,"Detail3";#N/A,#N/A,FALSE,"WFTE_Summary";#N/A,#N/A,FALSE,"Funded_WFTE";#N/A,#N/A,FALSE,"PYADJ96"}</definedName>
    <definedName name="PRACTOCE" localSheetId="55" hidden="1">{#N/A,#N/A,FALSE,"Summation";#N/A,#N/A,FALSE,"BSA";#N/A,#N/A,FALSE,"Detail1";#N/A,#N/A,FALSE,"Detail2";#N/A,#N/A,FALSE,"Detail3";#N/A,#N/A,FALSE,"WFTE_Summary";#N/A,#N/A,FALSE,"Funded_WFTE";#N/A,#N/A,FALSE,"PYADJ96"}</definedName>
    <definedName name="PRACTOCE" localSheetId="56" hidden="1">{#N/A,#N/A,FALSE,"Summation";#N/A,#N/A,FALSE,"BSA";#N/A,#N/A,FALSE,"Detail1";#N/A,#N/A,FALSE,"Detail2";#N/A,#N/A,FALSE,"Detail3";#N/A,#N/A,FALSE,"WFTE_Summary";#N/A,#N/A,FALSE,"Funded_WFTE";#N/A,#N/A,FALSE,"PYADJ96"}</definedName>
    <definedName name="PRACTOCE" localSheetId="1" hidden="1">{#N/A,#N/A,FALSE,"Summation";#N/A,#N/A,FALSE,"BSA";#N/A,#N/A,FALSE,"Detail1";#N/A,#N/A,FALSE,"Detail2";#N/A,#N/A,FALSE,"Detail3";#N/A,#N/A,FALSE,"WFTE_Summary";#N/A,#N/A,FALSE,"Funded_WFTE";#N/A,#N/A,FALSE,"PYADJ96"}</definedName>
    <definedName name="PRACTOCE" localSheetId="2" hidden="1">{#N/A,#N/A,FALSE,"Summation";#N/A,#N/A,FALSE,"BSA";#N/A,#N/A,FALSE,"Detail1";#N/A,#N/A,FALSE,"Detail2";#N/A,#N/A,FALSE,"Detail3";#N/A,#N/A,FALSE,"WFTE_Summary";#N/A,#N/A,FALSE,"Funded_WFTE";#N/A,#N/A,FALSE,"PYADJ96"}</definedName>
    <definedName name="PRACTOCE" localSheetId="4" hidden="1">{#N/A,#N/A,FALSE,"Summation";#N/A,#N/A,FALSE,"BSA";#N/A,#N/A,FALSE,"Detail1";#N/A,#N/A,FALSE,"Detail2";#N/A,#N/A,FALSE,"Detail3";#N/A,#N/A,FALSE,"WFTE_Summary";#N/A,#N/A,FALSE,"Funded_WFTE";#N/A,#N/A,FALSE,"PYADJ96"}</definedName>
    <definedName name="PRACTOCE" localSheetId="3" hidden="1">{#N/A,#N/A,FALSE,"Summation";#N/A,#N/A,FALSE,"BSA";#N/A,#N/A,FALSE,"Detail1";#N/A,#N/A,FALSE,"Detail2";#N/A,#N/A,FALSE,"Detail3";#N/A,#N/A,FALSE,"WFTE_Summary";#N/A,#N/A,FALSE,"Funded_WFTE";#N/A,#N/A,FALSE,"PYADJ96"}</definedName>
    <definedName name="PRACTOCE" localSheetId="0" hidden="1">{#N/A,#N/A,FALSE,"Summation";#N/A,#N/A,FALSE,"BSA";#N/A,#N/A,FALSE,"Detail1";#N/A,#N/A,FALSE,"Detail2";#N/A,#N/A,FALSE,"Detail3";#N/A,#N/A,FALSE,"WFTE_Summary";#N/A,#N/A,FALSE,"Funded_WFTE";#N/A,#N/A,FALSE,"PYADJ96"}</definedName>
    <definedName name="PRACTOCE" hidden="1">{#N/A,#N/A,FALSE,"Summation";#N/A,#N/A,FALSE,"BSA";#N/A,#N/A,FALSE,"Detail1";#N/A,#N/A,FALSE,"Detail2";#N/A,#N/A,FALSE,"Detail3";#N/A,#N/A,FALSE,"WFTE_Summary";#N/A,#N/A,FALSE,"Funded_WFTE";#N/A,#N/A,FALSE,"PYADJ96"}</definedName>
    <definedName name="_xlnm.Print_Area" localSheetId="6">'0040'!$A$2:$J$146</definedName>
    <definedName name="_xlnm.Print_Area" localSheetId="8">'0100'!$A$2:$J$146</definedName>
    <definedName name="_xlnm.Print_Area" localSheetId="7">'0571'!$A$2:$J$146</definedName>
    <definedName name="_xlnm.Print_Area" localSheetId="9">'1461'!$A$2:$J$146</definedName>
    <definedName name="_xlnm.Print_Area" localSheetId="10">'1571'!$A$2:$J$146</definedName>
    <definedName name="_xlnm.Print_Area" localSheetId="11">'2521'!$A$2:$J$146</definedName>
    <definedName name="_xlnm.Print_Area" localSheetId="12">'2531'!$A$2:$J$146</definedName>
    <definedName name="_xlnm.Print_Area" localSheetId="13">'2791'!$A$2:$J$146</definedName>
    <definedName name="_xlnm.Print_Area" localSheetId="14">'2801'!$A$2:$J$146</definedName>
    <definedName name="_xlnm.Print_Area" localSheetId="15">'2911'!$A$2:$J$146</definedName>
    <definedName name="_xlnm.Print_Area" localSheetId="16">'2941'!$A$2:$J$146</definedName>
    <definedName name="_xlnm.Print_Area" localSheetId="17">'3083'!$A$2:$J$146</definedName>
    <definedName name="_xlnm.Print_Area" localSheetId="18">'3345'!$A$2:$J$146</definedName>
    <definedName name="_xlnm.Print_Area" localSheetId="19">'3362'!$A$2:$J$146</definedName>
    <definedName name="_xlnm.Print_Area" localSheetId="20">'3381'!$A$2:$J$146</definedName>
    <definedName name="_xlnm.Print_Area" localSheetId="21">'3382'!$A$2:$J$146</definedName>
    <definedName name="_xlnm.Print_Area" localSheetId="22">'3391'!$A$2:$J$146</definedName>
    <definedName name="_xlnm.Print_Area" localSheetId="23">'3394'!$A$2:$J$146</definedName>
    <definedName name="_xlnm.Print_Area" localSheetId="24">'3395'!$A$2:$J$146</definedName>
    <definedName name="_xlnm.Print_Area" localSheetId="25">'3396'!$A$2:$J$146</definedName>
    <definedName name="_xlnm.Print_Area" localSheetId="26">'3398'!$A$2:$J$146</definedName>
    <definedName name="_xlnm.Print_Area" localSheetId="27">'3400'!$A$2:$J$146</definedName>
    <definedName name="_xlnm.Print_Area" localSheetId="28">'3401'!$A$2:$J$146</definedName>
    <definedName name="_xlnm.Print_Area" localSheetId="29">'3413'!$A$2:$J$146</definedName>
    <definedName name="_xlnm.Print_Area" localSheetId="30">'3421'!$A$2:$J$146</definedName>
    <definedName name="_xlnm.Print_Area" localSheetId="31">'3431'!$A$2:$J$146</definedName>
    <definedName name="_xlnm.Print_Area" localSheetId="32">'3441'!$A$2:$J$146</definedName>
    <definedName name="_xlnm.Print_Area" localSheetId="33">'3924'!$A$2:$J$146</definedName>
    <definedName name="_xlnm.Print_Area" localSheetId="34">'3941'!$A$2:$J$146</definedName>
    <definedName name="_xlnm.Print_Area" localSheetId="35">'3961'!$A$2:$J$146</definedName>
    <definedName name="_xlnm.Print_Area" localSheetId="36">'3971'!$A$2:$J$146</definedName>
    <definedName name="_xlnm.Print_Area" localSheetId="37">'4001'!$A$2:$J$146</definedName>
    <definedName name="_xlnm.Print_Area" localSheetId="38">'4002'!$A$2:$J$146</definedName>
    <definedName name="_xlnm.Print_Area" localSheetId="39">'4012'!$A$2:$J$146</definedName>
    <definedName name="_xlnm.Print_Area" localSheetId="40">'4013'!$A$2:$J$146</definedName>
    <definedName name="_xlnm.Print_Area" localSheetId="41">'4020'!$A$2:$J$146</definedName>
    <definedName name="_xlnm.Print_Area" localSheetId="42">'4030'!$A$2:$J$146</definedName>
    <definedName name="_xlnm.Print_Area" localSheetId="43">'4031'!$A$2:$J$146</definedName>
    <definedName name="_xlnm.Print_Area" localSheetId="44">'4041'!$A$2:$J$146</definedName>
    <definedName name="_xlnm.Print_Area" localSheetId="45">'4050'!$A$2:$J$146</definedName>
    <definedName name="_xlnm.Print_Area" localSheetId="46">'4051'!$A$2:$J$146</definedName>
    <definedName name="_xlnm.Print_Area" localSheetId="47">'4061'!$A$2:$J$146</definedName>
    <definedName name="_xlnm.Print_Area" localSheetId="48">'4080'!$A$2:$J$146</definedName>
    <definedName name="_xlnm.Print_Area" localSheetId="49">'4081'!$A$2:$J$146</definedName>
    <definedName name="_xlnm.Print_Area" localSheetId="50">'4090'!$A$2:$J$146</definedName>
    <definedName name="_xlnm.Print_Area" localSheetId="51">'4091'!$A$2:$J$146</definedName>
    <definedName name="_xlnm.Print_Area" localSheetId="52">'4100'!$A$2:$J$146</definedName>
    <definedName name="_xlnm.Print_Area" localSheetId="53">'4102'!$A$2:$J$146</definedName>
    <definedName name="_xlnm.Print_Area" localSheetId="54">'4103'!$A$2:$J$146</definedName>
    <definedName name="_xlnm.Print_Area" localSheetId="55">'4111'!$A$2:$J$146</definedName>
    <definedName name="_xlnm.Print_Area" localSheetId="56">'4131'!$A$2:$J$146</definedName>
    <definedName name="_xlnm.Print_Area" localSheetId="4">Consolidated!$A$2:$I$160</definedName>
    <definedName name="_xlnm.Print_Area" localSheetId="0">'Net Payment'!$A$1:$G$536</definedName>
    <definedName name="_xlnm.Print_Titles" localSheetId="0">'Net Payment'!$1:$4</definedName>
    <definedName name="Program" localSheetId="8">'0100'!$A$10</definedName>
    <definedName name="Program" localSheetId="7">'0571'!$A$10</definedName>
    <definedName name="Program" localSheetId="9">'1461'!$A$10</definedName>
    <definedName name="Program" localSheetId="10">'1571'!$A$10</definedName>
    <definedName name="Program" localSheetId="11">'2521'!$A$10</definedName>
    <definedName name="Program" localSheetId="12">'2531'!$A$10</definedName>
    <definedName name="Program" localSheetId="13">'2791'!$A$10</definedName>
    <definedName name="Program" localSheetId="14">'2801'!$A$10</definedName>
    <definedName name="Program" localSheetId="15">'2911'!$A$10</definedName>
    <definedName name="Program" localSheetId="16">'2941'!$A$10</definedName>
    <definedName name="Program" localSheetId="17">'3083'!$A$10</definedName>
    <definedName name="Program" localSheetId="18">'3345'!$A$10</definedName>
    <definedName name="Program" localSheetId="19">'3362'!$A$10</definedName>
    <definedName name="Program" localSheetId="20">'3381'!$A$10</definedName>
    <definedName name="Program" localSheetId="21">'3382'!$A$10</definedName>
    <definedName name="Program" localSheetId="22">'3391'!$A$10</definedName>
    <definedName name="Program" localSheetId="23">'3394'!$A$10</definedName>
    <definedName name="Program" localSheetId="24">'3395'!$A$10</definedName>
    <definedName name="Program" localSheetId="25">'3396'!$A$10</definedName>
    <definedName name="Program" localSheetId="26">'3398'!$A$10</definedName>
    <definedName name="Program" localSheetId="27">'3400'!$A$10</definedName>
    <definedName name="Program" localSheetId="28">'3401'!$A$10</definedName>
    <definedName name="Program" localSheetId="29">'3413'!$A$10</definedName>
    <definedName name="Program" localSheetId="30">'3421'!$A$10</definedName>
    <definedName name="Program" localSheetId="31">'3431'!$A$10</definedName>
    <definedName name="Program" localSheetId="32">'3441'!$A$10</definedName>
    <definedName name="Program" localSheetId="33">'3924'!$A$10</definedName>
    <definedName name="Program" localSheetId="34">'3941'!$A$10</definedName>
    <definedName name="Program" localSheetId="35">'3961'!$A$10</definedName>
    <definedName name="Program" localSheetId="36">'3971'!$A$10</definedName>
    <definedName name="Program" localSheetId="37">'4001'!$A$10</definedName>
    <definedName name="Program" localSheetId="38">'4002'!$A$10</definedName>
    <definedName name="Program" localSheetId="39">'4012'!$A$10</definedName>
    <definedName name="Program" localSheetId="40">'4013'!$A$10</definedName>
    <definedName name="Program" localSheetId="41">'4020'!$A$10</definedName>
    <definedName name="Program" localSheetId="42">'4030'!$A$10</definedName>
    <definedName name="Program" localSheetId="43">'4031'!$A$10</definedName>
    <definedName name="Program" localSheetId="44">'4041'!$A$10</definedName>
    <definedName name="Program" localSheetId="45">'4050'!$A$10</definedName>
    <definedName name="Program" localSheetId="46">'4051'!$A$10</definedName>
    <definedName name="Program" localSheetId="47">'4061'!$A$10</definedName>
    <definedName name="Program" localSheetId="48">'4080'!$A$10</definedName>
    <definedName name="Program" localSheetId="49">'4081'!$A$10</definedName>
    <definedName name="Program" localSheetId="50">'4090'!$A$10</definedName>
    <definedName name="Program" localSheetId="51">'4091'!$A$10</definedName>
    <definedName name="Program" localSheetId="52">'4100'!$A$10</definedName>
    <definedName name="Program" localSheetId="53">'4102'!$A$10</definedName>
    <definedName name="Program" localSheetId="54">'4103'!$A$10</definedName>
    <definedName name="Program" localSheetId="55">'4111'!$A$10</definedName>
    <definedName name="Program" localSheetId="56">'4131'!$A$10</definedName>
    <definedName name="Program">'0040'!$A$10</definedName>
    <definedName name="Program______________________________Cost_Factor" localSheetId="8">'0100'!$G$10</definedName>
    <definedName name="Program______________________________Cost_Factor" localSheetId="7">'0571'!$G$10</definedName>
    <definedName name="Program______________________________Cost_Factor" localSheetId="9">'1461'!$G$10</definedName>
    <definedName name="Program______________________________Cost_Factor" localSheetId="10">'1571'!$G$10</definedName>
    <definedName name="Program______________________________Cost_Factor" localSheetId="11">'2521'!$G$10</definedName>
    <definedName name="Program______________________________Cost_Factor" localSheetId="12">'2531'!$G$10</definedName>
    <definedName name="Program______________________________Cost_Factor" localSheetId="13">'2791'!$G$10</definedName>
    <definedName name="Program______________________________Cost_Factor" localSheetId="14">'2801'!$G$10</definedName>
    <definedName name="Program______________________________Cost_Factor" localSheetId="15">'2911'!$G$10</definedName>
    <definedName name="Program______________________________Cost_Factor" localSheetId="16">'2941'!$G$10</definedName>
    <definedName name="Program______________________________Cost_Factor" localSheetId="17">'3083'!$G$10</definedName>
    <definedName name="Program______________________________Cost_Factor" localSheetId="18">'3345'!$G$10</definedName>
    <definedName name="Program______________________________Cost_Factor" localSheetId="19">'3362'!$G$10</definedName>
    <definedName name="Program______________________________Cost_Factor" localSheetId="20">'3381'!$G$10</definedName>
    <definedName name="Program______________________________Cost_Factor" localSheetId="21">'3382'!$G$10</definedName>
    <definedName name="Program______________________________Cost_Factor" localSheetId="22">'3391'!$G$10</definedName>
    <definedName name="Program______________________________Cost_Factor" localSheetId="23">'3394'!$G$10</definedName>
    <definedName name="Program______________________________Cost_Factor" localSheetId="24">'3395'!$G$10</definedName>
    <definedName name="Program______________________________Cost_Factor" localSheetId="25">'3396'!$G$10</definedName>
    <definedName name="Program______________________________Cost_Factor" localSheetId="26">'3398'!$G$10</definedName>
    <definedName name="Program______________________________Cost_Factor" localSheetId="27">'3400'!$G$10</definedName>
    <definedName name="Program______________________________Cost_Factor" localSheetId="28">'3401'!$G$10</definedName>
    <definedName name="Program______________________________Cost_Factor" localSheetId="29">'3413'!$G$10</definedName>
    <definedName name="Program______________________________Cost_Factor" localSheetId="30">'3421'!$G$10</definedName>
    <definedName name="Program______________________________Cost_Factor" localSheetId="31">'3431'!$G$10</definedName>
    <definedName name="Program______________________________Cost_Factor" localSheetId="32">'3441'!$G$10</definedName>
    <definedName name="Program______________________________Cost_Factor" localSheetId="33">'3924'!$G$10</definedName>
    <definedName name="Program______________________________Cost_Factor" localSheetId="34">'3941'!$G$10</definedName>
    <definedName name="Program______________________________Cost_Factor" localSheetId="35">'3961'!$G$10</definedName>
    <definedName name="Program______________________________Cost_Factor" localSheetId="36">'3971'!$G$10</definedName>
    <definedName name="Program______________________________Cost_Factor" localSheetId="37">'4001'!$G$10</definedName>
    <definedName name="Program______________________________Cost_Factor" localSheetId="38">'4002'!$G$10</definedName>
    <definedName name="Program______________________________Cost_Factor" localSheetId="39">'4012'!$G$10</definedName>
    <definedName name="Program______________________________Cost_Factor" localSheetId="40">'4013'!$G$10</definedName>
    <definedName name="Program______________________________Cost_Factor" localSheetId="41">'4020'!$G$10</definedName>
    <definedName name="Program______________________________Cost_Factor" localSheetId="42">'4030'!$G$10</definedName>
    <definedName name="Program______________________________Cost_Factor" localSheetId="43">'4031'!$G$10</definedName>
    <definedName name="Program______________________________Cost_Factor" localSheetId="44">'4041'!$G$10</definedName>
    <definedName name="Program______________________________Cost_Factor" localSheetId="45">'4050'!$G$10</definedName>
    <definedName name="Program______________________________Cost_Factor" localSheetId="46">'4051'!$G$10</definedName>
    <definedName name="Program______________________________Cost_Factor" localSheetId="47">'4061'!$G$10</definedName>
    <definedName name="Program______________________________Cost_Factor" localSheetId="48">'4080'!$G$10</definedName>
    <definedName name="Program______________________________Cost_Factor" localSheetId="49">'4081'!$G$10</definedName>
    <definedName name="Program______________________________Cost_Factor" localSheetId="50">'4090'!$G$10</definedName>
    <definedName name="Program______________________________Cost_Factor" localSheetId="51">'4091'!$G$10</definedName>
    <definedName name="Program______________________________Cost_Factor" localSheetId="52">'4100'!$G$10</definedName>
    <definedName name="Program______________________________Cost_Factor" localSheetId="53">'4102'!$G$10</definedName>
    <definedName name="Program______________________________Cost_Factor" localSheetId="54">'4103'!$G$10</definedName>
    <definedName name="Program______________________________Cost_Factor" localSheetId="55">'4111'!$G$10</definedName>
    <definedName name="Program______________________________Cost_Factor" localSheetId="56">'4131'!$G$10</definedName>
    <definedName name="Program______________________________Cost_Factor">'0040'!$G$10</definedName>
    <definedName name="Revenue_Estimate_Worksheet_for___________Charter_School" localSheetId="8">'0100'!$A$2</definedName>
    <definedName name="Revenue_Estimate_Worksheet_for___________Charter_School" localSheetId="7">'0571'!$A$2</definedName>
    <definedName name="Revenue_Estimate_Worksheet_for___________Charter_School" localSheetId="9">'1461'!$A$2</definedName>
    <definedName name="Revenue_Estimate_Worksheet_for___________Charter_School" localSheetId="10">'1571'!$A$2</definedName>
    <definedName name="Revenue_Estimate_Worksheet_for___________Charter_School" localSheetId="11">'2521'!$A$2</definedName>
    <definedName name="Revenue_Estimate_Worksheet_for___________Charter_School" localSheetId="12">'2531'!$A$2</definedName>
    <definedName name="Revenue_Estimate_Worksheet_for___________Charter_School" localSheetId="13">'2791'!$A$2</definedName>
    <definedName name="Revenue_Estimate_Worksheet_for___________Charter_School" localSheetId="14">'2801'!$A$2</definedName>
    <definedName name="Revenue_Estimate_Worksheet_for___________Charter_School" localSheetId="15">'2911'!$A$2</definedName>
    <definedName name="Revenue_Estimate_Worksheet_for___________Charter_School" localSheetId="16">'2941'!$A$2</definedName>
    <definedName name="Revenue_Estimate_Worksheet_for___________Charter_School" localSheetId="17">'3083'!$A$2</definedName>
    <definedName name="Revenue_Estimate_Worksheet_for___________Charter_School" localSheetId="18">'3345'!$A$2</definedName>
    <definedName name="Revenue_Estimate_Worksheet_for___________Charter_School" localSheetId="19">'3362'!$A$2</definedName>
    <definedName name="Revenue_Estimate_Worksheet_for___________Charter_School" localSheetId="20">'3381'!$A$2</definedName>
    <definedName name="Revenue_Estimate_Worksheet_for___________Charter_School" localSheetId="21">'3382'!$A$2</definedName>
    <definedName name="Revenue_Estimate_Worksheet_for___________Charter_School" localSheetId="22">'3391'!$A$2</definedName>
    <definedName name="Revenue_Estimate_Worksheet_for___________Charter_School" localSheetId="23">'3394'!$A$2</definedName>
    <definedName name="Revenue_Estimate_Worksheet_for___________Charter_School" localSheetId="24">'3395'!$A$2</definedName>
    <definedName name="Revenue_Estimate_Worksheet_for___________Charter_School" localSheetId="25">'3396'!$A$2</definedName>
    <definedName name="Revenue_Estimate_Worksheet_for___________Charter_School" localSheetId="26">'3398'!$A$2</definedName>
    <definedName name="Revenue_Estimate_Worksheet_for___________Charter_School" localSheetId="27">'3400'!$A$2</definedName>
    <definedName name="Revenue_Estimate_Worksheet_for___________Charter_School" localSheetId="28">'3401'!$A$2</definedName>
    <definedName name="Revenue_Estimate_Worksheet_for___________Charter_School" localSheetId="29">'3413'!$A$2</definedName>
    <definedName name="Revenue_Estimate_Worksheet_for___________Charter_School" localSheetId="30">'3421'!$A$2</definedName>
    <definedName name="Revenue_Estimate_Worksheet_for___________Charter_School" localSheetId="31">'3431'!$A$2</definedName>
    <definedName name="Revenue_Estimate_Worksheet_for___________Charter_School" localSheetId="32">'3441'!$A$2</definedName>
    <definedName name="Revenue_Estimate_Worksheet_for___________Charter_School" localSheetId="33">'3924'!$A$2</definedName>
    <definedName name="Revenue_Estimate_Worksheet_for___________Charter_School" localSheetId="34">'3941'!$A$2</definedName>
    <definedName name="Revenue_Estimate_Worksheet_for___________Charter_School" localSheetId="35">'3961'!$A$2</definedName>
    <definedName name="Revenue_Estimate_Worksheet_for___________Charter_School" localSheetId="36">'3971'!$A$2</definedName>
    <definedName name="Revenue_Estimate_Worksheet_for___________Charter_School" localSheetId="37">'4001'!$A$2</definedName>
    <definedName name="Revenue_Estimate_Worksheet_for___________Charter_School" localSheetId="38">'4002'!$A$2</definedName>
    <definedName name="Revenue_Estimate_Worksheet_for___________Charter_School" localSheetId="39">'4012'!$A$2</definedName>
    <definedName name="Revenue_Estimate_Worksheet_for___________Charter_School" localSheetId="40">'4013'!$A$2</definedName>
    <definedName name="Revenue_Estimate_Worksheet_for___________Charter_School" localSheetId="41">'4020'!$A$2</definedName>
    <definedName name="Revenue_Estimate_Worksheet_for___________Charter_School" localSheetId="42">'4030'!$A$2</definedName>
    <definedName name="Revenue_Estimate_Worksheet_for___________Charter_School" localSheetId="43">'4031'!$A$2</definedName>
    <definedName name="Revenue_Estimate_Worksheet_for___________Charter_School" localSheetId="44">'4041'!$A$2</definedName>
    <definedName name="Revenue_Estimate_Worksheet_for___________Charter_School" localSheetId="45">'4050'!$A$2</definedName>
    <definedName name="Revenue_Estimate_Worksheet_for___________Charter_School" localSheetId="46">'4051'!$A$2</definedName>
    <definedName name="Revenue_Estimate_Worksheet_for___________Charter_School" localSheetId="47">'4061'!$A$2</definedName>
    <definedName name="Revenue_Estimate_Worksheet_for___________Charter_School" localSheetId="48">'4080'!$A$2</definedName>
    <definedName name="Revenue_Estimate_Worksheet_for___________Charter_School" localSheetId="49">'4081'!$A$2</definedName>
    <definedName name="Revenue_Estimate_Worksheet_for___________Charter_School" localSheetId="50">'4090'!$A$2</definedName>
    <definedName name="Revenue_Estimate_Worksheet_for___________Charter_School" localSheetId="51">'4091'!$A$2</definedName>
    <definedName name="Revenue_Estimate_Worksheet_for___________Charter_School" localSheetId="52">'4100'!$A$2</definedName>
    <definedName name="Revenue_Estimate_Worksheet_for___________Charter_School" localSheetId="53">'4102'!$A$2</definedName>
    <definedName name="Revenue_Estimate_Worksheet_for___________Charter_School" localSheetId="54">'4103'!$A$2</definedName>
    <definedName name="Revenue_Estimate_Worksheet_for___________Charter_School" localSheetId="55">'4111'!$A$2</definedName>
    <definedName name="Revenue_Estimate_Worksheet_for___________Charter_School" localSheetId="56">'4131'!$A$2</definedName>
    <definedName name="Revenue_Estimate_Worksheet_for___________Charter_School">'0040'!$A$2</definedName>
    <definedName name="School_District" localSheetId="8">'0100'!$A$4</definedName>
    <definedName name="School_District" localSheetId="7">'0571'!$A$4</definedName>
    <definedName name="School_District" localSheetId="9">'1461'!$A$4</definedName>
    <definedName name="School_District" localSheetId="10">'1571'!$A$4</definedName>
    <definedName name="School_District" localSheetId="11">'2521'!$A$4</definedName>
    <definedName name="School_District" localSheetId="12">'2531'!$A$4</definedName>
    <definedName name="School_District" localSheetId="13">'2791'!$A$4</definedName>
    <definedName name="School_District" localSheetId="14">'2801'!$A$4</definedName>
    <definedName name="School_District" localSheetId="15">'2911'!$A$4</definedName>
    <definedName name="School_District" localSheetId="16">'2941'!$A$4</definedName>
    <definedName name="School_District" localSheetId="17">'3083'!$A$4</definedName>
    <definedName name="School_District" localSheetId="18">'3345'!$A$4</definedName>
    <definedName name="School_District" localSheetId="19">'3362'!$A$4</definedName>
    <definedName name="School_District" localSheetId="20">'3381'!$A$4</definedName>
    <definedName name="School_District" localSheetId="21">'3382'!$A$4</definedName>
    <definedName name="School_District" localSheetId="22">'3391'!$A$4</definedName>
    <definedName name="School_District" localSheetId="23">'3394'!$A$4</definedName>
    <definedName name="School_District" localSheetId="24">'3395'!$A$4</definedName>
    <definedName name="School_District" localSheetId="25">'3396'!$A$4</definedName>
    <definedName name="School_District" localSheetId="26">'3398'!$A$4</definedName>
    <definedName name="School_District" localSheetId="27">'3400'!$A$4</definedName>
    <definedName name="School_District" localSheetId="28">'3401'!$A$4</definedName>
    <definedName name="School_District" localSheetId="29">'3413'!$A$4</definedName>
    <definedName name="School_District" localSheetId="30">'3421'!$A$4</definedName>
    <definedName name="School_District" localSheetId="31">'3431'!$A$4</definedName>
    <definedName name="School_District" localSheetId="32">'3441'!$A$4</definedName>
    <definedName name="School_District" localSheetId="33">'3924'!$A$4</definedName>
    <definedName name="School_District" localSheetId="34">'3941'!$A$4</definedName>
    <definedName name="School_District" localSheetId="35">'3961'!$A$4</definedName>
    <definedName name="School_District" localSheetId="36">'3971'!$A$4</definedName>
    <definedName name="School_District" localSheetId="37">'4001'!$A$4</definedName>
    <definedName name="School_District" localSheetId="38">'4002'!$A$4</definedName>
    <definedName name="School_District" localSheetId="39">'4012'!$A$4</definedName>
    <definedName name="School_District" localSheetId="40">'4013'!$A$4</definedName>
    <definedName name="School_District" localSheetId="41">'4020'!$A$4</definedName>
    <definedName name="School_District" localSheetId="42">'4030'!$A$4</definedName>
    <definedName name="School_District" localSheetId="43">'4031'!$A$4</definedName>
    <definedName name="School_District" localSheetId="44">'4041'!$A$4</definedName>
    <definedName name="School_District" localSheetId="45">'4050'!$A$4</definedName>
    <definedName name="School_District" localSheetId="46">'4051'!$A$4</definedName>
    <definedName name="School_District" localSheetId="47">'4061'!$A$4</definedName>
    <definedName name="School_District" localSheetId="48">'4080'!$A$4</definedName>
    <definedName name="School_District" localSheetId="49">'4081'!$A$4</definedName>
    <definedName name="School_District" localSheetId="50">'4090'!$A$4</definedName>
    <definedName name="School_District" localSheetId="51">'4091'!$A$4</definedName>
    <definedName name="School_District" localSheetId="52">'4100'!$A$4</definedName>
    <definedName name="School_District" localSheetId="53">'4102'!$A$4</definedName>
    <definedName name="School_District" localSheetId="54">'4103'!$A$4</definedName>
    <definedName name="School_District" localSheetId="55">'4111'!$A$4</definedName>
    <definedName name="School_District" localSheetId="56">'4131'!$A$4</definedName>
    <definedName name="School_District">'0040'!$A$4</definedName>
    <definedName name="Total" localSheetId="8">'0100'!$A$93</definedName>
    <definedName name="Total" localSheetId="7">'0571'!$A$93</definedName>
    <definedName name="Total" localSheetId="9">'1461'!$A$93</definedName>
    <definedName name="Total" localSheetId="10">'1571'!$A$93</definedName>
    <definedName name="Total" localSheetId="11">'2521'!$A$93</definedName>
    <definedName name="Total" localSheetId="12">'2531'!$A$93</definedName>
    <definedName name="Total" localSheetId="13">'2791'!$A$93</definedName>
    <definedName name="Total" localSheetId="14">'2801'!$A$93</definedName>
    <definedName name="Total" localSheetId="15">'2911'!$A$93</definedName>
    <definedName name="Total" localSheetId="16">'2941'!$A$93</definedName>
    <definedName name="Total" localSheetId="17">'3083'!$A$93</definedName>
    <definedName name="Total" localSheetId="18">'3345'!$A$93</definedName>
    <definedName name="Total" localSheetId="19">'3362'!$A$93</definedName>
    <definedName name="Total" localSheetId="20">'3381'!$A$93</definedName>
    <definedName name="Total" localSheetId="21">'3382'!$A$93</definedName>
    <definedName name="Total" localSheetId="22">'3391'!$A$93</definedName>
    <definedName name="Total" localSheetId="23">'3394'!$A$93</definedName>
    <definedName name="Total" localSheetId="24">'3395'!$A$93</definedName>
    <definedName name="Total" localSheetId="25">'3396'!$A$93</definedName>
    <definedName name="Total" localSheetId="26">'3398'!$A$93</definedName>
    <definedName name="Total" localSheetId="27">'3400'!$A$93</definedName>
    <definedName name="Total" localSheetId="28">'3401'!$A$93</definedName>
    <definedName name="Total" localSheetId="29">'3413'!$A$93</definedName>
    <definedName name="Total" localSheetId="30">'3421'!$A$93</definedName>
    <definedName name="Total" localSheetId="31">'3431'!$A$93</definedName>
    <definedName name="Total" localSheetId="32">'3441'!$A$93</definedName>
    <definedName name="Total" localSheetId="33">'3924'!$A$93</definedName>
    <definedName name="Total" localSheetId="34">'3941'!$A$93</definedName>
    <definedName name="Total" localSheetId="35">'3961'!$A$93</definedName>
    <definedName name="Total" localSheetId="36">'3971'!$A$93</definedName>
    <definedName name="Total" localSheetId="37">'4001'!$A$93</definedName>
    <definedName name="Total" localSheetId="38">'4002'!$A$93</definedName>
    <definedName name="Total" localSheetId="39">'4012'!$A$93</definedName>
    <definedName name="Total" localSheetId="40">'4013'!$A$93</definedName>
    <definedName name="Total" localSheetId="41">'4020'!$A$93</definedName>
    <definedName name="Total" localSheetId="42">'4030'!$A$93</definedName>
    <definedName name="Total" localSheetId="43">'4031'!$A$93</definedName>
    <definedName name="Total" localSheetId="44">'4041'!$A$93</definedName>
    <definedName name="Total" localSheetId="45">'4050'!$A$93</definedName>
    <definedName name="Total" localSheetId="46">'4051'!$A$93</definedName>
    <definedName name="Total" localSheetId="47">'4061'!$A$93</definedName>
    <definedName name="Total" localSheetId="48">'4080'!$A$93</definedName>
    <definedName name="Total" localSheetId="49">'4081'!$A$93</definedName>
    <definedName name="Total" localSheetId="50">'4090'!$A$93</definedName>
    <definedName name="Total" localSheetId="51">'4091'!$A$93</definedName>
    <definedName name="Total" localSheetId="52">'4100'!$A$93</definedName>
    <definedName name="Total" localSheetId="53">'4102'!$A$93</definedName>
    <definedName name="Total" localSheetId="54">'4103'!$A$93</definedName>
    <definedName name="Total" localSheetId="55">'4111'!$A$93</definedName>
    <definedName name="Total" localSheetId="56">'4131'!$A$93</definedName>
    <definedName name="Total">'0040'!$A$93</definedName>
    <definedName name="Total_Class_Size_Reduction_Funds" localSheetId="8">'0100'!$E$93</definedName>
    <definedName name="Total_Class_Size_Reduction_Funds" localSheetId="7">'0571'!$E$93</definedName>
    <definedName name="Total_Class_Size_Reduction_Funds" localSheetId="9">'1461'!$E$93</definedName>
    <definedName name="Total_Class_Size_Reduction_Funds" localSheetId="10">'1571'!$E$93</definedName>
    <definedName name="Total_Class_Size_Reduction_Funds" localSheetId="11">'2521'!$E$93</definedName>
    <definedName name="Total_Class_Size_Reduction_Funds" localSheetId="12">'2531'!$E$93</definedName>
    <definedName name="Total_Class_Size_Reduction_Funds" localSheetId="13">'2791'!$E$93</definedName>
    <definedName name="Total_Class_Size_Reduction_Funds" localSheetId="14">'2801'!$E$93</definedName>
    <definedName name="Total_Class_Size_Reduction_Funds" localSheetId="15">'2911'!$E$93</definedName>
    <definedName name="Total_Class_Size_Reduction_Funds" localSheetId="16">'2941'!$E$93</definedName>
    <definedName name="Total_Class_Size_Reduction_Funds" localSheetId="17">'3083'!$E$93</definedName>
    <definedName name="Total_Class_Size_Reduction_Funds" localSheetId="18">'3345'!$E$93</definedName>
    <definedName name="Total_Class_Size_Reduction_Funds" localSheetId="19">'3362'!$E$93</definedName>
    <definedName name="Total_Class_Size_Reduction_Funds" localSheetId="20">'3381'!$E$93</definedName>
    <definedName name="Total_Class_Size_Reduction_Funds" localSheetId="21">'3382'!$E$93</definedName>
    <definedName name="Total_Class_Size_Reduction_Funds" localSheetId="22">'3391'!$E$93</definedName>
    <definedName name="Total_Class_Size_Reduction_Funds" localSheetId="23">'3394'!$E$93</definedName>
    <definedName name="Total_Class_Size_Reduction_Funds" localSheetId="24">'3395'!$E$93</definedName>
    <definedName name="Total_Class_Size_Reduction_Funds" localSheetId="25">'3396'!$E$93</definedName>
    <definedName name="Total_Class_Size_Reduction_Funds" localSheetId="26">'3398'!$E$93</definedName>
    <definedName name="Total_Class_Size_Reduction_Funds" localSheetId="27">'3400'!$E$93</definedName>
    <definedName name="Total_Class_Size_Reduction_Funds" localSheetId="28">'3401'!$E$93</definedName>
    <definedName name="Total_Class_Size_Reduction_Funds" localSheetId="29">'3413'!$E$93</definedName>
    <definedName name="Total_Class_Size_Reduction_Funds" localSheetId="30">'3421'!$E$93</definedName>
    <definedName name="Total_Class_Size_Reduction_Funds" localSheetId="31">'3431'!$E$93</definedName>
    <definedName name="Total_Class_Size_Reduction_Funds" localSheetId="32">'3441'!$E$93</definedName>
    <definedName name="Total_Class_Size_Reduction_Funds" localSheetId="33">'3924'!$E$93</definedName>
    <definedName name="Total_Class_Size_Reduction_Funds" localSheetId="34">'3941'!$E$93</definedName>
    <definedName name="Total_Class_Size_Reduction_Funds" localSheetId="35">'3961'!$E$93</definedName>
    <definedName name="Total_Class_Size_Reduction_Funds" localSheetId="36">'3971'!$E$93</definedName>
    <definedName name="Total_Class_Size_Reduction_Funds" localSheetId="37">'4001'!$E$93</definedName>
    <definedName name="Total_Class_Size_Reduction_Funds" localSheetId="38">'4002'!$E$93</definedName>
    <definedName name="Total_Class_Size_Reduction_Funds" localSheetId="39">'4012'!$E$93</definedName>
    <definedName name="Total_Class_Size_Reduction_Funds" localSheetId="40">'4013'!$E$93</definedName>
    <definedName name="Total_Class_Size_Reduction_Funds" localSheetId="41">'4020'!$E$93</definedName>
    <definedName name="Total_Class_Size_Reduction_Funds" localSheetId="42">'4030'!$E$93</definedName>
    <definedName name="Total_Class_Size_Reduction_Funds" localSheetId="43">'4031'!$E$93</definedName>
    <definedName name="Total_Class_Size_Reduction_Funds" localSheetId="44">'4041'!$E$93</definedName>
    <definedName name="Total_Class_Size_Reduction_Funds" localSheetId="45">'4050'!$E$93</definedName>
    <definedName name="Total_Class_Size_Reduction_Funds" localSheetId="46">'4051'!$E$93</definedName>
    <definedName name="Total_Class_Size_Reduction_Funds" localSheetId="47">'4061'!$E$93</definedName>
    <definedName name="Total_Class_Size_Reduction_Funds" localSheetId="48">'4080'!$E$93</definedName>
    <definedName name="Total_Class_Size_Reduction_Funds" localSheetId="49">'4081'!$E$93</definedName>
    <definedName name="Total_Class_Size_Reduction_Funds" localSheetId="50">'4090'!$E$93</definedName>
    <definedName name="Total_Class_Size_Reduction_Funds" localSheetId="51">'4091'!$E$93</definedName>
    <definedName name="Total_Class_Size_Reduction_Funds" localSheetId="52">'4100'!$E$93</definedName>
    <definedName name="Total_Class_Size_Reduction_Funds" localSheetId="53">'4102'!$E$93</definedName>
    <definedName name="Total_Class_Size_Reduction_Funds" localSheetId="54">'4103'!$E$93</definedName>
    <definedName name="Total_Class_Size_Reduction_Funds" localSheetId="55">'4111'!$E$93</definedName>
    <definedName name="Total_Class_Size_Reduction_Funds" localSheetId="56">'4131'!$E$93</definedName>
    <definedName name="Total_Class_Size_Reduction_Funds">'0040'!$E$93</definedName>
    <definedName name="Total_from_ESE_Guarantee" localSheetId="8">'0100'!#REF!</definedName>
    <definedName name="Total_from_ESE_Guarantee" localSheetId="7">'0571'!#REF!</definedName>
    <definedName name="Total_from_ESE_Guarantee" localSheetId="9">'1461'!#REF!</definedName>
    <definedName name="Total_from_ESE_Guarantee" localSheetId="10">'1571'!#REF!</definedName>
    <definedName name="Total_from_ESE_Guarantee" localSheetId="11">'2521'!#REF!</definedName>
    <definedName name="Total_from_ESE_Guarantee" localSheetId="12">'2531'!#REF!</definedName>
    <definedName name="Total_from_ESE_Guarantee" localSheetId="13">'2791'!#REF!</definedName>
    <definedName name="Total_from_ESE_Guarantee" localSheetId="14">'2801'!#REF!</definedName>
    <definedName name="Total_from_ESE_Guarantee" localSheetId="15">'2911'!#REF!</definedName>
    <definedName name="Total_from_ESE_Guarantee" localSheetId="16">'2941'!#REF!</definedName>
    <definedName name="Total_from_ESE_Guarantee" localSheetId="17">'3083'!#REF!</definedName>
    <definedName name="Total_from_ESE_Guarantee" localSheetId="18">'3345'!#REF!</definedName>
    <definedName name="Total_from_ESE_Guarantee" localSheetId="19">'3362'!#REF!</definedName>
    <definedName name="Total_from_ESE_Guarantee" localSheetId="20">'3381'!#REF!</definedName>
    <definedName name="Total_from_ESE_Guarantee" localSheetId="21">'3382'!#REF!</definedName>
    <definedName name="Total_from_ESE_Guarantee" localSheetId="22">'3391'!#REF!</definedName>
    <definedName name="Total_from_ESE_Guarantee" localSheetId="23">'3394'!#REF!</definedName>
    <definedName name="Total_from_ESE_Guarantee" localSheetId="24">'3395'!#REF!</definedName>
    <definedName name="Total_from_ESE_Guarantee" localSheetId="25">'3396'!#REF!</definedName>
    <definedName name="Total_from_ESE_Guarantee" localSheetId="26">'3398'!#REF!</definedName>
    <definedName name="Total_from_ESE_Guarantee" localSheetId="27">'3400'!#REF!</definedName>
    <definedName name="Total_from_ESE_Guarantee" localSheetId="28">'3401'!#REF!</definedName>
    <definedName name="Total_from_ESE_Guarantee" localSheetId="29">'3413'!#REF!</definedName>
    <definedName name="Total_from_ESE_Guarantee" localSheetId="30">'3421'!#REF!</definedName>
    <definedName name="Total_from_ESE_Guarantee" localSheetId="31">'3431'!#REF!</definedName>
    <definedName name="Total_from_ESE_Guarantee" localSheetId="32">'3441'!#REF!</definedName>
    <definedName name="Total_from_ESE_Guarantee" localSheetId="33">'3924'!#REF!</definedName>
    <definedName name="Total_from_ESE_Guarantee" localSheetId="34">'3941'!#REF!</definedName>
    <definedName name="Total_from_ESE_Guarantee" localSheetId="35">'3961'!#REF!</definedName>
    <definedName name="Total_from_ESE_Guarantee" localSheetId="36">'3971'!#REF!</definedName>
    <definedName name="Total_from_ESE_Guarantee" localSheetId="37">'4001'!#REF!</definedName>
    <definedName name="Total_from_ESE_Guarantee" localSheetId="38">'4002'!#REF!</definedName>
    <definedName name="Total_from_ESE_Guarantee" localSheetId="39">'4012'!#REF!</definedName>
    <definedName name="Total_from_ESE_Guarantee" localSheetId="40">'4013'!#REF!</definedName>
    <definedName name="Total_from_ESE_Guarantee" localSheetId="41">'4020'!#REF!</definedName>
    <definedName name="Total_from_ESE_Guarantee" localSheetId="42">'4030'!#REF!</definedName>
    <definedName name="Total_from_ESE_Guarantee" localSheetId="43">'4031'!#REF!</definedName>
    <definedName name="Total_from_ESE_Guarantee" localSheetId="44">'4041'!#REF!</definedName>
    <definedName name="Total_from_ESE_Guarantee" localSheetId="45">'4050'!#REF!</definedName>
    <definedName name="Total_from_ESE_Guarantee" localSheetId="46">'4051'!#REF!</definedName>
    <definedName name="Total_from_ESE_Guarantee" localSheetId="47">'4061'!#REF!</definedName>
    <definedName name="Total_from_ESE_Guarantee" localSheetId="48">'4080'!#REF!</definedName>
    <definedName name="Total_from_ESE_Guarantee" localSheetId="49">'4081'!#REF!</definedName>
    <definedName name="Total_from_ESE_Guarantee" localSheetId="50">'4090'!#REF!</definedName>
    <definedName name="Total_from_ESE_Guarantee" localSheetId="51">'4091'!#REF!</definedName>
    <definedName name="Total_from_ESE_Guarantee" localSheetId="52">'4100'!#REF!</definedName>
    <definedName name="Total_from_ESE_Guarantee" localSheetId="53">'4102'!#REF!</definedName>
    <definedName name="Total_from_ESE_Guarantee" localSheetId="54">'4103'!#REF!</definedName>
    <definedName name="Total_from_ESE_Guarantee" localSheetId="55">'4111'!#REF!</definedName>
    <definedName name="Total_from_ESE_Guarantee" localSheetId="56">'4131'!#REF!</definedName>
    <definedName name="Total_FTE_with_ESE_Services" localSheetId="8">'0100'!#REF!</definedName>
    <definedName name="Total_FTE_with_ESE_Services" localSheetId="7">'0571'!#REF!</definedName>
    <definedName name="Total_FTE_with_ESE_Services" localSheetId="9">'1461'!#REF!</definedName>
    <definedName name="Total_FTE_with_ESE_Services" localSheetId="10">'1571'!#REF!</definedName>
    <definedName name="Total_FTE_with_ESE_Services" localSheetId="11">'2521'!#REF!</definedName>
    <definedName name="Total_FTE_with_ESE_Services" localSheetId="12">'2531'!#REF!</definedName>
    <definedName name="Total_FTE_with_ESE_Services" localSheetId="13">'2791'!#REF!</definedName>
    <definedName name="Total_FTE_with_ESE_Services" localSheetId="14">'2801'!#REF!</definedName>
    <definedName name="Total_FTE_with_ESE_Services" localSheetId="15">'2911'!#REF!</definedName>
    <definedName name="Total_FTE_with_ESE_Services" localSheetId="16">'2941'!#REF!</definedName>
    <definedName name="Total_FTE_with_ESE_Services" localSheetId="17">'3083'!#REF!</definedName>
    <definedName name="Total_FTE_with_ESE_Services" localSheetId="18">'3345'!#REF!</definedName>
    <definedName name="Total_FTE_with_ESE_Services" localSheetId="19">'3362'!#REF!</definedName>
    <definedName name="Total_FTE_with_ESE_Services" localSheetId="20">'3381'!#REF!</definedName>
    <definedName name="Total_FTE_with_ESE_Services" localSheetId="21">'3382'!#REF!</definedName>
    <definedName name="Total_FTE_with_ESE_Services" localSheetId="22">'3391'!#REF!</definedName>
    <definedName name="Total_FTE_with_ESE_Services" localSheetId="23">'3394'!#REF!</definedName>
    <definedName name="Total_FTE_with_ESE_Services" localSheetId="24">'3395'!#REF!</definedName>
    <definedName name="Total_FTE_with_ESE_Services" localSheetId="25">'3396'!#REF!</definedName>
    <definedName name="Total_FTE_with_ESE_Services" localSheetId="26">'3398'!#REF!</definedName>
    <definedName name="Total_FTE_with_ESE_Services" localSheetId="27">'3400'!#REF!</definedName>
    <definedName name="Total_FTE_with_ESE_Services" localSheetId="28">'3401'!#REF!</definedName>
    <definedName name="Total_FTE_with_ESE_Services" localSheetId="29">'3413'!#REF!</definedName>
    <definedName name="Total_FTE_with_ESE_Services" localSheetId="30">'3421'!#REF!</definedName>
    <definedName name="Total_FTE_with_ESE_Services" localSheetId="31">'3431'!#REF!</definedName>
    <definedName name="Total_FTE_with_ESE_Services" localSheetId="32">'3441'!#REF!</definedName>
    <definedName name="Total_FTE_with_ESE_Services" localSheetId="33">'3924'!#REF!</definedName>
    <definedName name="Total_FTE_with_ESE_Services" localSheetId="34">'3941'!#REF!</definedName>
    <definedName name="Total_FTE_with_ESE_Services" localSheetId="35">'3961'!#REF!</definedName>
    <definedName name="Total_FTE_with_ESE_Services" localSheetId="36">'3971'!#REF!</definedName>
    <definedName name="Total_FTE_with_ESE_Services" localSheetId="37">'4001'!#REF!</definedName>
    <definedName name="Total_FTE_with_ESE_Services" localSheetId="38">'4002'!#REF!</definedName>
    <definedName name="Total_FTE_with_ESE_Services" localSheetId="39">'4012'!#REF!</definedName>
    <definedName name="Total_FTE_with_ESE_Services" localSheetId="40">'4013'!#REF!</definedName>
    <definedName name="Total_FTE_with_ESE_Services" localSheetId="41">'4020'!#REF!</definedName>
    <definedName name="Total_FTE_with_ESE_Services" localSheetId="42">'4030'!#REF!</definedName>
    <definedName name="Total_FTE_with_ESE_Services" localSheetId="43">'4031'!#REF!</definedName>
    <definedName name="Total_FTE_with_ESE_Services" localSheetId="44">'4041'!#REF!</definedName>
    <definedName name="Total_FTE_with_ESE_Services" localSheetId="45">'4050'!#REF!</definedName>
    <definedName name="Total_FTE_with_ESE_Services" localSheetId="46">'4051'!#REF!</definedName>
    <definedName name="Total_FTE_with_ESE_Services" localSheetId="47">'4061'!#REF!</definedName>
    <definedName name="Total_FTE_with_ESE_Services" localSheetId="48">'4080'!#REF!</definedName>
    <definedName name="Total_FTE_with_ESE_Services" localSheetId="49">'4081'!#REF!</definedName>
    <definedName name="Total_FTE_with_ESE_Services" localSheetId="50">'4090'!#REF!</definedName>
    <definedName name="Total_FTE_with_ESE_Services" localSheetId="51">'4091'!#REF!</definedName>
    <definedName name="Total_FTE_with_ESE_Services" localSheetId="52">'4100'!#REF!</definedName>
    <definedName name="Total_FTE_with_ESE_Services" localSheetId="53">'4102'!#REF!</definedName>
    <definedName name="Total_FTE_with_ESE_Services" localSheetId="54">'4103'!#REF!</definedName>
    <definedName name="Total_FTE_with_ESE_Services" localSheetId="55">'4111'!#REF!</definedName>
    <definedName name="Total_FTE_with_ESE_Services" localSheetId="56">'4131'!#REF!</definedName>
    <definedName name="Totals" localSheetId="8">'0100'!$A$28</definedName>
    <definedName name="Totals" localSheetId="7">'0571'!$A$28</definedName>
    <definedName name="Totals" localSheetId="9">'1461'!$A$28</definedName>
    <definedName name="Totals" localSheetId="10">'1571'!$A$28</definedName>
    <definedName name="Totals" localSheetId="11">'2521'!$A$28</definedName>
    <definedName name="Totals" localSheetId="12">'2531'!$A$28</definedName>
    <definedName name="Totals" localSheetId="13">'2791'!$A$28</definedName>
    <definedName name="Totals" localSheetId="14">'2801'!$A$28</definedName>
    <definedName name="Totals" localSheetId="15">'2911'!$A$28</definedName>
    <definedName name="Totals" localSheetId="16">'2941'!$A$28</definedName>
    <definedName name="Totals" localSheetId="17">'3083'!$A$28</definedName>
    <definedName name="Totals" localSheetId="18">'3345'!$A$28</definedName>
    <definedName name="Totals" localSheetId="19">'3362'!$A$28</definedName>
    <definedName name="Totals" localSheetId="20">'3381'!$A$28</definedName>
    <definedName name="Totals" localSheetId="21">'3382'!$A$28</definedName>
    <definedName name="Totals" localSheetId="22">'3391'!$A$28</definedName>
    <definedName name="Totals" localSheetId="23">'3394'!$A$28</definedName>
    <definedName name="Totals" localSheetId="24">'3395'!$A$28</definedName>
    <definedName name="Totals" localSheetId="25">'3396'!$A$28</definedName>
    <definedName name="Totals" localSheetId="26">'3398'!$A$28</definedName>
    <definedName name="Totals" localSheetId="27">'3400'!$A$28</definedName>
    <definedName name="Totals" localSheetId="28">'3401'!$A$28</definedName>
    <definedName name="Totals" localSheetId="29">'3413'!$A$28</definedName>
    <definedName name="Totals" localSheetId="30">'3421'!$A$28</definedName>
    <definedName name="Totals" localSheetId="31">'3431'!$A$28</definedName>
    <definedName name="Totals" localSheetId="32">'3441'!$A$28</definedName>
    <definedName name="Totals" localSheetId="33">'3924'!$A$28</definedName>
    <definedName name="Totals" localSheetId="34">'3941'!$A$28</definedName>
    <definedName name="Totals" localSheetId="35">'3961'!$A$28</definedName>
    <definedName name="Totals" localSheetId="36">'3971'!$A$28</definedName>
    <definedName name="Totals" localSheetId="37">'4001'!$A$28</definedName>
    <definedName name="Totals" localSheetId="38">'4002'!$A$28</definedName>
    <definedName name="Totals" localSheetId="39">'4012'!$A$28</definedName>
    <definedName name="Totals" localSheetId="40">'4013'!$A$28</definedName>
    <definedName name="Totals" localSheetId="41">'4020'!$A$28</definedName>
    <definedName name="Totals" localSheetId="42">'4030'!$A$28</definedName>
    <definedName name="Totals" localSheetId="43">'4031'!$A$28</definedName>
    <definedName name="Totals" localSheetId="44">'4041'!$A$28</definedName>
    <definedName name="Totals" localSheetId="45">'4050'!$A$28</definedName>
    <definedName name="Totals" localSheetId="46">'4051'!$A$28</definedName>
    <definedName name="Totals" localSheetId="47">'4061'!$A$28</definedName>
    <definedName name="Totals" localSheetId="48">'4080'!$A$28</definedName>
    <definedName name="Totals" localSheetId="49">'4081'!$A$28</definedName>
    <definedName name="Totals" localSheetId="50">'4090'!$A$28</definedName>
    <definedName name="Totals" localSheetId="51">'4091'!$A$28</definedName>
    <definedName name="Totals" localSheetId="52">'4100'!$A$28</definedName>
    <definedName name="Totals" localSheetId="53">'4102'!$A$28</definedName>
    <definedName name="Totals" localSheetId="54">'4103'!$A$28</definedName>
    <definedName name="Totals" localSheetId="55">'4111'!$A$28</definedName>
    <definedName name="Totals" localSheetId="56">'4131'!$A$28</definedName>
    <definedName name="Totals">'0040'!$A$28</definedName>
    <definedName name="Weighted_FTE____________b__x__c" localSheetId="8">'0100'!$I$10</definedName>
    <definedName name="Weighted_FTE____________b__x__c" localSheetId="7">'0571'!$I$10</definedName>
    <definedName name="Weighted_FTE____________b__x__c" localSheetId="9">'1461'!$I$10</definedName>
    <definedName name="Weighted_FTE____________b__x__c" localSheetId="10">'1571'!$I$10</definedName>
    <definedName name="Weighted_FTE____________b__x__c" localSheetId="11">'2521'!$I$10</definedName>
    <definedName name="Weighted_FTE____________b__x__c" localSheetId="12">'2531'!$I$10</definedName>
    <definedName name="Weighted_FTE____________b__x__c" localSheetId="13">'2791'!$I$10</definedName>
    <definedName name="Weighted_FTE____________b__x__c" localSheetId="14">'2801'!$I$10</definedName>
    <definedName name="Weighted_FTE____________b__x__c" localSheetId="15">'2911'!$I$10</definedName>
    <definedName name="Weighted_FTE____________b__x__c" localSheetId="16">'2941'!$I$10</definedName>
    <definedName name="Weighted_FTE____________b__x__c" localSheetId="17">'3083'!$I$10</definedName>
    <definedName name="Weighted_FTE____________b__x__c" localSheetId="18">'3345'!$I$10</definedName>
    <definedName name="Weighted_FTE____________b__x__c" localSheetId="19">'3362'!$I$10</definedName>
    <definedName name="Weighted_FTE____________b__x__c" localSheetId="20">'3381'!$I$10</definedName>
    <definedName name="Weighted_FTE____________b__x__c" localSheetId="21">'3382'!$I$10</definedName>
    <definedName name="Weighted_FTE____________b__x__c" localSheetId="22">'3391'!$I$10</definedName>
    <definedName name="Weighted_FTE____________b__x__c" localSheetId="23">'3394'!$I$10</definedName>
    <definedName name="Weighted_FTE____________b__x__c" localSheetId="24">'3395'!$I$10</definedName>
    <definedName name="Weighted_FTE____________b__x__c" localSheetId="25">'3396'!$I$10</definedName>
    <definedName name="Weighted_FTE____________b__x__c" localSheetId="26">'3398'!$I$10</definedName>
    <definedName name="Weighted_FTE____________b__x__c" localSheetId="27">'3400'!$I$10</definedName>
    <definedName name="Weighted_FTE____________b__x__c" localSheetId="28">'3401'!$I$10</definedName>
    <definedName name="Weighted_FTE____________b__x__c" localSheetId="29">'3413'!$I$10</definedName>
    <definedName name="Weighted_FTE____________b__x__c" localSheetId="30">'3421'!$I$10</definedName>
    <definedName name="Weighted_FTE____________b__x__c" localSheetId="31">'3431'!$I$10</definedName>
    <definedName name="Weighted_FTE____________b__x__c" localSheetId="32">'3441'!$I$10</definedName>
    <definedName name="Weighted_FTE____________b__x__c" localSheetId="33">'3924'!$I$10</definedName>
    <definedName name="Weighted_FTE____________b__x__c" localSheetId="34">'3941'!$I$10</definedName>
    <definedName name="Weighted_FTE____________b__x__c" localSheetId="35">'3961'!$I$10</definedName>
    <definedName name="Weighted_FTE____________b__x__c" localSheetId="36">'3971'!$I$10</definedName>
    <definedName name="Weighted_FTE____________b__x__c" localSheetId="37">'4001'!$I$10</definedName>
    <definedName name="Weighted_FTE____________b__x__c" localSheetId="38">'4002'!$I$10</definedName>
    <definedName name="Weighted_FTE____________b__x__c" localSheetId="39">'4012'!$I$10</definedName>
    <definedName name="Weighted_FTE____________b__x__c" localSheetId="40">'4013'!$I$10</definedName>
    <definedName name="Weighted_FTE____________b__x__c" localSheetId="41">'4020'!$I$10</definedName>
    <definedName name="Weighted_FTE____________b__x__c" localSheetId="42">'4030'!$I$10</definedName>
    <definedName name="Weighted_FTE____________b__x__c" localSheetId="43">'4031'!$I$10</definedName>
    <definedName name="Weighted_FTE____________b__x__c" localSheetId="44">'4041'!$I$10</definedName>
    <definedName name="Weighted_FTE____________b__x__c" localSheetId="45">'4050'!$I$10</definedName>
    <definedName name="Weighted_FTE____________b__x__c" localSheetId="46">'4051'!$I$10</definedName>
    <definedName name="Weighted_FTE____________b__x__c" localSheetId="47">'4061'!$I$10</definedName>
    <definedName name="Weighted_FTE____________b__x__c" localSheetId="48">'4080'!$I$10</definedName>
    <definedName name="Weighted_FTE____________b__x__c" localSheetId="49">'4081'!$I$10</definedName>
    <definedName name="Weighted_FTE____________b__x__c" localSheetId="50">'4090'!$I$10</definedName>
    <definedName name="Weighted_FTE____________b__x__c" localSheetId="51">'4091'!$I$10</definedName>
    <definedName name="Weighted_FTE____________b__x__c" localSheetId="52">'4100'!$I$10</definedName>
    <definedName name="Weighted_FTE____________b__x__c" localSheetId="53">'4102'!$I$10</definedName>
    <definedName name="Weighted_FTE____________b__x__c" localSheetId="54">'4103'!$I$10</definedName>
    <definedName name="Weighted_FTE____________b__x__c" localSheetId="55">'4111'!$I$10</definedName>
    <definedName name="Weighted_FTE____________b__x__c" localSheetId="56">'4131'!$I$10</definedName>
    <definedName name="Weighted_FTE____________b__x__c">'0040'!$I$10</definedName>
    <definedName name="Weighted_FTE__From_Section_1" localSheetId="8">'0100'!$B$89</definedName>
    <definedName name="Weighted_FTE__From_Section_1" localSheetId="7">'0571'!$B$89</definedName>
    <definedName name="Weighted_FTE__From_Section_1" localSheetId="9">'1461'!$B$89</definedName>
    <definedName name="Weighted_FTE__From_Section_1" localSheetId="10">'1571'!$B$89</definedName>
    <definedName name="Weighted_FTE__From_Section_1" localSheetId="11">'2521'!$B$89</definedName>
    <definedName name="Weighted_FTE__From_Section_1" localSheetId="12">'2531'!$B$89</definedName>
    <definedName name="Weighted_FTE__From_Section_1" localSheetId="13">'2791'!$B$89</definedName>
    <definedName name="Weighted_FTE__From_Section_1" localSheetId="14">'2801'!$B$89</definedName>
    <definedName name="Weighted_FTE__From_Section_1" localSheetId="15">'2911'!$B$89</definedName>
    <definedName name="Weighted_FTE__From_Section_1" localSheetId="16">'2941'!$B$89</definedName>
    <definedName name="Weighted_FTE__From_Section_1" localSheetId="17">'3083'!$B$89</definedName>
    <definedName name="Weighted_FTE__From_Section_1" localSheetId="18">'3345'!$B$89</definedName>
    <definedName name="Weighted_FTE__From_Section_1" localSheetId="19">'3362'!$B$89</definedName>
    <definedName name="Weighted_FTE__From_Section_1" localSheetId="20">'3381'!$B$89</definedName>
    <definedName name="Weighted_FTE__From_Section_1" localSheetId="21">'3382'!$B$89</definedName>
    <definedName name="Weighted_FTE__From_Section_1" localSheetId="22">'3391'!$B$89</definedName>
    <definedName name="Weighted_FTE__From_Section_1" localSheetId="23">'3394'!$B$89</definedName>
    <definedName name="Weighted_FTE__From_Section_1" localSheetId="24">'3395'!$B$89</definedName>
    <definedName name="Weighted_FTE__From_Section_1" localSheetId="25">'3396'!$B$89</definedName>
    <definedName name="Weighted_FTE__From_Section_1" localSheetId="26">'3398'!$B$89</definedName>
    <definedName name="Weighted_FTE__From_Section_1" localSheetId="27">'3400'!$B$89</definedName>
    <definedName name="Weighted_FTE__From_Section_1" localSheetId="28">'3401'!$B$89</definedName>
    <definedName name="Weighted_FTE__From_Section_1" localSheetId="29">'3413'!$B$89</definedName>
    <definedName name="Weighted_FTE__From_Section_1" localSheetId="30">'3421'!$B$89</definedName>
    <definedName name="Weighted_FTE__From_Section_1" localSheetId="31">'3431'!$B$89</definedName>
    <definedName name="Weighted_FTE__From_Section_1" localSheetId="32">'3441'!$B$89</definedName>
    <definedName name="Weighted_FTE__From_Section_1" localSheetId="33">'3924'!$B$89</definedName>
    <definedName name="Weighted_FTE__From_Section_1" localSheetId="34">'3941'!$B$89</definedName>
    <definedName name="Weighted_FTE__From_Section_1" localSheetId="35">'3961'!$B$89</definedName>
    <definedName name="Weighted_FTE__From_Section_1" localSheetId="36">'3971'!$B$89</definedName>
    <definedName name="Weighted_FTE__From_Section_1" localSheetId="37">'4001'!$B$89</definedName>
    <definedName name="Weighted_FTE__From_Section_1" localSheetId="38">'4002'!$B$89</definedName>
    <definedName name="Weighted_FTE__From_Section_1" localSheetId="39">'4012'!$B$89</definedName>
    <definedName name="Weighted_FTE__From_Section_1" localSheetId="40">'4013'!$B$89</definedName>
    <definedName name="Weighted_FTE__From_Section_1" localSheetId="41">'4020'!$B$89</definedName>
    <definedName name="Weighted_FTE__From_Section_1" localSheetId="42">'4030'!$B$89</definedName>
    <definedName name="Weighted_FTE__From_Section_1" localSheetId="43">'4031'!$B$89</definedName>
    <definedName name="Weighted_FTE__From_Section_1" localSheetId="44">'4041'!$B$89</definedName>
    <definedName name="Weighted_FTE__From_Section_1" localSheetId="45">'4050'!$B$89</definedName>
    <definedName name="Weighted_FTE__From_Section_1" localSheetId="46">'4051'!$B$89</definedName>
    <definedName name="Weighted_FTE__From_Section_1" localSheetId="47">'4061'!$B$89</definedName>
    <definedName name="Weighted_FTE__From_Section_1" localSheetId="48">'4080'!$B$89</definedName>
    <definedName name="Weighted_FTE__From_Section_1" localSheetId="49">'4081'!$B$89</definedName>
    <definedName name="Weighted_FTE__From_Section_1" localSheetId="50">'4090'!$B$89</definedName>
    <definedName name="Weighted_FTE__From_Section_1" localSheetId="51">'4091'!$B$89</definedName>
    <definedName name="Weighted_FTE__From_Section_1" localSheetId="52">'4100'!$B$89</definedName>
    <definedName name="Weighted_FTE__From_Section_1" localSheetId="53">'4102'!$B$89</definedName>
    <definedName name="Weighted_FTE__From_Section_1" localSheetId="54">'4103'!$B$89</definedName>
    <definedName name="Weighted_FTE__From_Section_1" localSheetId="55">'4111'!$B$89</definedName>
    <definedName name="Weighted_FTE__From_Section_1" localSheetId="56">'4131'!$B$89</definedName>
    <definedName name="Weighted_FTE__From_Section_1">'0040'!$B$89</definedName>
    <definedName name="wrn.Base._.Data._.Comparison." localSheetId="6" hidden="1">{#N/A,#N/A,FALSE,"Summation";#N/A,#N/A,FALSE,"BSA";#N/A,#N/A,FALSE,"Detail1";#N/A,#N/A,FALSE,"Detail2";#N/A,#N/A,FALSE,"Detail3";#N/A,#N/A,FALSE,"WFTE_Summary";#N/A,#N/A,FALSE,"Funded_WFTE";#N/A,#N/A,FALSE,"PYADJ96"}</definedName>
    <definedName name="wrn.Base._.Data._.Comparison." localSheetId="8" hidden="1">{#N/A,#N/A,FALSE,"Summation";#N/A,#N/A,FALSE,"BSA";#N/A,#N/A,FALSE,"Detail1";#N/A,#N/A,FALSE,"Detail2";#N/A,#N/A,FALSE,"Detail3";#N/A,#N/A,FALSE,"WFTE_Summary";#N/A,#N/A,FALSE,"Funded_WFTE";#N/A,#N/A,FALSE,"PYADJ96"}</definedName>
    <definedName name="wrn.Base._.Data._.Comparison." localSheetId="7" hidden="1">{#N/A,#N/A,FALSE,"Summation";#N/A,#N/A,FALSE,"BSA";#N/A,#N/A,FALSE,"Detail1";#N/A,#N/A,FALSE,"Detail2";#N/A,#N/A,FALSE,"Detail3";#N/A,#N/A,FALSE,"WFTE_Summary";#N/A,#N/A,FALSE,"Funded_WFTE";#N/A,#N/A,FALSE,"PYADJ96"}</definedName>
    <definedName name="wrn.Base._.Data._.Comparison." localSheetId="9" hidden="1">{#N/A,#N/A,FALSE,"Summation";#N/A,#N/A,FALSE,"BSA";#N/A,#N/A,FALSE,"Detail1";#N/A,#N/A,FALSE,"Detail2";#N/A,#N/A,FALSE,"Detail3";#N/A,#N/A,FALSE,"WFTE_Summary";#N/A,#N/A,FALSE,"Funded_WFTE";#N/A,#N/A,FALSE,"PYADJ96"}</definedName>
    <definedName name="wrn.Base._.Data._.Comparison." localSheetId="10" hidden="1">{#N/A,#N/A,FALSE,"Summation";#N/A,#N/A,FALSE,"BSA";#N/A,#N/A,FALSE,"Detail1";#N/A,#N/A,FALSE,"Detail2";#N/A,#N/A,FALSE,"Detail3";#N/A,#N/A,FALSE,"WFTE_Summary";#N/A,#N/A,FALSE,"Funded_WFTE";#N/A,#N/A,FALSE,"PYADJ96"}</definedName>
    <definedName name="wrn.Base._.Data._.Comparison." localSheetId="11" hidden="1">{#N/A,#N/A,FALSE,"Summation";#N/A,#N/A,FALSE,"BSA";#N/A,#N/A,FALSE,"Detail1";#N/A,#N/A,FALSE,"Detail2";#N/A,#N/A,FALSE,"Detail3";#N/A,#N/A,FALSE,"WFTE_Summary";#N/A,#N/A,FALSE,"Funded_WFTE";#N/A,#N/A,FALSE,"PYADJ96"}</definedName>
    <definedName name="wrn.Base._.Data._.Comparison." localSheetId="12" hidden="1">{#N/A,#N/A,FALSE,"Summation";#N/A,#N/A,FALSE,"BSA";#N/A,#N/A,FALSE,"Detail1";#N/A,#N/A,FALSE,"Detail2";#N/A,#N/A,FALSE,"Detail3";#N/A,#N/A,FALSE,"WFTE_Summary";#N/A,#N/A,FALSE,"Funded_WFTE";#N/A,#N/A,FALSE,"PYADJ96"}</definedName>
    <definedName name="wrn.Base._.Data._.Comparison." localSheetId="13" hidden="1">{#N/A,#N/A,FALSE,"Summation";#N/A,#N/A,FALSE,"BSA";#N/A,#N/A,FALSE,"Detail1";#N/A,#N/A,FALSE,"Detail2";#N/A,#N/A,FALSE,"Detail3";#N/A,#N/A,FALSE,"WFTE_Summary";#N/A,#N/A,FALSE,"Funded_WFTE";#N/A,#N/A,FALSE,"PYADJ96"}</definedName>
    <definedName name="wrn.Base._.Data._.Comparison." localSheetId="14" hidden="1">{#N/A,#N/A,FALSE,"Summation";#N/A,#N/A,FALSE,"BSA";#N/A,#N/A,FALSE,"Detail1";#N/A,#N/A,FALSE,"Detail2";#N/A,#N/A,FALSE,"Detail3";#N/A,#N/A,FALSE,"WFTE_Summary";#N/A,#N/A,FALSE,"Funded_WFTE";#N/A,#N/A,FALSE,"PYADJ96"}</definedName>
    <definedName name="wrn.Base._.Data._.Comparison." localSheetId="15" hidden="1">{#N/A,#N/A,FALSE,"Summation";#N/A,#N/A,FALSE,"BSA";#N/A,#N/A,FALSE,"Detail1";#N/A,#N/A,FALSE,"Detail2";#N/A,#N/A,FALSE,"Detail3";#N/A,#N/A,FALSE,"WFTE_Summary";#N/A,#N/A,FALSE,"Funded_WFTE";#N/A,#N/A,FALSE,"PYADJ96"}</definedName>
    <definedName name="wrn.Base._.Data._.Comparison." localSheetId="16" hidden="1">{#N/A,#N/A,FALSE,"Summation";#N/A,#N/A,FALSE,"BSA";#N/A,#N/A,FALSE,"Detail1";#N/A,#N/A,FALSE,"Detail2";#N/A,#N/A,FALSE,"Detail3";#N/A,#N/A,FALSE,"WFTE_Summary";#N/A,#N/A,FALSE,"Funded_WFTE";#N/A,#N/A,FALSE,"PYADJ96"}</definedName>
    <definedName name="wrn.Base._.Data._.Comparison." localSheetId="17" hidden="1">{#N/A,#N/A,FALSE,"Summation";#N/A,#N/A,FALSE,"BSA";#N/A,#N/A,FALSE,"Detail1";#N/A,#N/A,FALSE,"Detail2";#N/A,#N/A,FALSE,"Detail3";#N/A,#N/A,FALSE,"WFTE_Summary";#N/A,#N/A,FALSE,"Funded_WFTE";#N/A,#N/A,FALSE,"PYADJ96"}</definedName>
    <definedName name="wrn.Base._.Data._.Comparison." localSheetId="18" hidden="1">{#N/A,#N/A,FALSE,"Summation";#N/A,#N/A,FALSE,"BSA";#N/A,#N/A,FALSE,"Detail1";#N/A,#N/A,FALSE,"Detail2";#N/A,#N/A,FALSE,"Detail3";#N/A,#N/A,FALSE,"WFTE_Summary";#N/A,#N/A,FALSE,"Funded_WFTE";#N/A,#N/A,FALSE,"PYADJ96"}</definedName>
    <definedName name="wrn.Base._.Data._.Comparison." localSheetId="19" hidden="1">{#N/A,#N/A,FALSE,"Summation";#N/A,#N/A,FALSE,"BSA";#N/A,#N/A,FALSE,"Detail1";#N/A,#N/A,FALSE,"Detail2";#N/A,#N/A,FALSE,"Detail3";#N/A,#N/A,FALSE,"WFTE_Summary";#N/A,#N/A,FALSE,"Funded_WFTE";#N/A,#N/A,FALSE,"PYADJ96"}</definedName>
    <definedName name="wrn.Base._.Data._.Comparison." localSheetId="20" hidden="1">{#N/A,#N/A,FALSE,"Summation";#N/A,#N/A,FALSE,"BSA";#N/A,#N/A,FALSE,"Detail1";#N/A,#N/A,FALSE,"Detail2";#N/A,#N/A,FALSE,"Detail3";#N/A,#N/A,FALSE,"WFTE_Summary";#N/A,#N/A,FALSE,"Funded_WFTE";#N/A,#N/A,FALSE,"PYADJ96"}</definedName>
    <definedName name="wrn.Base._.Data._.Comparison." localSheetId="21" hidden="1">{#N/A,#N/A,FALSE,"Summation";#N/A,#N/A,FALSE,"BSA";#N/A,#N/A,FALSE,"Detail1";#N/A,#N/A,FALSE,"Detail2";#N/A,#N/A,FALSE,"Detail3";#N/A,#N/A,FALSE,"WFTE_Summary";#N/A,#N/A,FALSE,"Funded_WFTE";#N/A,#N/A,FALSE,"PYADJ96"}</definedName>
    <definedName name="wrn.Base._.Data._.Comparison." localSheetId="22" hidden="1">{#N/A,#N/A,FALSE,"Summation";#N/A,#N/A,FALSE,"BSA";#N/A,#N/A,FALSE,"Detail1";#N/A,#N/A,FALSE,"Detail2";#N/A,#N/A,FALSE,"Detail3";#N/A,#N/A,FALSE,"WFTE_Summary";#N/A,#N/A,FALSE,"Funded_WFTE";#N/A,#N/A,FALSE,"PYADJ96"}</definedName>
    <definedName name="wrn.Base._.Data._.Comparison." localSheetId="23" hidden="1">{#N/A,#N/A,FALSE,"Summation";#N/A,#N/A,FALSE,"BSA";#N/A,#N/A,FALSE,"Detail1";#N/A,#N/A,FALSE,"Detail2";#N/A,#N/A,FALSE,"Detail3";#N/A,#N/A,FALSE,"WFTE_Summary";#N/A,#N/A,FALSE,"Funded_WFTE";#N/A,#N/A,FALSE,"PYADJ96"}</definedName>
    <definedName name="wrn.Base._.Data._.Comparison." localSheetId="24" hidden="1">{#N/A,#N/A,FALSE,"Summation";#N/A,#N/A,FALSE,"BSA";#N/A,#N/A,FALSE,"Detail1";#N/A,#N/A,FALSE,"Detail2";#N/A,#N/A,FALSE,"Detail3";#N/A,#N/A,FALSE,"WFTE_Summary";#N/A,#N/A,FALSE,"Funded_WFTE";#N/A,#N/A,FALSE,"PYADJ96"}</definedName>
    <definedName name="wrn.Base._.Data._.Comparison." localSheetId="25" hidden="1">{#N/A,#N/A,FALSE,"Summation";#N/A,#N/A,FALSE,"BSA";#N/A,#N/A,FALSE,"Detail1";#N/A,#N/A,FALSE,"Detail2";#N/A,#N/A,FALSE,"Detail3";#N/A,#N/A,FALSE,"WFTE_Summary";#N/A,#N/A,FALSE,"Funded_WFTE";#N/A,#N/A,FALSE,"PYADJ96"}</definedName>
    <definedName name="wrn.Base._.Data._.Comparison." localSheetId="26" hidden="1">{#N/A,#N/A,FALSE,"Summation";#N/A,#N/A,FALSE,"BSA";#N/A,#N/A,FALSE,"Detail1";#N/A,#N/A,FALSE,"Detail2";#N/A,#N/A,FALSE,"Detail3";#N/A,#N/A,FALSE,"WFTE_Summary";#N/A,#N/A,FALSE,"Funded_WFTE";#N/A,#N/A,FALSE,"PYADJ96"}</definedName>
    <definedName name="wrn.Base._.Data._.Comparison." localSheetId="27" hidden="1">{#N/A,#N/A,FALSE,"Summation";#N/A,#N/A,FALSE,"BSA";#N/A,#N/A,FALSE,"Detail1";#N/A,#N/A,FALSE,"Detail2";#N/A,#N/A,FALSE,"Detail3";#N/A,#N/A,FALSE,"WFTE_Summary";#N/A,#N/A,FALSE,"Funded_WFTE";#N/A,#N/A,FALSE,"PYADJ96"}</definedName>
    <definedName name="wrn.Base._.Data._.Comparison." localSheetId="28" hidden="1">{#N/A,#N/A,FALSE,"Summation";#N/A,#N/A,FALSE,"BSA";#N/A,#N/A,FALSE,"Detail1";#N/A,#N/A,FALSE,"Detail2";#N/A,#N/A,FALSE,"Detail3";#N/A,#N/A,FALSE,"WFTE_Summary";#N/A,#N/A,FALSE,"Funded_WFTE";#N/A,#N/A,FALSE,"PYADJ96"}</definedName>
    <definedName name="wrn.Base._.Data._.Comparison." localSheetId="29" hidden="1">{#N/A,#N/A,FALSE,"Summation";#N/A,#N/A,FALSE,"BSA";#N/A,#N/A,FALSE,"Detail1";#N/A,#N/A,FALSE,"Detail2";#N/A,#N/A,FALSE,"Detail3";#N/A,#N/A,FALSE,"WFTE_Summary";#N/A,#N/A,FALSE,"Funded_WFTE";#N/A,#N/A,FALSE,"PYADJ96"}</definedName>
    <definedName name="wrn.Base._.Data._.Comparison." localSheetId="30" hidden="1">{#N/A,#N/A,FALSE,"Summation";#N/A,#N/A,FALSE,"BSA";#N/A,#N/A,FALSE,"Detail1";#N/A,#N/A,FALSE,"Detail2";#N/A,#N/A,FALSE,"Detail3";#N/A,#N/A,FALSE,"WFTE_Summary";#N/A,#N/A,FALSE,"Funded_WFTE";#N/A,#N/A,FALSE,"PYADJ96"}</definedName>
    <definedName name="wrn.Base._.Data._.Comparison." localSheetId="31" hidden="1">{#N/A,#N/A,FALSE,"Summation";#N/A,#N/A,FALSE,"BSA";#N/A,#N/A,FALSE,"Detail1";#N/A,#N/A,FALSE,"Detail2";#N/A,#N/A,FALSE,"Detail3";#N/A,#N/A,FALSE,"WFTE_Summary";#N/A,#N/A,FALSE,"Funded_WFTE";#N/A,#N/A,FALSE,"PYADJ96"}</definedName>
    <definedName name="wrn.Base._.Data._.Comparison." localSheetId="32" hidden="1">{#N/A,#N/A,FALSE,"Summation";#N/A,#N/A,FALSE,"BSA";#N/A,#N/A,FALSE,"Detail1";#N/A,#N/A,FALSE,"Detail2";#N/A,#N/A,FALSE,"Detail3";#N/A,#N/A,FALSE,"WFTE_Summary";#N/A,#N/A,FALSE,"Funded_WFTE";#N/A,#N/A,FALSE,"PYADJ96"}</definedName>
    <definedName name="wrn.Base._.Data._.Comparison." localSheetId="33" hidden="1">{#N/A,#N/A,FALSE,"Summation";#N/A,#N/A,FALSE,"BSA";#N/A,#N/A,FALSE,"Detail1";#N/A,#N/A,FALSE,"Detail2";#N/A,#N/A,FALSE,"Detail3";#N/A,#N/A,FALSE,"WFTE_Summary";#N/A,#N/A,FALSE,"Funded_WFTE";#N/A,#N/A,FALSE,"PYADJ96"}</definedName>
    <definedName name="wrn.Base._.Data._.Comparison." localSheetId="34" hidden="1">{#N/A,#N/A,FALSE,"Summation";#N/A,#N/A,FALSE,"BSA";#N/A,#N/A,FALSE,"Detail1";#N/A,#N/A,FALSE,"Detail2";#N/A,#N/A,FALSE,"Detail3";#N/A,#N/A,FALSE,"WFTE_Summary";#N/A,#N/A,FALSE,"Funded_WFTE";#N/A,#N/A,FALSE,"PYADJ96"}</definedName>
    <definedName name="wrn.Base._.Data._.Comparison." localSheetId="35" hidden="1">{#N/A,#N/A,FALSE,"Summation";#N/A,#N/A,FALSE,"BSA";#N/A,#N/A,FALSE,"Detail1";#N/A,#N/A,FALSE,"Detail2";#N/A,#N/A,FALSE,"Detail3";#N/A,#N/A,FALSE,"WFTE_Summary";#N/A,#N/A,FALSE,"Funded_WFTE";#N/A,#N/A,FALSE,"PYADJ96"}</definedName>
    <definedName name="wrn.Base._.Data._.Comparison." localSheetId="36" hidden="1">{#N/A,#N/A,FALSE,"Summation";#N/A,#N/A,FALSE,"BSA";#N/A,#N/A,FALSE,"Detail1";#N/A,#N/A,FALSE,"Detail2";#N/A,#N/A,FALSE,"Detail3";#N/A,#N/A,FALSE,"WFTE_Summary";#N/A,#N/A,FALSE,"Funded_WFTE";#N/A,#N/A,FALSE,"PYADJ96"}</definedName>
    <definedName name="wrn.Base._.Data._.Comparison." localSheetId="37" hidden="1">{#N/A,#N/A,FALSE,"Summation";#N/A,#N/A,FALSE,"BSA";#N/A,#N/A,FALSE,"Detail1";#N/A,#N/A,FALSE,"Detail2";#N/A,#N/A,FALSE,"Detail3";#N/A,#N/A,FALSE,"WFTE_Summary";#N/A,#N/A,FALSE,"Funded_WFTE";#N/A,#N/A,FALSE,"PYADJ96"}</definedName>
    <definedName name="wrn.Base._.Data._.Comparison." localSheetId="38" hidden="1">{#N/A,#N/A,FALSE,"Summation";#N/A,#N/A,FALSE,"BSA";#N/A,#N/A,FALSE,"Detail1";#N/A,#N/A,FALSE,"Detail2";#N/A,#N/A,FALSE,"Detail3";#N/A,#N/A,FALSE,"WFTE_Summary";#N/A,#N/A,FALSE,"Funded_WFTE";#N/A,#N/A,FALSE,"PYADJ96"}</definedName>
    <definedName name="wrn.Base._.Data._.Comparison." localSheetId="39" hidden="1">{#N/A,#N/A,FALSE,"Summation";#N/A,#N/A,FALSE,"BSA";#N/A,#N/A,FALSE,"Detail1";#N/A,#N/A,FALSE,"Detail2";#N/A,#N/A,FALSE,"Detail3";#N/A,#N/A,FALSE,"WFTE_Summary";#N/A,#N/A,FALSE,"Funded_WFTE";#N/A,#N/A,FALSE,"PYADJ96"}</definedName>
    <definedName name="wrn.Base._.Data._.Comparison." localSheetId="40" hidden="1">{#N/A,#N/A,FALSE,"Summation";#N/A,#N/A,FALSE,"BSA";#N/A,#N/A,FALSE,"Detail1";#N/A,#N/A,FALSE,"Detail2";#N/A,#N/A,FALSE,"Detail3";#N/A,#N/A,FALSE,"WFTE_Summary";#N/A,#N/A,FALSE,"Funded_WFTE";#N/A,#N/A,FALSE,"PYADJ96"}</definedName>
    <definedName name="wrn.Base._.Data._.Comparison." localSheetId="41" hidden="1">{#N/A,#N/A,FALSE,"Summation";#N/A,#N/A,FALSE,"BSA";#N/A,#N/A,FALSE,"Detail1";#N/A,#N/A,FALSE,"Detail2";#N/A,#N/A,FALSE,"Detail3";#N/A,#N/A,FALSE,"WFTE_Summary";#N/A,#N/A,FALSE,"Funded_WFTE";#N/A,#N/A,FALSE,"PYADJ96"}</definedName>
    <definedName name="wrn.Base._.Data._.Comparison." localSheetId="42" hidden="1">{#N/A,#N/A,FALSE,"Summation";#N/A,#N/A,FALSE,"BSA";#N/A,#N/A,FALSE,"Detail1";#N/A,#N/A,FALSE,"Detail2";#N/A,#N/A,FALSE,"Detail3";#N/A,#N/A,FALSE,"WFTE_Summary";#N/A,#N/A,FALSE,"Funded_WFTE";#N/A,#N/A,FALSE,"PYADJ96"}</definedName>
    <definedName name="wrn.Base._.Data._.Comparison." localSheetId="43" hidden="1">{#N/A,#N/A,FALSE,"Summation";#N/A,#N/A,FALSE,"BSA";#N/A,#N/A,FALSE,"Detail1";#N/A,#N/A,FALSE,"Detail2";#N/A,#N/A,FALSE,"Detail3";#N/A,#N/A,FALSE,"WFTE_Summary";#N/A,#N/A,FALSE,"Funded_WFTE";#N/A,#N/A,FALSE,"PYADJ96"}</definedName>
    <definedName name="wrn.Base._.Data._.Comparison." localSheetId="44" hidden="1">{#N/A,#N/A,FALSE,"Summation";#N/A,#N/A,FALSE,"BSA";#N/A,#N/A,FALSE,"Detail1";#N/A,#N/A,FALSE,"Detail2";#N/A,#N/A,FALSE,"Detail3";#N/A,#N/A,FALSE,"WFTE_Summary";#N/A,#N/A,FALSE,"Funded_WFTE";#N/A,#N/A,FALSE,"PYADJ96"}</definedName>
    <definedName name="wrn.Base._.Data._.Comparison." localSheetId="45" hidden="1">{#N/A,#N/A,FALSE,"Summation";#N/A,#N/A,FALSE,"BSA";#N/A,#N/A,FALSE,"Detail1";#N/A,#N/A,FALSE,"Detail2";#N/A,#N/A,FALSE,"Detail3";#N/A,#N/A,FALSE,"WFTE_Summary";#N/A,#N/A,FALSE,"Funded_WFTE";#N/A,#N/A,FALSE,"PYADJ96"}</definedName>
    <definedName name="wrn.Base._.Data._.Comparison." localSheetId="46" hidden="1">{#N/A,#N/A,FALSE,"Summation";#N/A,#N/A,FALSE,"BSA";#N/A,#N/A,FALSE,"Detail1";#N/A,#N/A,FALSE,"Detail2";#N/A,#N/A,FALSE,"Detail3";#N/A,#N/A,FALSE,"WFTE_Summary";#N/A,#N/A,FALSE,"Funded_WFTE";#N/A,#N/A,FALSE,"PYADJ96"}</definedName>
    <definedName name="wrn.Base._.Data._.Comparison." localSheetId="47" hidden="1">{#N/A,#N/A,FALSE,"Summation";#N/A,#N/A,FALSE,"BSA";#N/A,#N/A,FALSE,"Detail1";#N/A,#N/A,FALSE,"Detail2";#N/A,#N/A,FALSE,"Detail3";#N/A,#N/A,FALSE,"WFTE_Summary";#N/A,#N/A,FALSE,"Funded_WFTE";#N/A,#N/A,FALSE,"PYADJ96"}</definedName>
    <definedName name="wrn.Base._.Data._.Comparison." localSheetId="48" hidden="1">{#N/A,#N/A,FALSE,"Summation";#N/A,#N/A,FALSE,"BSA";#N/A,#N/A,FALSE,"Detail1";#N/A,#N/A,FALSE,"Detail2";#N/A,#N/A,FALSE,"Detail3";#N/A,#N/A,FALSE,"WFTE_Summary";#N/A,#N/A,FALSE,"Funded_WFTE";#N/A,#N/A,FALSE,"PYADJ96"}</definedName>
    <definedName name="wrn.Base._.Data._.Comparison." localSheetId="49" hidden="1">{#N/A,#N/A,FALSE,"Summation";#N/A,#N/A,FALSE,"BSA";#N/A,#N/A,FALSE,"Detail1";#N/A,#N/A,FALSE,"Detail2";#N/A,#N/A,FALSE,"Detail3";#N/A,#N/A,FALSE,"WFTE_Summary";#N/A,#N/A,FALSE,"Funded_WFTE";#N/A,#N/A,FALSE,"PYADJ96"}</definedName>
    <definedName name="wrn.Base._.Data._.Comparison." localSheetId="50" hidden="1">{#N/A,#N/A,FALSE,"Summation";#N/A,#N/A,FALSE,"BSA";#N/A,#N/A,FALSE,"Detail1";#N/A,#N/A,FALSE,"Detail2";#N/A,#N/A,FALSE,"Detail3";#N/A,#N/A,FALSE,"WFTE_Summary";#N/A,#N/A,FALSE,"Funded_WFTE";#N/A,#N/A,FALSE,"PYADJ96"}</definedName>
    <definedName name="wrn.Base._.Data._.Comparison." localSheetId="51" hidden="1">{#N/A,#N/A,FALSE,"Summation";#N/A,#N/A,FALSE,"BSA";#N/A,#N/A,FALSE,"Detail1";#N/A,#N/A,FALSE,"Detail2";#N/A,#N/A,FALSE,"Detail3";#N/A,#N/A,FALSE,"WFTE_Summary";#N/A,#N/A,FALSE,"Funded_WFTE";#N/A,#N/A,FALSE,"PYADJ96"}</definedName>
    <definedName name="wrn.Base._.Data._.Comparison." localSheetId="52" hidden="1">{#N/A,#N/A,FALSE,"Summation";#N/A,#N/A,FALSE,"BSA";#N/A,#N/A,FALSE,"Detail1";#N/A,#N/A,FALSE,"Detail2";#N/A,#N/A,FALSE,"Detail3";#N/A,#N/A,FALSE,"WFTE_Summary";#N/A,#N/A,FALSE,"Funded_WFTE";#N/A,#N/A,FALSE,"PYADJ96"}</definedName>
    <definedName name="wrn.Base._.Data._.Comparison." localSheetId="53" hidden="1">{#N/A,#N/A,FALSE,"Summation";#N/A,#N/A,FALSE,"BSA";#N/A,#N/A,FALSE,"Detail1";#N/A,#N/A,FALSE,"Detail2";#N/A,#N/A,FALSE,"Detail3";#N/A,#N/A,FALSE,"WFTE_Summary";#N/A,#N/A,FALSE,"Funded_WFTE";#N/A,#N/A,FALSE,"PYADJ96"}</definedName>
    <definedName name="wrn.Base._.Data._.Comparison." localSheetId="54" hidden="1">{#N/A,#N/A,FALSE,"Summation";#N/A,#N/A,FALSE,"BSA";#N/A,#N/A,FALSE,"Detail1";#N/A,#N/A,FALSE,"Detail2";#N/A,#N/A,FALSE,"Detail3";#N/A,#N/A,FALSE,"WFTE_Summary";#N/A,#N/A,FALSE,"Funded_WFTE";#N/A,#N/A,FALSE,"PYADJ96"}</definedName>
    <definedName name="wrn.Base._.Data._.Comparison." localSheetId="55" hidden="1">{#N/A,#N/A,FALSE,"Summation";#N/A,#N/A,FALSE,"BSA";#N/A,#N/A,FALSE,"Detail1";#N/A,#N/A,FALSE,"Detail2";#N/A,#N/A,FALSE,"Detail3";#N/A,#N/A,FALSE,"WFTE_Summary";#N/A,#N/A,FALSE,"Funded_WFTE";#N/A,#N/A,FALSE,"PYADJ96"}</definedName>
    <definedName name="wrn.Base._.Data._.Comparison." localSheetId="56" hidden="1">{#N/A,#N/A,FALSE,"Summation";#N/A,#N/A,FALSE,"BSA";#N/A,#N/A,FALSE,"Detail1";#N/A,#N/A,FALSE,"Detail2";#N/A,#N/A,FALSE,"Detail3";#N/A,#N/A,FALSE,"WFTE_Summary";#N/A,#N/A,FALSE,"Funded_WFTE";#N/A,#N/A,FALSE,"PYADJ96"}</definedName>
    <definedName name="wrn.Base._.Data._.Comparison." localSheetId="1" hidden="1">{#N/A,#N/A,FALSE,"Summation";#N/A,#N/A,FALSE,"BSA";#N/A,#N/A,FALSE,"Detail1";#N/A,#N/A,FALSE,"Detail2";#N/A,#N/A,FALSE,"Detail3";#N/A,#N/A,FALSE,"WFTE_Summary";#N/A,#N/A,FALSE,"Funded_WFTE";#N/A,#N/A,FALSE,"PYADJ96"}</definedName>
    <definedName name="wrn.Base._.Data._.Comparison." localSheetId="2" hidden="1">{#N/A,#N/A,FALSE,"Summation";#N/A,#N/A,FALSE,"BSA";#N/A,#N/A,FALSE,"Detail1";#N/A,#N/A,FALSE,"Detail2";#N/A,#N/A,FALSE,"Detail3";#N/A,#N/A,FALSE,"WFTE_Summary";#N/A,#N/A,FALSE,"Funded_WFTE";#N/A,#N/A,FALSE,"PYADJ96"}</definedName>
    <definedName name="wrn.Base._.Data._.Comparison." localSheetId="4" hidden="1">{#N/A,#N/A,FALSE,"Summation";#N/A,#N/A,FALSE,"BSA";#N/A,#N/A,FALSE,"Detail1";#N/A,#N/A,FALSE,"Detail2";#N/A,#N/A,FALSE,"Detail3";#N/A,#N/A,FALSE,"WFTE_Summary";#N/A,#N/A,FALSE,"Funded_WFTE";#N/A,#N/A,FALSE,"PYADJ96"}</definedName>
    <definedName name="wrn.Base._.Data._.Comparison." localSheetId="3" hidden="1">{#N/A,#N/A,FALSE,"Summation";#N/A,#N/A,FALSE,"BSA";#N/A,#N/A,FALSE,"Detail1";#N/A,#N/A,FALSE,"Detail2";#N/A,#N/A,FALSE,"Detail3";#N/A,#N/A,FALSE,"WFTE_Summary";#N/A,#N/A,FALSE,"Funded_WFTE";#N/A,#N/A,FALSE,"PYADJ96"}</definedName>
    <definedName name="wrn.Base._.Data._.Comparison." localSheetId="0" hidden="1">{#N/A,#N/A,FALSE,"Summation";#N/A,#N/A,FALSE,"BSA";#N/A,#N/A,FALSE,"Detail1";#N/A,#N/A,FALSE,"Detail2";#N/A,#N/A,FALSE,"Detail3";#N/A,#N/A,FALSE,"WFTE_Summary";#N/A,#N/A,FALSE,"Funded_WFTE";#N/A,#N/A,FALSE,"PYADJ96"}</definedName>
    <definedName name="wrn.Base._.Data._.Comparison." hidden="1">{#N/A,#N/A,FALSE,"Summation";#N/A,#N/A,FALSE,"BSA";#N/A,#N/A,FALSE,"Detail1";#N/A,#N/A,FALSE,"Detail2";#N/A,#N/A,FALSE,"Detail3";#N/A,#N/A,FALSE,"WFTE_Summary";#N/A,#N/A,FALSE,"Funded_WFTE";#N/A,#N/A,FALSE,"PYADJ96"}</definedName>
    <definedName name="wrn.SecondCalc9798." localSheetId="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5" i="57" l="1"/>
  <c r="D54" i="57"/>
  <c r="D53" i="57"/>
  <c r="D52" i="57"/>
  <c r="D51" i="57"/>
  <c r="D50" i="57"/>
  <c r="D49" i="57"/>
  <c r="D48" i="57"/>
  <c r="D47" i="57"/>
  <c r="D46" i="57"/>
  <c r="D45" i="57"/>
  <c r="D44" i="57"/>
  <c r="D43" i="57"/>
  <c r="D42" i="57"/>
  <c r="D41" i="57"/>
  <c r="D40" i="57"/>
  <c r="D39" i="57"/>
  <c r="D38" i="57"/>
  <c r="D37" i="57"/>
  <c r="D36" i="57"/>
  <c r="D35" i="57"/>
  <c r="D34" i="57"/>
  <c r="D33" i="57"/>
  <c r="D32" i="57"/>
  <c r="D31" i="57"/>
  <c r="D30" i="57"/>
  <c r="D29" i="57"/>
  <c r="D28" i="57"/>
  <c r="D27" i="57"/>
  <c r="D26" i="57"/>
  <c r="D25" i="57"/>
  <c r="D24" i="57"/>
  <c r="D23" i="57"/>
  <c r="D22" i="57"/>
  <c r="D21" i="57"/>
  <c r="D20" i="57"/>
  <c r="D19" i="57"/>
  <c r="D18" i="57"/>
  <c r="D17" i="57"/>
  <c r="D16" i="57"/>
  <c r="D15" i="57"/>
  <c r="D14" i="57"/>
  <c r="D13" i="57"/>
  <c r="D12" i="57"/>
  <c r="D11" i="57"/>
  <c r="D10" i="57"/>
  <c r="D9" i="57"/>
  <c r="D8" i="57"/>
  <c r="D7" i="57"/>
  <c r="D6" i="57"/>
  <c r="D5" i="57"/>
  <c r="I155" i="56"/>
  <c r="H4" i="58" l="1"/>
  <c r="H4" i="107"/>
  <c r="H4" i="59"/>
  <c r="H4" i="60"/>
  <c r="H4" i="61"/>
  <c r="H4" i="62"/>
  <c r="H4" i="63"/>
  <c r="H4" i="64"/>
  <c r="H4" i="65"/>
  <c r="H4" i="66"/>
  <c r="H4" i="67"/>
  <c r="H4" i="68"/>
  <c r="H4" i="108"/>
  <c r="H4" i="69"/>
  <c r="H4" i="70"/>
  <c r="H4" i="71"/>
  <c r="H4" i="72"/>
  <c r="H4" i="73"/>
  <c r="H4" i="74"/>
  <c r="H4" i="75"/>
  <c r="H4" i="76"/>
  <c r="H4" i="77"/>
  <c r="H4" i="78"/>
  <c r="H4" i="79"/>
  <c r="H4" i="80"/>
  <c r="H4" i="81"/>
  <c r="H4" i="82"/>
  <c r="H4" i="83"/>
  <c r="H4" i="84"/>
  <c r="H4" i="85"/>
  <c r="H4" i="86"/>
  <c r="H4" i="87"/>
  <c r="H4" i="88"/>
  <c r="H4" i="89"/>
  <c r="H4" i="90"/>
  <c r="H4" i="91"/>
  <c r="H4" i="92"/>
  <c r="H4" i="93"/>
  <c r="H4" i="94"/>
  <c r="H4" i="95"/>
  <c r="H4" i="96"/>
  <c r="H4" i="97"/>
  <c r="H4" i="98"/>
  <c r="H4" i="99"/>
  <c r="H4" i="100"/>
  <c r="H4" i="101"/>
  <c r="H4" i="102"/>
  <c r="H4" i="103"/>
  <c r="H4" i="104"/>
  <c r="H4" i="105"/>
  <c r="H4" i="2"/>
  <c r="J1218" i="109" l="1"/>
  <c r="H1214" i="109"/>
  <c r="H1213" i="109"/>
  <c r="H1212" i="109"/>
  <c r="H1211" i="109"/>
  <c r="H1210" i="109"/>
  <c r="H1209" i="109"/>
  <c r="H1208" i="109"/>
  <c r="H1207" i="109"/>
  <c r="H1206" i="109"/>
  <c r="H1205" i="109"/>
  <c r="H1204" i="109"/>
  <c r="H1203" i="109"/>
  <c r="H1202" i="109"/>
  <c r="H1201" i="109"/>
  <c r="H1200" i="109"/>
  <c r="H1199" i="109"/>
  <c r="H1198" i="109"/>
  <c r="H1197" i="109"/>
  <c r="H1196" i="109"/>
  <c r="H1195" i="109"/>
  <c r="H1194" i="109"/>
  <c r="H1193" i="109"/>
  <c r="H1192" i="109"/>
  <c r="H1191" i="109"/>
  <c r="H1190" i="109"/>
  <c r="H1189" i="109"/>
  <c r="H1188" i="109"/>
  <c r="H1187" i="109"/>
  <c r="H1186" i="109"/>
  <c r="H1185" i="109"/>
  <c r="H1184" i="109"/>
  <c r="H1183" i="109"/>
  <c r="H1182" i="109"/>
  <c r="H1181" i="109"/>
  <c r="H1180" i="109"/>
  <c r="H1179" i="109"/>
  <c r="H1178" i="109"/>
  <c r="H1177" i="109"/>
  <c r="H1176" i="109"/>
  <c r="H1175" i="109"/>
  <c r="H1174" i="109"/>
  <c r="H1173" i="109"/>
  <c r="H1172" i="109"/>
  <c r="H1171" i="109"/>
  <c r="H1170" i="109"/>
  <c r="H1169" i="109"/>
  <c r="H1168" i="109"/>
  <c r="H1167" i="109"/>
  <c r="H1166" i="109"/>
  <c r="H1165" i="109"/>
  <c r="H1164" i="109"/>
  <c r="H1163" i="109"/>
  <c r="H1162" i="109"/>
  <c r="H1161" i="109"/>
  <c r="H1160" i="109"/>
  <c r="H1159" i="109"/>
  <c r="H1158" i="109"/>
  <c r="H1157" i="109"/>
  <c r="H1156" i="109"/>
  <c r="H1155" i="109"/>
  <c r="H1154" i="109"/>
  <c r="H1153" i="109"/>
  <c r="H1152" i="109"/>
  <c r="H1151" i="109"/>
  <c r="H1150" i="109"/>
  <c r="H1149" i="109"/>
  <c r="H1148" i="109"/>
  <c r="H1147" i="109"/>
  <c r="H1146" i="109"/>
  <c r="H1145" i="109"/>
  <c r="H1144" i="109"/>
  <c r="H1143" i="109"/>
  <c r="H1142" i="109"/>
  <c r="H1141" i="109"/>
  <c r="H1140" i="109"/>
  <c r="H1139" i="109"/>
  <c r="H1138" i="109"/>
  <c r="H1137" i="109"/>
  <c r="H1136" i="109"/>
  <c r="H1135" i="109"/>
  <c r="H1134" i="109"/>
  <c r="H1133" i="109"/>
  <c r="H1132" i="109"/>
  <c r="H1131" i="109"/>
  <c r="H1130" i="109"/>
  <c r="H1129" i="109"/>
  <c r="H1128" i="109"/>
  <c r="H1127" i="109"/>
  <c r="H1126" i="109"/>
  <c r="H1125" i="109"/>
  <c r="H1124" i="109"/>
  <c r="H1123" i="109"/>
  <c r="H1122" i="109"/>
  <c r="H1121" i="109"/>
  <c r="H1120" i="109"/>
  <c r="H1119" i="109"/>
  <c r="H1118" i="109"/>
  <c r="H1117" i="109"/>
  <c r="H1116" i="109"/>
  <c r="H1115" i="109"/>
  <c r="H1114" i="109"/>
  <c r="H1113" i="109"/>
  <c r="H1112" i="109"/>
  <c r="H1111" i="109"/>
  <c r="H1110" i="109"/>
  <c r="H1109" i="109"/>
  <c r="H1108" i="109"/>
  <c r="H1107" i="109"/>
  <c r="H1106" i="109"/>
  <c r="H1105" i="109"/>
  <c r="H1104" i="109"/>
  <c r="H1103" i="109"/>
  <c r="H1102" i="109"/>
  <c r="H1101" i="109"/>
  <c r="H1100" i="109"/>
  <c r="H1099" i="109"/>
  <c r="H1098" i="109"/>
  <c r="H1097" i="109"/>
  <c r="H1096" i="109"/>
  <c r="H1095" i="109"/>
  <c r="H1094" i="109"/>
  <c r="H1093" i="109"/>
  <c r="H1092" i="109"/>
  <c r="H1091" i="109"/>
  <c r="H1090" i="109"/>
  <c r="H1089" i="109"/>
  <c r="H1088" i="109"/>
  <c r="H1087" i="109"/>
  <c r="H1086" i="109"/>
  <c r="H1085" i="109"/>
  <c r="H1084" i="109"/>
  <c r="H1083" i="109"/>
  <c r="H1082" i="109"/>
  <c r="H1081" i="109"/>
  <c r="H1080" i="109"/>
  <c r="H1079" i="109"/>
  <c r="H1078" i="109"/>
  <c r="H1077" i="109"/>
  <c r="H1076" i="109"/>
  <c r="H1075" i="109"/>
  <c r="H1074" i="109"/>
  <c r="H1073" i="109"/>
  <c r="H1072" i="109"/>
  <c r="H1071" i="109"/>
  <c r="H1070" i="109"/>
  <c r="H1069" i="109"/>
  <c r="H1068" i="109"/>
  <c r="H1067" i="109"/>
  <c r="H1066" i="109"/>
  <c r="H1065" i="109"/>
  <c r="H1064" i="109"/>
  <c r="H1063" i="109"/>
  <c r="H1062" i="109"/>
  <c r="H1061" i="109"/>
  <c r="H1060" i="109"/>
  <c r="H1059" i="109"/>
  <c r="H1058" i="109"/>
  <c r="H1057" i="109"/>
  <c r="H1056" i="109"/>
  <c r="H1055" i="109"/>
  <c r="H1054" i="109"/>
  <c r="H1053" i="109"/>
  <c r="H1052" i="109"/>
  <c r="H1051" i="109"/>
  <c r="H1050" i="109"/>
  <c r="H1049" i="109"/>
  <c r="H1048" i="109"/>
  <c r="H1047" i="109"/>
  <c r="H1046" i="109"/>
  <c r="H1045" i="109"/>
  <c r="H1044" i="109"/>
  <c r="H1043" i="109"/>
  <c r="H1042" i="109"/>
  <c r="H1041" i="109"/>
  <c r="H1040" i="109"/>
  <c r="H1039" i="109"/>
  <c r="H1038" i="109"/>
  <c r="H1037" i="109"/>
  <c r="H1036" i="109"/>
  <c r="H1035" i="109"/>
  <c r="H1034" i="109"/>
  <c r="H1033" i="109"/>
  <c r="H1032" i="109"/>
  <c r="H1031" i="109"/>
  <c r="H1030" i="109"/>
  <c r="H1029" i="109"/>
  <c r="H1028" i="109"/>
  <c r="H1027" i="109"/>
  <c r="H1026" i="109"/>
  <c r="H1025" i="109"/>
  <c r="H1024" i="109"/>
  <c r="H1023" i="109"/>
  <c r="H1022" i="109"/>
  <c r="H1021" i="109"/>
  <c r="H1020" i="109"/>
  <c r="H1019" i="109"/>
  <c r="H1018" i="109"/>
  <c r="H1017" i="109"/>
  <c r="H1016" i="109"/>
  <c r="H1015" i="109"/>
  <c r="H1014" i="109"/>
  <c r="H1013" i="109"/>
  <c r="H1012" i="109"/>
  <c r="H1011" i="109"/>
  <c r="H1010" i="109"/>
  <c r="H1009" i="109"/>
  <c r="H1008" i="109"/>
  <c r="H1007" i="109"/>
  <c r="H1006" i="109"/>
  <c r="H1005" i="109"/>
  <c r="H1004" i="109"/>
  <c r="H1003" i="109"/>
  <c r="H1002" i="109"/>
  <c r="H1001" i="109"/>
  <c r="H1000" i="109"/>
  <c r="H999" i="109"/>
  <c r="H998" i="109"/>
  <c r="H997" i="109"/>
  <c r="H996" i="109"/>
  <c r="H995" i="109"/>
  <c r="H994" i="109"/>
  <c r="H993" i="109"/>
  <c r="H992" i="109"/>
  <c r="H991" i="109"/>
  <c r="H990" i="109"/>
  <c r="H989" i="109"/>
  <c r="H988" i="109"/>
  <c r="H987" i="109"/>
  <c r="H986" i="109"/>
  <c r="H985" i="109"/>
  <c r="H984" i="109"/>
  <c r="H983" i="109"/>
  <c r="H982" i="109"/>
  <c r="H981" i="109"/>
  <c r="H980" i="109"/>
  <c r="H979" i="109"/>
  <c r="H978" i="109"/>
  <c r="H977" i="109"/>
  <c r="H976" i="109"/>
  <c r="H975" i="109"/>
  <c r="H974" i="109"/>
  <c r="H973" i="109"/>
  <c r="H972" i="109"/>
  <c r="H971" i="109"/>
  <c r="H970" i="109"/>
  <c r="H969" i="109"/>
  <c r="H968" i="109"/>
  <c r="H967" i="109"/>
  <c r="H966" i="109"/>
  <c r="H965" i="109"/>
  <c r="H964" i="109"/>
  <c r="H963" i="109"/>
  <c r="H962" i="109"/>
  <c r="H961" i="109"/>
  <c r="H960" i="109"/>
  <c r="H959" i="109"/>
  <c r="H958" i="109"/>
  <c r="H957" i="109"/>
  <c r="H956" i="109"/>
  <c r="H955" i="109"/>
  <c r="H954" i="109"/>
  <c r="H953" i="109"/>
  <c r="H952" i="109"/>
  <c r="H951" i="109"/>
  <c r="H950" i="109"/>
  <c r="H949" i="109"/>
  <c r="H948" i="109"/>
  <c r="H947" i="109"/>
  <c r="H946" i="109"/>
  <c r="H945" i="109"/>
  <c r="H944" i="109"/>
  <c r="H943" i="109"/>
  <c r="H942" i="109"/>
  <c r="H941" i="109"/>
  <c r="H940" i="109"/>
  <c r="H939" i="109"/>
  <c r="H938" i="109"/>
  <c r="H937" i="109"/>
  <c r="H936" i="109"/>
  <c r="H935" i="109"/>
  <c r="H934" i="109"/>
  <c r="H933" i="109"/>
  <c r="H932" i="109"/>
  <c r="H931" i="109"/>
  <c r="H930" i="109"/>
  <c r="H929" i="109"/>
  <c r="H928" i="109"/>
  <c r="H927" i="109"/>
  <c r="H926" i="109"/>
  <c r="H925" i="109"/>
  <c r="H924" i="109"/>
  <c r="H923" i="109"/>
  <c r="H922" i="109"/>
  <c r="H921" i="109"/>
  <c r="H920" i="109"/>
  <c r="H919" i="109"/>
  <c r="H918" i="109"/>
  <c r="H917" i="109"/>
  <c r="H916" i="109"/>
  <c r="H915" i="109"/>
  <c r="H914" i="109"/>
  <c r="H913" i="109"/>
  <c r="H912" i="109"/>
  <c r="H911" i="109"/>
  <c r="H910" i="109"/>
  <c r="H909" i="109"/>
  <c r="H908" i="109"/>
  <c r="H907" i="109"/>
  <c r="H906" i="109"/>
  <c r="H905" i="109"/>
  <c r="H904" i="109"/>
  <c r="H903" i="109"/>
  <c r="H902" i="109"/>
  <c r="H901" i="109"/>
  <c r="H900" i="109"/>
  <c r="H899" i="109"/>
  <c r="H898" i="109"/>
  <c r="H897" i="109"/>
  <c r="H896" i="109"/>
  <c r="H895" i="109"/>
  <c r="H894" i="109"/>
  <c r="H893" i="109"/>
  <c r="H892" i="109"/>
  <c r="H891" i="109"/>
  <c r="H890" i="109"/>
  <c r="H889" i="109"/>
  <c r="H888" i="109"/>
  <c r="H887" i="109"/>
  <c r="H886" i="109"/>
  <c r="H885" i="109"/>
  <c r="H884" i="109"/>
  <c r="H883" i="109"/>
  <c r="H882" i="109"/>
  <c r="H881" i="109"/>
  <c r="H880" i="109"/>
  <c r="H879" i="109"/>
  <c r="H878" i="109"/>
  <c r="H877" i="109"/>
  <c r="H876" i="109"/>
  <c r="H875" i="109"/>
  <c r="H874" i="109"/>
  <c r="H873" i="109"/>
  <c r="H872" i="109"/>
  <c r="H871" i="109"/>
  <c r="H870" i="109"/>
  <c r="H869" i="109"/>
  <c r="H868" i="109"/>
  <c r="H867" i="109"/>
  <c r="H866" i="109"/>
  <c r="H865" i="109"/>
  <c r="H864" i="109"/>
  <c r="H863" i="109"/>
  <c r="H862" i="109"/>
  <c r="H861" i="109"/>
  <c r="H860" i="109"/>
  <c r="H859" i="109"/>
  <c r="H858" i="109"/>
  <c r="H857" i="109"/>
  <c r="H856" i="109"/>
  <c r="H855" i="109"/>
  <c r="H854" i="109"/>
  <c r="H853" i="109"/>
  <c r="H852" i="109"/>
  <c r="H851" i="109"/>
  <c r="H850" i="109"/>
  <c r="H849" i="109"/>
  <c r="H848" i="109"/>
  <c r="H847" i="109"/>
  <c r="H846" i="109"/>
  <c r="H845" i="109"/>
  <c r="H844" i="109"/>
  <c r="H843" i="109"/>
  <c r="H842" i="109"/>
  <c r="H841" i="109"/>
  <c r="H840" i="109"/>
  <c r="H839" i="109"/>
  <c r="H838" i="109"/>
  <c r="H837" i="109"/>
  <c r="H836" i="109"/>
  <c r="H835" i="109"/>
  <c r="H834" i="109"/>
  <c r="H833" i="109"/>
  <c r="H832" i="109"/>
  <c r="H831" i="109"/>
  <c r="H830" i="109"/>
  <c r="H829" i="109"/>
  <c r="H828" i="109"/>
  <c r="H827" i="109"/>
  <c r="H826" i="109"/>
  <c r="H825" i="109"/>
  <c r="H824" i="109"/>
  <c r="H823" i="109"/>
  <c r="H822" i="109"/>
  <c r="H821" i="109"/>
  <c r="H820" i="109"/>
  <c r="H819" i="109"/>
  <c r="H818" i="109"/>
  <c r="H817" i="109"/>
  <c r="H816" i="109"/>
  <c r="H815" i="109"/>
  <c r="H814" i="109"/>
  <c r="H813" i="109"/>
  <c r="H812" i="109"/>
  <c r="H811" i="109"/>
  <c r="H810" i="109"/>
  <c r="H809" i="109"/>
  <c r="H808" i="109"/>
  <c r="H807" i="109"/>
  <c r="H806" i="109"/>
  <c r="H805" i="109"/>
  <c r="H804" i="109"/>
  <c r="H803" i="109"/>
  <c r="H802" i="109"/>
  <c r="H801" i="109"/>
  <c r="H800" i="109"/>
  <c r="H799" i="109"/>
  <c r="H798" i="109"/>
  <c r="H797" i="109"/>
  <c r="H796" i="109"/>
  <c r="H795" i="109"/>
  <c r="H794" i="109"/>
  <c r="H793" i="109"/>
  <c r="H792" i="109"/>
  <c r="H791" i="109"/>
  <c r="H790" i="109"/>
  <c r="H789" i="109"/>
  <c r="H788" i="109"/>
  <c r="H787" i="109"/>
  <c r="H786" i="109"/>
  <c r="H785" i="109"/>
  <c r="H784" i="109"/>
  <c r="H783" i="109"/>
  <c r="H782" i="109"/>
  <c r="H781" i="109"/>
  <c r="H780" i="109"/>
  <c r="H779" i="109"/>
  <c r="H778" i="109"/>
  <c r="H777" i="109"/>
  <c r="H776" i="109"/>
  <c r="H775" i="109"/>
  <c r="H774" i="109"/>
  <c r="H773" i="109"/>
  <c r="H772" i="109"/>
  <c r="H771" i="109"/>
  <c r="H770" i="109"/>
  <c r="H769" i="109"/>
  <c r="H768" i="109"/>
  <c r="H767" i="109"/>
  <c r="H766" i="109"/>
  <c r="H765" i="109"/>
  <c r="H764" i="109"/>
  <c r="H763" i="109"/>
  <c r="H762" i="109"/>
  <c r="H761" i="109"/>
  <c r="H760" i="109"/>
  <c r="H759" i="109"/>
  <c r="H758" i="109"/>
  <c r="H757" i="109"/>
  <c r="H756" i="109"/>
  <c r="H755" i="109"/>
  <c r="H754" i="109"/>
  <c r="H753" i="109"/>
  <c r="H752" i="109"/>
  <c r="H751" i="109"/>
  <c r="H750" i="109"/>
  <c r="H749" i="109"/>
  <c r="H748" i="109"/>
  <c r="H747" i="109"/>
  <c r="H746" i="109"/>
  <c r="H745" i="109"/>
  <c r="H744" i="109"/>
  <c r="H743" i="109"/>
  <c r="H742" i="109"/>
  <c r="H741" i="109"/>
  <c r="H740" i="109"/>
  <c r="H739" i="109"/>
  <c r="H738" i="109"/>
  <c r="H737" i="109"/>
  <c r="H736" i="109"/>
  <c r="H735" i="109"/>
  <c r="H734" i="109"/>
  <c r="H733" i="109"/>
  <c r="H732" i="109"/>
  <c r="H731" i="109"/>
  <c r="H730" i="109"/>
  <c r="H729" i="109"/>
  <c r="H728" i="109"/>
  <c r="H727" i="109"/>
  <c r="H726" i="109"/>
  <c r="H725" i="109"/>
  <c r="H724" i="109"/>
  <c r="H723" i="109"/>
  <c r="H722" i="109"/>
  <c r="H721" i="109"/>
  <c r="H720" i="109"/>
  <c r="H719" i="109"/>
  <c r="H718" i="109"/>
  <c r="H717" i="109"/>
  <c r="H716" i="109"/>
  <c r="H715" i="109"/>
  <c r="H714" i="109"/>
  <c r="H713" i="109"/>
  <c r="H712" i="109"/>
  <c r="H711" i="109"/>
  <c r="H710" i="109"/>
  <c r="H709" i="109"/>
  <c r="H708" i="109"/>
  <c r="H707" i="109"/>
  <c r="H706" i="109"/>
  <c r="H705" i="109"/>
  <c r="H704" i="109"/>
  <c r="H703" i="109"/>
  <c r="H702" i="109"/>
  <c r="H701" i="109"/>
  <c r="H700" i="109"/>
  <c r="H699" i="109"/>
  <c r="H698" i="109"/>
  <c r="H697" i="109"/>
  <c r="H696" i="109"/>
  <c r="H695" i="109"/>
  <c r="H694" i="109"/>
  <c r="H693" i="109"/>
  <c r="H692" i="109"/>
  <c r="H691" i="109"/>
  <c r="H690" i="109"/>
  <c r="H689" i="109"/>
  <c r="H688" i="109"/>
  <c r="H687" i="109"/>
  <c r="H686" i="109"/>
  <c r="H685" i="109"/>
  <c r="H684" i="109"/>
  <c r="H683" i="109"/>
  <c r="H682" i="109"/>
  <c r="H681" i="109"/>
  <c r="H680" i="109"/>
  <c r="H679" i="109"/>
  <c r="H678" i="109"/>
  <c r="H677" i="109"/>
  <c r="H676" i="109"/>
  <c r="H675" i="109"/>
  <c r="H674" i="109"/>
  <c r="H673" i="109"/>
  <c r="H672" i="109"/>
  <c r="H671" i="109"/>
  <c r="H670" i="109"/>
  <c r="H669" i="109"/>
  <c r="H668" i="109"/>
  <c r="H667" i="109"/>
  <c r="H666" i="109"/>
  <c r="H665" i="109"/>
  <c r="H664" i="109"/>
  <c r="H663" i="109"/>
  <c r="H662" i="109"/>
  <c r="H661" i="109"/>
  <c r="H660" i="109"/>
  <c r="H659" i="109"/>
  <c r="H658" i="109"/>
  <c r="H657" i="109"/>
  <c r="H656" i="109"/>
  <c r="H655" i="109"/>
  <c r="H654" i="109"/>
  <c r="H653" i="109"/>
  <c r="H652" i="109"/>
  <c r="H651" i="109"/>
  <c r="H650" i="109"/>
  <c r="H649" i="109"/>
  <c r="H648" i="109"/>
  <c r="H647" i="109"/>
  <c r="H646" i="109"/>
  <c r="H645" i="109"/>
  <c r="H644" i="109"/>
  <c r="H643" i="109"/>
  <c r="H642" i="109"/>
  <c r="H641" i="109"/>
  <c r="H640" i="109"/>
  <c r="H639" i="109"/>
  <c r="H638" i="109"/>
  <c r="H637" i="109"/>
  <c r="H636" i="109"/>
  <c r="H635" i="109"/>
  <c r="H634" i="109"/>
  <c r="H633" i="109"/>
  <c r="H632" i="109"/>
  <c r="H631" i="109"/>
  <c r="H630" i="109"/>
  <c r="H629" i="109"/>
  <c r="H628" i="109"/>
  <c r="H627" i="109"/>
  <c r="H626" i="109"/>
  <c r="H625" i="109"/>
  <c r="H624" i="109"/>
  <c r="H623" i="109"/>
  <c r="H622" i="109"/>
  <c r="H621" i="109"/>
  <c r="H620" i="109"/>
  <c r="H619" i="109"/>
  <c r="H618" i="109"/>
  <c r="H617" i="109"/>
  <c r="H616" i="109"/>
  <c r="H615" i="109"/>
  <c r="H614" i="109"/>
  <c r="H613" i="109"/>
  <c r="H612" i="109"/>
  <c r="H611" i="109"/>
  <c r="H610" i="109"/>
  <c r="H609" i="109"/>
  <c r="H608" i="109"/>
  <c r="H607" i="109"/>
  <c r="H606" i="109"/>
  <c r="H605" i="109"/>
  <c r="H604" i="109"/>
  <c r="H603" i="109"/>
  <c r="H602" i="109"/>
  <c r="H601" i="109"/>
  <c r="H600" i="109"/>
  <c r="H599" i="109"/>
  <c r="H598" i="109"/>
  <c r="H597" i="109"/>
  <c r="H596" i="109"/>
  <c r="H595" i="109"/>
  <c r="H594" i="109"/>
  <c r="H593" i="109"/>
  <c r="H592" i="109"/>
  <c r="H591" i="109"/>
  <c r="H590" i="109"/>
  <c r="H589" i="109"/>
  <c r="H588" i="109"/>
  <c r="H587" i="109"/>
  <c r="H586" i="109"/>
  <c r="H585" i="109"/>
  <c r="H584" i="109"/>
  <c r="H583" i="109"/>
  <c r="H582" i="109"/>
  <c r="H581" i="109"/>
  <c r="H580" i="109"/>
  <c r="H579" i="109"/>
  <c r="H578" i="109"/>
  <c r="H577" i="109"/>
  <c r="H576" i="109"/>
  <c r="H575" i="109"/>
  <c r="H574" i="109"/>
  <c r="H573" i="109"/>
  <c r="H572" i="109"/>
  <c r="H571" i="109"/>
  <c r="H570" i="109"/>
  <c r="H569" i="109"/>
  <c r="H568" i="109"/>
  <c r="H567" i="109"/>
  <c r="H566" i="109"/>
  <c r="H565" i="109"/>
  <c r="H564" i="109"/>
  <c r="H563" i="109"/>
  <c r="H562" i="109"/>
  <c r="H561" i="109"/>
  <c r="H560" i="109"/>
  <c r="H559" i="109"/>
  <c r="H558" i="109"/>
  <c r="H557" i="109"/>
  <c r="H556" i="109"/>
  <c r="H555" i="109"/>
  <c r="H554" i="109"/>
  <c r="H553" i="109"/>
  <c r="H552" i="109"/>
  <c r="H551" i="109"/>
  <c r="H550" i="109"/>
  <c r="H549" i="109"/>
  <c r="H548" i="109"/>
  <c r="H547" i="109"/>
  <c r="H546" i="109"/>
  <c r="H545" i="109"/>
  <c r="H544" i="109"/>
  <c r="H543" i="109"/>
  <c r="H542" i="109"/>
  <c r="H541" i="109"/>
  <c r="H540" i="109"/>
  <c r="H539" i="109"/>
  <c r="H538" i="109"/>
  <c r="H537" i="109"/>
  <c r="H536" i="109"/>
  <c r="H535" i="109"/>
  <c r="H534" i="109"/>
  <c r="H533" i="109"/>
  <c r="H532" i="109"/>
  <c r="H531" i="109"/>
  <c r="H530" i="109"/>
  <c r="H529" i="109"/>
  <c r="H528" i="109"/>
  <c r="H527" i="109"/>
  <c r="H526" i="109"/>
  <c r="H525" i="109"/>
  <c r="H524" i="109"/>
  <c r="H523" i="109"/>
  <c r="H522" i="109"/>
  <c r="H521" i="109"/>
  <c r="H520" i="109"/>
  <c r="H519" i="109"/>
  <c r="H518" i="109"/>
  <c r="H517" i="109"/>
  <c r="H516" i="109"/>
  <c r="H515" i="109"/>
  <c r="H514" i="109"/>
  <c r="H513" i="109"/>
  <c r="H512" i="109"/>
  <c r="H511" i="109"/>
  <c r="H510" i="109"/>
  <c r="H509" i="109"/>
  <c r="H508" i="109"/>
  <c r="H507" i="109"/>
  <c r="H506" i="109"/>
  <c r="H505" i="109"/>
  <c r="H504" i="109"/>
  <c r="H503" i="109"/>
  <c r="H502" i="109"/>
  <c r="H501" i="109"/>
  <c r="H500" i="109"/>
  <c r="H499" i="109"/>
  <c r="H498" i="109"/>
  <c r="H497" i="109"/>
  <c r="H496" i="109"/>
  <c r="H495" i="109"/>
  <c r="H494" i="109"/>
  <c r="H493" i="109"/>
  <c r="H492" i="109"/>
  <c r="H491" i="109"/>
  <c r="H490" i="109"/>
  <c r="H489" i="109"/>
  <c r="H488" i="109"/>
  <c r="H487" i="109"/>
  <c r="H486" i="109"/>
  <c r="H485" i="109"/>
  <c r="H484" i="109"/>
  <c r="H483" i="109"/>
  <c r="H482" i="109"/>
  <c r="H481" i="109"/>
  <c r="H480" i="109"/>
  <c r="H479" i="109"/>
  <c r="H478" i="109"/>
  <c r="H477" i="109"/>
  <c r="H476" i="109"/>
  <c r="H475" i="109"/>
  <c r="H474" i="109"/>
  <c r="H473" i="109"/>
  <c r="H472" i="109"/>
  <c r="H471" i="109"/>
  <c r="H470" i="109"/>
  <c r="H469" i="109"/>
  <c r="H468" i="109"/>
  <c r="H467" i="109"/>
  <c r="H466" i="109"/>
  <c r="H465" i="109"/>
  <c r="H464" i="109"/>
  <c r="H463" i="109"/>
  <c r="H462" i="109"/>
  <c r="H461" i="109"/>
  <c r="H460" i="109"/>
  <c r="H459" i="109"/>
  <c r="H458" i="109"/>
  <c r="H457" i="109"/>
  <c r="H456" i="109"/>
  <c r="H455" i="109"/>
  <c r="H454" i="109"/>
  <c r="H453" i="109"/>
  <c r="H452" i="109"/>
  <c r="H451" i="109"/>
  <c r="H450" i="109"/>
  <c r="H449" i="109"/>
  <c r="H448" i="109"/>
  <c r="H447" i="109"/>
  <c r="H446" i="109"/>
  <c r="H445" i="109"/>
  <c r="H444" i="109"/>
  <c r="H443" i="109"/>
  <c r="H442" i="109"/>
  <c r="H441" i="109"/>
  <c r="H440" i="109"/>
  <c r="H439" i="109"/>
  <c r="H438" i="109"/>
  <c r="H437" i="109"/>
  <c r="H436" i="109"/>
  <c r="H435" i="109"/>
  <c r="H434" i="109"/>
  <c r="H433" i="109"/>
  <c r="H432" i="109"/>
  <c r="H431" i="109"/>
  <c r="H430" i="109"/>
  <c r="H429" i="109"/>
  <c r="H428" i="109"/>
  <c r="H427" i="109"/>
  <c r="H426" i="109"/>
  <c r="H425" i="109"/>
  <c r="H424" i="109"/>
  <c r="H423" i="109"/>
  <c r="H422" i="109"/>
  <c r="H421" i="109"/>
  <c r="H420" i="109"/>
  <c r="H419" i="109"/>
  <c r="H418" i="109"/>
  <c r="H417" i="109"/>
  <c r="H416" i="109"/>
  <c r="H415" i="109"/>
  <c r="H414" i="109"/>
  <c r="H413" i="109"/>
  <c r="H412" i="109"/>
  <c r="H411" i="109"/>
  <c r="H410" i="109"/>
  <c r="H409" i="109"/>
  <c r="H408" i="109"/>
  <c r="H407" i="109"/>
  <c r="H406" i="109"/>
  <c r="H405" i="109"/>
  <c r="H404" i="109"/>
  <c r="H403" i="109"/>
  <c r="H402" i="109"/>
  <c r="H401" i="109"/>
  <c r="H400" i="109"/>
  <c r="H399" i="109"/>
  <c r="H398" i="109"/>
  <c r="H397" i="109"/>
  <c r="H396" i="109"/>
  <c r="H395" i="109"/>
  <c r="H394" i="109"/>
  <c r="H393" i="109"/>
  <c r="H392" i="109"/>
  <c r="H391" i="109"/>
  <c r="H390" i="109"/>
  <c r="H389" i="109"/>
  <c r="H388" i="109"/>
  <c r="H387" i="109"/>
  <c r="H386" i="109"/>
  <c r="H385" i="109"/>
  <c r="H384" i="109"/>
  <c r="H383" i="109"/>
  <c r="H382" i="109"/>
  <c r="H381" i="109"/>
  <c r="H380" i="109"/>
  <c r="H379" i="109"/>
  <c r="H378" i="109"/>
  <c r="H377" i="109"/>
  <c r="H376" i="109"/>
  <c r="H375" i="109"/>
  <c r="H374" i="109"/>
  <c r="H373" i="109"/>
  <c r="H372" i="109"/>
  <c r="H371" i="109"/>
  <c r="H370" i="109"/>
  <c r="H369" i="109"/>
  <c r="H368" i="109"/>
  <c r="H367" i="109"/>
  <c r="H366" i="109"/>
  <c r="H365" i="109"/>
  <c r="H364" i="109"/>
  <c r="H363" i="109"/>
  <c r="H362" i="109"/>
  <c r="H361" i="109"/>
  <c r="H360" i="109"/>
  <c r="H359" i="109"/>
  <c r="H358" i="109"/>
  <c r="H357" i="109"/>
  <c r="H356" i="109"/>
  <c r="H355" i="109"/>
  <c r="H354" i="109"/>
  <c r="H353" i="109"/>
  <c r="H352" i="109"/>
  <c r="H351" i="109"/>
  <c r="H350" i="109"/>
  <c r="H349" i="109"/>
  <c r="H348" i="109"/>
  <c r="H347" i="109"/>
  <c r="H346" i="109"/>
  <c r="H345" i="109"/>
  <c r="H344" i="109"/>
  <c r="H343" i="109"/>
  <c r="H342" i="109"/>
  <c r="H341" i="109"/>
  <c r="H340" i="109"/>
  <c r="H339" i="109"/>
  <c r="H338" i="109"/>
  <c r="H337" i="109"/>
  <c r="H336" i="109"/>
  <c r="H335" i="109"/>
  <c r="H334" i="109"/>
  <c r="H333" i="109"/>
  <c r="H332" i="109"/>
  <c r="H331" i="109"/>
  <c r="H330" i="109"/>
  <c r="H329" i="109"/>
  <c r="H328" i="109"/>
  <c r="H327" i="109"/>
  <c r="H326" i="109"/>
  <c r="H325" i="109"/>
  <c r="H324" i="109"/>
  <c r="H323" i="109"/>
  <c r="H322" i="109"/>
  <c r="H321" i="109"/>
  <c r="H320" i="109"/>
  <c r="H319" i="109"/>
  <c r="H318" i="109"/>
  <c r="H317" i="109"/>
  <c r="H316" i="109"/>
  <c r="H315" i="109"/>
  <c r="H314" i="109"/>
  <c r="H313" i="109"/>
  <c r="H312" i="109"/>
  <c r="H311" i="109"/>
  <c r="H310" i="109"/>
  <c r="H309" i="109"/>
  <c r="H308" i="109"/>
  <c r="H307" i="109"/>
  <c r="H306" i="109"/>
  <c r="H305" i="109"/>
  <c r="H304" i="109"/>
  <c r="H303" i="109"/>
  <c r="H302" i="109"/>
  <c r="H301" i="109"/>
  <c r="H300" i="109"/>
  <c r="H299" i="109"/>
  <c r="H298" i="109"/>
  <c r="H297" i="109"/>
  <c r="H296" i="109"/>
  <c r="H295" i="109"/>
  <c r="H294" i="109"/>
  <c r="H293" i="109"/>
  <c r="H292" i="109"/>
  <c r="H291" i="109"/>
  <c r="H290" i="109"/>
  <c r="H289" i="109"/>
  <c r="H288" i="109"/>
  <c r="H287" i="109"/>
  <c r="H286" i="109"/>
  <c r="H285" i="109"/>
  <c r="H284" i="109"/>
  <c r="H283" i="109"/>
  <c r="H282" i="109"/>
  <c r="H281" i="109"/>
  <c r="H280" i="109"/>
  <c r="H279" i="109"/>
  <c r="H278" i="109"/>
  <c r="H277" i="109"/>
  <c r="H276" i="109"/>
  <c r="H275" i="109"/>
  <c r="H274" i="109"/>
  <c r="H273" i="109"/>
  <c r="H272" i="109"/>
  <c r="H271" i="109"/>
  <c r="H270" i="109"/>
  <c r="H269" i="109"/>
  <c r="H268" i="109"/>
  <c r="H267" i="109"/>
  <c r="H266" i="109"/>
  <c r="H265" i="109"/>
  <c r="H264" i="109"/>
  <c r="H263" i="109"/>
  <c r="H262" i="109"/>
  <c r="H261" i="109"/>
  <c r="H260" i="109"/>
  <c r="H259" i="109"/>
  <c r="H258" i="109"/>
  <c r="H257" i="109"/>
  <c r="H256" i="109"/>
  <c r="H255" i="109"/>
  <c r="H254" i="109"/>
  <c r="H253" i="109"/>
  <c r="H252" i="109"/>
  <c r="H251" i="109"/>
  <c r="H250" i="109"/>
  <c r="H249" i="109"/>
  <c r="H248" i="109"/>
  <c r="H247" i="109"/>
  <c r="H246" i="109"/>
  <c r="H245" i="109"/>
  <c r="H244" i="109"/>
  <c r="H243" i="109"/>
  <c r="H242" i="109"/>
  <c r="H241" i="109"/>
  <c r="H240" i="109"/>
  <c r="H239" i="109"/>
  <c r="H238" i="109"/>
  <c r="H237" i="109"/>
  <c r="H236" i="109"/>
  <c r="H235" i="109"/>
  <c r="H234" i="109"/>
  <c r="H233" i="109"/>
  <c r="H232" i="109"/>
  <c r="H231" i="109"/>
  <c r="H230" i="109"/>
  <c r="H229" i="109"/>
  <c r="H228" i="109"/>
  <c r="H227" i="109"/>
  <c r="H226" i="109"/>
  <c r="H225" i="109"/>
  <c r="H224" i="109"/>
  <c r="H223" i="109"/>
  <c r="H222" i="109"/>
  <c r="H221" i="109"/>
  <c r="H220" i="109"/>
  <c r="H219" i="109"/>
  <c r="H218" i="109"/>
  <c r="H217" i="109"/>
  <c r="H216" i="109"/>
  <c r="H215" i="109"/>
  <c r="H214" i="109"/>
  <c r="H213" i="109"/>
  <c r="H212" i="109"/>
  <c r="H211" i="109"/>
  <c r="H210" i="109"/>
  <c r="H209" i="109"/>
  <c r="H208" i="109"/>
  <c r="H207" i="109"/>
  <c r="H206" i="109"/>
  <c r="H205" i="109"/>
  <c r="H204" i="109"/>
  <c r="H203" i="109"/>
  <c r="H202" i="109"/>
  <c r="H201" i="109"/>
  <c r="H200" i="109"/>
  <c r="H199" i="109"/>
  <c r="H198" i="109"/>
  <c r="H197" i="109"/>
  <c r="H196" i="109"/>
  <c r="H195" i="109"/>
  <c r="H194" i="109"/>
  <c r="H193" i="109"/>
  <c r="H192" i="109"/>
  <c r="H191" i="109"/>
  <c r="H190" i="109"/>
  <c r="H189" i="109"/>
  <c r="H188" i="109"/>
  <c r="H187" i="109"/>
  <c r="H186" i="109"/>
  <c r="H185" i="109"/>
  <c r="H184" i="109"/>
  <c r="H183" i="109"/>
  <c r="H182" i="109"/>
  <c r="H181" i="109"/>
  <c r="H180" i="109"/>
  <c r="H179" i="109"/>
  <c r="H178" i="109"/>
  <c r="H177" i="109"/>
  <c r="H176" i="109"/>
  <c r="H175" i="109"/>
  <c r="H174" i="109"/>
  <c r="H173" i="109"/>
  <c r="H172" i="109"/>
  <c r="H171" i="109"/>
  <c r="H170" i="109"/>
  <c r="H169" i="109"/>
  <c r="H168" i="109"/>
  <c r="H167" i="109"/>
  <c r="H166" i="109"/>
  <c r="H165" i="109"/>
  <c r="H164" i="109"/>
  <c r="H163" i="109"/>
  <c r="H162" i="109"/>
  <c r="H161" i="109"/>
  <c r="H160" i="109"/>
  <c r="H159" i="109"/>
  <c r="H158" i="109"/>
  <c r="H157" i="109"/>
  <c r="H156" i="109"/>
  <c r="H155" i="109"/>
  <c r="H154" i="109"/>
  <c r="H153" i="109"/>
  <c r="H152" i="109"/>
  <c r="H151" i="109"/>
  <c r="H150" i="109"/>
  <c r="H149" i="109"/>
  <c r="H148" i="109"/>
  <c r="H147" i="109"/>
  <c r="H146" i="109"/>
  <c r="H145" i="109"/>
  <c r="H144" i="109"/>
  <c r="H143" i="109"/>
  <c r="H142" i="109"/>
  <c r="H141" i="109"/>
  <c r="H140" i="109"/>
  <c r="H139" i="109"/>
  <c r="H138" i="109"/>
  <c r="H137" i="109"/>
  <c r="H136" i="109"/>
  <c r="H135" i="109"/>
  <c r="H134" i="109"/>
  <c r="H133" i="109"/>
  <c r="H132" i="109"/>
  <c r="H131" i="109"/>
  <c r="H130" i="109"/>
  <c r="H129" i="109"/>
  <c r="H128" i="109"/>
  <c r="H127" i="109"/>
  <c r="H126" i="109"/>
  <c r="H125" i="109"/>
  <c r="H124" i="109"/>
  <c r="H123" i="109"/>
  <c r="H122" i="109"/>
  <c r="H121" i="109"/>
  <c r="H120" i="109"/>
  <c r="H119" i="109"/>
  <c r="H118" i="109"/>
  <c r="H117" i="109"/>
  <c r="H116" i="109"/>
  <c r="H115" i="109"/>
  <c r="H114" i="109"/>
  <c r="H113" i="109"/>
  <c r="H112" i="109"/>
  <c r="H111" i="109"/>
  <c r="H110" i="109"/>
  <c r="H109" i="109"/>
  <c r="H108" i="109"/>
  <c r="H107" i="109"/>
  <c r="H106" i="109"/>
  <c r="H105" i="109"/>
  <c r="H104" i="109"/>
  <c r="H103" i="109"/>
  <c r="H102" i="109"/>
  <c r="H101" i="109"/>
  <c r="H100" i="109"/>
  <c r="H99" i="109"/>
  <c r="H98" i="109"/>
  <c r="H97" i="109"/>
  <c r="H96" i="109"/>
  <c r="H95" i="109"/>
  <c r="H94" i="109"/>
  <c r="H93" i="109"/>
  <c r="H92" i="109"/>
  <c r="H91" i="109"/>
  <c r="H90" i="109"/>
  <c r="H89" i="109"/>
  <c r="H88" i="109"/>
  <c r="H87" i="109"/>
  <c r="H86" i="109"/>
  <c r="H85" i="109"/>
  <c r="H84" i="109"/>
  <c r="H83" i="109"/>
  <c r="H82" i="109"/>
  <c r="H81" i="109"/>
  <c r="H80" i="109"/>
  <c r="H79" i="109"/>
  <c r="H78" i="109"/>
  <c r="H77" i="109"/>
  <c r="H76" i="109"/>
  <c r="H75" i="109"/>
  <c r="H74" i="109"/>
  <c r="H73" i="109"/>
  <c r="H72" i="109"/>
  <c r="H71" i="109"/>
  <c r="H70" i="109"/>
  <c r="H69" i="109"/>
  <c r="H68" i="109"/>
  <c r="H67" i="109"/>
  <c r="H66" i="109"/>
  <c r="H65" i="109"/>
  <c r="H64" i="109"/>
  <c r="H63" i="109"/>
  <c r="H62" i="109"/>
  <c r="H61" i="109"/>
  <c r="H60" i="109"/>
  <c r="H59" i="109"/>
  <c r="H58" i="109"/>
  <c r="H57" i="109"/>
  <c r="H56" i="109"/>
  <c r="H55" i="109"/>
  <c r="H54" i="109"/>
  <c r="H53" i="109"/>
  <c r="H52" i="109"/>
  <c r="H51" i="109"/>
  <c r="H50" i="109"/>
  <c r="H49" i="109"/>
  <c r="H48" i="109"/>
  <c r="H47" i="109"/>
  <c r="H46" i="109"/>
  <c r="H45" i="109"/>
  <c r="H44" i="109"/>
  <c r="H43" i="109"/>
  <c r="H42" i="109"/>
  <c r="H41" i="109"/>
  <c r="H40" i="109"/>
  <c r="H39" i="109"/>
  <c r="H38" i="109"/>
  <c r="H37" i="109"/>
  <c r="H36" i="109"/>
  <c r="H35" i="109"/>
  <c r="H34" i="109"/>
  <c r="H33" i="109"/>
  <c r="H32" i="109"/>
  <c r="H31" i="109"/>
  <c r="H30" i="109"/>
  <c r="H29" i="109"/>
  <c r="H28" i="109"/>
  <c r="H27" i="109"/>
  <c r="H26" i="109"/>
  <c r="H25" i="109"/>
  <c r="H24" i="109"/>
  <c r="H23" i="109"/>
  <c r="H22" i="109"/>
  <c r="H21" i="109"/>
  <c r="H20" i="109"/>
  <c r="H19" i="109"/>
  <c r="H18" i="109"/>
  <c r="H17" i="109"/>
  <c r="H16" i="109"/>
  <c r="H15" i="109"/>
  <c r="H14" i="109"/>
  <c r="H13" i="109"/>
  <c r="H12" i="109"/>
  <c r="H11" i="109"/>
  <c r="H10" i="109"/>
  <c r="H9" i="109"/>
  <c r="H8" i="109"/>
  <c r="H7" i="109"/>
  <c r="H6" i="109"/>
  <c r="H5" i="109"/>
  <c r="H4" i="109"/>
  <c r="H3" i="109"/>
  <c r="H2" i="109"/>
  <c r="B1207" i="109"/>
  <c r="B1206" i="109"/>
  <c r="B1205" i="109"/>
  <c r="B1204" i="109"/>
  <c r="B1203" i="109"/>
  <c r="B1202" i="109"/>
  <c r="B1201" i="109"/>
  <c r="B1200" i="109"/>
  <c r="B1199" i="109"/>
  <c r="B1198" i="109"/>
  <c r="B1197" i="109"/>
  <c r="B1196" i="109"/>
  <c r="B1195" i="109"/>
  <c r="B1194" i="109"/>
  <c r="B1193" i="109"/>
  <c r="B1192" i="109"/>
  <c r="B1191" i="109"/>
  <c r="B1190" i="109"/>
  <c r="B1189" i="109"/>
  <c r="B1188" i="109"/>
  <c r="B1187" i="109"/>
  <c r="B1186" i="109"/>
  <c r="B1185" i="109"/>
  <c r="B1184" i="109"/>
  <c r="B1183" i="109"/>
  <c r="B1182" i="109"/>
  <c r="B1181" i="109"/>
  <c r="B1180" i="109"/>
  <c r="B1179" i="109"/>
  <c r="B1178" i="109"/>
  <c r="B1177" i="109"/>
  <c r="B1176" i="109"/>
  <c r="B1175" i="109"/>
  <c r="B1174" i="109"/>
  <c r="B1173" i="109"/>
  <c r="B1172" i="109"/>
  <c r="B1171" i="109"/>
  <c r="B1170" i="109"/>
  <c r="B1169" i="109"/>
  <c r="B1168" i="109"/>
  <c r="B1167" i="109"/>
  <c r="B1166" i="109"/>
  <c r="B1165" i="109"/>
  <c r="B1164" i="109"/>
  <c r="B1163" i="109"/>
  <c r="B1162" i="109"/>
  <c r="B1161" i="109"/>
  <c r="B1160" i="109"/>
  <c r="B1159" i="109"/>
  <c r="B1158" i="109"/>
  <c r="B1157" i="109"/>
  <c r="B1156" i="109"/>
  <c r="B1155" i="109"/>
  <c r="B1154" i="109"/>
  <c r="B1153" i="109"/>
  <c r="B1152" i="109"/>
  <c r="B1151" i="109"/>
  <c r="B1150" i="109"/>
  <c r="B1149" i="109"/>
  <c r="B1148" i="109"/>
  <c r="B1147" i="109"/>
  <c r="B1146" i="109"/>
  <c r="B1145" i="109"/>
  <c r="B1144" i="109"/>
  <c r="B1143" i="109"/>
  <c r="B1142" i="109"/>
  <c r="B1141" i="109"/>
  <c r="B1140" i="109"/>
  <c r="B1139" i="109"/>
  <c r="B1138" i="109"/>
  <c r="B1137" i="109"/>
  <c r="B1136" i="109"/>
  <c r="B1135" i="109"/>
  <c r="B1134" i="109"/>
  <c r="B1133" i="109"/>
  <c r="B1132" i="109"/>
  <c r="B1131" i="109"/>
  <c r="B1130" i="109"/>
  <c r="B1129" i="109"/>
  <c r="B1128" i="109"/>
  <c r="B1127" i="109"/>
  <c r="B1126" i="109"/>
  <c r="B1125" i="109"/>
  <c r="B1124" i="109"/>
  <c r="B1123" i="109"/>
  <c r="B1122" i="109"/>
  <c r="B1121" i="109"/>
  <c r="B1120" i="109"/>
  <c r="B1119" i="109"/>
  <c r="B1118" i="109"/>
  <c r="B1117" i="109"/>
  <c r="B1116" i="109"/>
  <c r="B1115" i="109"/>
  <c r="B1114" i="109"/>
  <c r="B1113" i="109"/>
  <c r="B1112" i="109"/>
  <c r="B1111" i="109"/>
  <c r="B1110" i="109"/>
  <c r="B1109" i="109"/>
  <c r="B1108" i="109"/>
  <c r="B1107" i="109"/>
  <c r="B1106" i="109"/>
  <c r="B1105" i="109"/>
  <c r="B1104" i="109"/>
  <c r="B1103" i="109"/>
  <c r="B1102" i="109"/>
  <c r="B1101" i="109"/>
  <c r="B1100" i="109"/>
  <c r="B1099" i="109"/>
  <c r="B1098" i="109"/>
  <c r="B1097" i="109"/>
  <c r="B1096" i="109"/>
  <c r="B1095" i="109"/>
  <c r="B1094" i="109"/>
  <c r="B1093" i="109"/>
  <c r="B1092" i="109"/>
  <c r="B1091" i="109"/>
  <c r="B1090" i="109"/>
  <c r="B1089" i="109"/>
  <c r="B1088" i="109"/>
  <c r="B1087" i="109"/>
  <c r="B1086" i="109"/>
  <c r="B1085" i="109"/>
  <c r="B1084" i="109"/>
  <c r="B1083" i="109"/>
  <c r="B1082" i="109"/>
  <c r="B1081" i="109"/>
  <c r="B1080" i="109"/>
  <c r="B1079" i="109"/>
  <c r="B1078" i="109"/>
  <c r="B1077" i="109"/>
  <c r="B1076" i="109"/>
  <c r="B1075" i="109"/>
  <c r="B1074" i="109"/>
  <c r="B1073" i="109"/>
  <c r="B1072" i="109"/>
  <c r="B1071" i="109"/>
  <c r="B1070" i="109"/>
  <c r="B1069" i="109"/>
  <c r="B1068" i="109"/>
  <c r="B1067" i="109"/>
  <c r="B1066" i="109"/>
  <c r="B1065" i="109"/>
  <c r="B1064" i="109"/>
  <c r="B1063" i="109"/>
  <c r="B1062" i="109"/>
  <c r="B1061" i="109"/>
  <c r="B1060" i="109"/>
  <c r="B1059" i="109"/>
  <c r="B1058" i="109"/>
  <c r="B1057" i="109"/>
  <c r="B1056" i="109"/>
  <c r="B1055" i="109"/>
  <c r="B1054" i="109"/>
  <c r="B1053" i="109"/>
  <c r="B1052" i="109"/>
  <c r="B1051" i="109"/>
  <c r="B1050" i="109"/>
  <c r="B1049" i="109"/>
  <c r="B1048" i="109"/>
  <c r="B1047" i="109"/>
  <c r="B1046" i="109"/>
  <c r="B1045" i="109"/>
  <c r="B1044" i="109"/>
  <c r="B1043" i="109"/>
  <c r="B1042" i="109"/>
  <c r="B1041" i="109"/>
  <c r="B1040" i="109"/>
  <c r="B1039" i="109"/>
  <c r="B1038" i="109"/>
  <c r="B1037" i="109"/>
  <c r="B1036" i="109"/>
  <c r="B1035" i="109"/>
  <c r="B1034" i="109"/>
  <c r="B1033" i="109"/>
  <c r="B1032" i="109"/>
  <c r="B1031" i="109"/>
  <c r="B1030" i="109"/>
  <c r="B1029" i="109"/>
  <c r="B1028" i="109"/>
  <c r="B1027" i="109"/>
  <c r="B1026" i="109"/>
  <c r="B1025" i="109"/>
  <c r="B1024" i="109"/>
  <c r="B1023" i="109"/>
  <c r="B1022" i="109"/>
  <c r="B1021" i="109"/>
  <c r="B1020" i="109"/>
  <c r="B1019" i="109"/>
  <c r="B1018" i="109"/>
  <c r="B1017" i="109"/>
  <c r="B1016" i="109"/>
  <c r="B1015" i="109"/>
  <c r="B1014" i="109"/>
  <c r="B1013" i="109"/>
  <c r="B1012" i="109"/>
  <c r="B1011" i="109"/>
  <c r="B1010" i="109"/>
  <c r="B1009" i="109"/>
  <c r="B1008" i="109"/>
  <c r="B1007" i="109"/>
  <c r="B1006" i="109"/>
  <c r="B1005" i="109"/>
  <c r="B1004" i="109"/>
  <c r="B1003" i="109"/>
  <c r="B1002" i="109"/>
  <c r="B1001" i="109"/>
  <c r="B1000" i="109"/>
  <c r="B999" i="109"/>
  <c r="B998" i="109"/>
  <c r="B997" i="109"/>
  <c r="B996" i="109"/>
  <c r="B995" i="109"/>
  <c r="B994" i="109"/>
  <c r="B993" i="109"/>
  <c r="B992" i="109"/>
  <c r="B991" i="109"/>
  <c r="B990" i="109"/>
  <c r="B989" i="109"/>
  <c r="B988" i="109"/>
  <c r="B987" i="109"/>
  <c r="B986" i="109"/>
  <c r="B985" i="109"/>
  <c r="B984" i="109"/>
  <c r="B983" i="109"/>
  <c r="B982" i="109"/>
  <c r="B981" i="109"/>
  <c r="B980" i="109"/>
  <c r="B979" i="109"/>
  <c r="B978" i="109"/>
  <c r="B977" i="109"/>
  <c r="B976" i="109"/>
  <c r="B975" i="109"/>
  <c r="B974" i="109"/>
  <c r="B973" i="109"/>
  <c r="B972" i="109"/>
  <c r="B971" i="109"/>
  <c r="B970" i="109"/>
  <c r="B969" i="109"/>
  <c r="B968" i="109"/>
  <c r="B967" i="109"/>
  <c r="B966" i="109"/>
  <c r="B965" i="109"/>
  <c r="B964" i="109"/>
  <c r="B963" i="109"/>
  <c r="B962" i="109"/>
  <c r="B961" i="109"/>
  <c r="B960" i="109"/>
  <c r="B959" i="109"/>
  <c r="B958" i="109"/>
  <c r="B957" i="109"/>
  <c r="B956" i="109"/>
  <c r="B955" i="109"/>
  <c r="B954" i="109"/>
  <c r="B953" i="109"/>
  <c r="B952" i="109"/>
  <c r="B951" i="109"/>
  <c r="B950" i="109"/>
  <c r="B949" i="109"/>
  <c r="B948" i="109"/>
  <c r="B947" i="109"/>
  <c r="B946" i="109"/>
  <c r="B945" i="109"/>
  <c r="B944" i="109"/>
  <c r="B943" i="109"/>
  <c r="B942" i="109"/>
  <c r="B941" i="109"/>
  <c r="B940" i="109"/>
  <c r="B939" i="109"/>
  <c r="B938" i="109"/>
  <c r="B937" i="109"/>
  <c r="B936" i="109"/>
  <c r="B935" i="109"/>
  <c r="B934" i="109"/>
  <c r="B933" i="109"/>
  <c r="B932" i="109"/>
  <c r="B931" i="109"/>
  <c r="B930" i="109"/>
  <c r="B929" i="109"/>
  <c r="B928" i="109"/>
  <c r="B927" i="109"/>
  <c r="B926" i="109"/>
  <c r="B925" i="109"/>
  <c r="B924" i="109"/>
  <c r="B923" i="109"/>
  <c r="B922" i="109"/>
  <c r="B921" i="109"/>
  <c r="B920" i="109"/>
  <c r="B919" i="109"/>
  <c r="B918" i="109"/>
  <c r="B917" i="109"/>
  <c r="B916" i="109"/>
  <c r="B915" i="109"/>
  <c r="B914" i="109"/>
  <c r="B913" i="109"/>
  <c r="B912" i="109"/>
  <c r="B911" i="109"/>
  <c r="B910" i="109"/>
  <c r="B909" i="109"/>
  <c r="B908" i="109"/>
  <c r="B907" i="109"/>
  <c r="B906" i="109"/>
  <c r="B905" i="109"/>
  <c r="B904" i="109"/>
  <c r="B903" i="109"/>
  <c r="B902" i="109"/>
  <c r="B901" i="109"/>
  <c r="B900" i="109"/>
  <c r="B899" i="109"/>
  <c r="B898" i="109"/>
  <c r="B897" i="109"/>
  <c r="B896" i="109"/>
  <c r="B895" i="109"/>
  <c r="B894" i="109"/>
  <c r="B893" i="109"/>
  <c r="B892" i="109"/>
  <c r="B891" i="109"/>
  <c r="B890" i="109"/>
  <c r="B889" i="109"/>
  <c r="B888" i="109"/>
  <c r="B887" i="109"/>
  <c r="B886" i="109"/>
  <c r="B885" i="109"/>
  <c r="B884" i="109"/>
  <c r="B883" i="109"/>
  <c r="B882" i="109"/>
  <c r="B881" i="109"/>
  <c r="B880" i="109"/>
  <c r="B879" i="109"/>
  <c r="B878" i="109"/>
  <c r="B877" i="109"/>
  <c r="B876" i="109"/>
  <c r="B875" i="109"/>
  <c r="B874" i="109"/>
  <c r="B873" i="109"/>
  <c r="B872" i="109"/>
  <c r="B871" i="109"/>
  <c r="B870" i="109"/>
  <c r="B869" i="109"/>
  <c r="B868" i="109"/>
  <c r="B867" i="109"/>
  <c r="B866" i="109"/>
  <c r="B865" i="109"/>
  <c r="B864" i="109"/>
  <c r="B863" i="109"/>
  <c r="B862" i="109"/>
  <c r="B861" i="109"/>
  <c r="B860" i="109"/>
  <c r="B859" i="109"/>
  <c r="B858" i="109"/>
  <c r="B857" i="109"/>
  <c r="B856" i="109"/>
  <c r="B855" i="109"/>
  <c r="B854" i="109"/>
  <c r="B853" i="109"/>
  <c r="B852" i="109"/>
  <c r="B851" i="109"/>
  <c r="B850" i="109"/>
  <c r="B849" i="109"/>
  <c r="B848" i="109"/>
  <c r="B847" i="109"/>
  <c r="B846" i="109"/>
  <c r="B845" i="109"/>
  <c r="B844" i="109"/>
  <c r="B843" i="109"/>
  <c r="B842" i="109"/>
  <c r="B841" i="109"/>
  <c r="B840" i="109"/>
  <c r="B839" i="109"/>
  <c r="B838" i="109"/>
  <c r="B837" i="109"/>
  <c r="B836" i="109"/>
  <c r="B835" i="109"/>
  <c r="B834" i="109"/>
  <c r="B833" i="109"/>
  <c r="B832" i="109"/>
  <c r="B831" i="109"/>
  <c r="B830" i="109"/>
  <c r="B829" i="109"/>
  <c r="B828" i="109"/>
  <c r="B827" i="109"/>
  <c r="B826" i="109"/>
  <c r="B825" i="109"/>
  <c r="B824" i="109"/>
  <c r="B823" i="109"/>
  <c r="B822" i="109"/>
  <c r="B821" i="109"/>
  <c r="B820" i="109"/>
  <c r="B819" i="109"/>
  <c r="B818" i="109"/>
  <c r="B817" i="109"/>
  <c r="B816" i="109"/>
  <c r="B815" i="109"/>
  <c r="B814" i="109"/>
  <c r="B813" i="109"/>
  <c r="B812" i="109"/>
  <c r="B811" i="109"/>
  <c r="B810" i="109"/>
  <c r="B809" i="109"/>
  <c r="B808" i="109"/>
  <c r="B807" i="109"/>
  <c r="B806" i="109"/>
  <c r="B805" i="109"/>
  <c r="B804" i="109"/>
  <c r="B803" i="109"/>
  <c r="B802" i="109"/>
  <c r="B801" i="109"/>
  <c r="B800" i="109"/>
  <c r="B799" i="109"/>
  <c r="B798" i="109"/>
  <c r="B797" i="109"/>
  <c r="B796" i="109"/>
  <c r="B795" i="109"/>
  <c r="B794" i="109"/>
  <c r="B793" i="109"/>
  <c r="B792" i="109"/>
  <c r="B791" i="109"/>
  <c r="B790" i="109"/>
  <c r="B789" i="109"/>
  <c r="B788" i="109"/>
  <c r="B787" i="109"/>
  <c r="B786" i="109"/>
  <c r="B785" i="109"/>
  <c r="B784" i="109"/>
  <c r="B783" i="109"/>
  <c r="B782" i="109"/>
  <c r="B781" i="109"/>
  <c r="B780" i="109"/>
  <c r="B779" i="109"/>
  <c r="B778" i="109"/>
  <c r="B777" i="109"/>
  <c r="B776" i="109"/>
  <c r="B775" i="109"/>
  <c r="B774" i="109"/>
  <c r="B773" i="109"/>
  <c r="B772" i="109"/>
  <c r="B771" i="109"/>
  <c r="B770" i="109"/>
  <c r="B769" i="109"/>
  <c r="B768" i="109"/>
  <c r="B767" i="109"/>
  <c r="B766" i="109"/>
  <c r="B765" i="109"/>
  <c r="B764" i="109"/>
  <c r="B763" i="109"/>
  <c r="B762" i="109"/>
  <c r="B761" i="109"/>
  <c r="B760" i="109"/>
  <c r="B759" i="109"/>
  <c r="B758" i="109"/>
  <c r="B757" i="109"/>
  <c r="B756" i="109"/>
  <c r="B755" i="109"/>
  <c r="B754" i="109"/>
  <c r="B753" i="109"/>
  <c r="B752" i="109"/>
  <c r="B751" i="109"/>
  <c r="B750" i="109"/>
  <c r="B749" i="109"/>
  <c r="B748" i="109"/>
  <c r="B747" i="109"/>
  <c r="B746" i="109"/>
  <c r="B745" i="109"/>
  <c r="B744" i="109"/>
  <c r="B743" i="109"/>
  <c r="B742" i="109"/>
  <c r="B741" i="109"/>
  <c r="B740" i="109"/>
  <c r="B739" i="109"/>
  <c r="B738" i="109"/>
  <c r="B737" i="109"/>
  <c r="B736" i="109"/>
  <c r="B735" i="109"/>
  <c r="B734" i="109"/>
  <c r="B733" i="109"/>
  <c r="B732" i="109"/>
  <c r="B731" i="109"/>
  <c r="B730" i="109"/>
  <c r="B729" i="109"/>
  <c r="B728" i="109"/>
  <c r="B727" i="109"/>
  <c r="B726" i="109"/>
  <c r="B725" i="109"/>
  <c r="B724" i="109"/>
  <c r="B723" i="109"/>
  <c r="B722" i="109"/>
  <c r="B721" i="109"/>
  <c r="B720" i="109"/>
  <c r="B719" i="109"/>
  <c r="B718" i="109"/>
  <c r="B717" i="109"/>
  <c r="B716" i="109"/>
  <c r="B715" i="109"/>
  <c r="B714" i="109"/>
  <c r="B713" i="109"/>
  <c r="B712" i="109"/>
  <c r="B711" i="109"/>
  <c r="B710" i="109"/>
  <c r="B709" i="109"/>
  <c r="B708" i="109"/>
  <c r="B707" i="109"/>
  <c r="B706" i="109"/>
  <c r="B705" i="109"/>
  <c r="B704" i="109"/>
  <c r="B703" i="109"/>
  <c r="B702" i="109"/>
  <c r="B701" i="109"/>
  <c r="B700" i="109"/>
  <c r="B699" i="109"/>
  <c r="B698" i="109"/>
  <c r="B697" i="109"/>
  <c r="B696" i="109"/>
  <c r="B695" i="109"/>
  <c r="B694" i="109"/>
  <c r="B693" i="109"/>
  <c r="B692" i="109"/>
  <c r="B691" i="109"/>
  <c r="B690" i="109"/>
  <c r="B689" i="109"/>
  <c r="B688" i="109"/>
  <c r="B687" i="109"/>
  <c r="B686" i="109"/>
  <c r="B685" i="109"/>
  <c r="B684" i="109"/>
  <c r="B683" i="109"/>
  <c r="B682" i="109"/>
  <c r="B681" i="109"/>
  <c r="B680" i="109"/>
  <c r="B679" i="109"/>
  <c r="B678" i="109"/>
  <c r="B677" i="109"/>
  <c r="B676" i="109"/>
  <c r="B675" i="109"/>
  <c r="B674" i="109"/>
  <c r="B673" i="109"/>
  <c r="B672" i="109"/>
  <c r="B671" i="109"/>
  <c r="B670" i="109"/>
  <c r="B669" i="109"/>
  <c r="B668" i="109"/>
  <c r="B667" i="109"/>
  <c r="B666" i="109"/>
  <c r="B665" i="109"/>
  <c r="B664" i="109"/>
  <c r="B663" i="109"/>
  <c r="B662" i="109"/>
  <c r="B661" i="109"/>
  <c r="B660" i="109"/>
  <c r="B659" i="109"/>
  <c r="B658" i="109"/>
  <c r="B657" i="109"/>
  <c r="B656" i="109"/>
  <c r="B655" i="109"/>
  <c r="B654" i="109"/>
  <c r="B653" i="109"/>
  <c r="B652" i="109"/>
  <c r="B651" i="109"/>
  <c r="B650" i="109"/>
  <c r="B649" i="109"/>
  <c r="B648" i="109"/>
  <c r="B647" i="109"/>
  <c r="B646" i="109"/>
  <c r="B645" i="109"/>
  <c r="B644" i="109"/>
  <c r="B643" i="109"/>
  <c r="B642" i="109"/>
  <c r="B641" i="109"/>
  <c r="B640" i="109"/>
  <c r="B639" i="109"/>
  <c r="B638" i="109"/>
  <c r="B637" i="109"/>
  <c r="B636" i="109"/>
  <c r="B635" i="109"/>
  <c r="B634" i="109"/>
  <c r="B633" i="109"/>
  <c r="B632" i="109"/>
  <c r="B631" i="109"/>
  <c r="B630" i="109"/>
  <c r="B629" i="109"/>
  <c r="B628" i="109"/>
  <c r="B627" i="109"/>
  <c r="B626" i="109"/>
  <c r="B625" i="109"/>
  <c r="B624" i="109"/>
  <c r="B623" i="109"/>
  <c r="B622" i="109"/>
  <c r="B621" i="109"/>
  <c r="B620" i="109"/>
  <c r="B619" i="109"/>
  <c r="B618" i="109"/>
  <c r="B617" i="109"/>
  <c r="B616" i="109"/>
  <c r="B615" i="109"/>
  <c r="B614" i="109"/>
  <c r="B613" i="109"/>
  <c r="B612" i="109"/>
  <c r="B611" i="109"/>
  <c r="B610" i="109"/>
  <c r="B609" i="109"/>
  <c r="B608" i="109"/>
  <c r="B607" i="109"/>
  <c r="B606" i="109"/>
  <c r="B605" i="109"/>
  <c r="B604" i="109"/>
  <c r="B603" i="109"/>
  <c r="B602" i="109"/>
  <c r="B601" i="109"/>
  <c r="B600" i="109"/>
  <c r="B599" i="109"/>
  <c r="B598" i="109"/>
  <c r="B597" i="109"/>
  <c r="B596" i="109"/>
  <c r="B595" i="109"/>
  <c r="B594" i="109"/>
  <c r="B593" i="109"/>
  <c r="B592" i="109"/>
  <c r="B591" i="109"/>
  <c r="B590" i="109"/>
  <c r="B589" i="109"/>
  <c r="B588" i="109"/>
  <c r="B587" i="109"/>
  <c r="B586" i="109"/>
  <c r="B585" i="109"/>
  <c r="B584" i="109"/>
  <c r="B583" i="109"/>
  <c r="B582" i="109"/>
  <c r="B581" i="109"/>
  <c r="B580" i="109"/>
  <c r="B579" i="109"/>
  <c r="B578" i="109"/>
  <c r="B577" i="109"/>
  <c r="B576" i="109"/>
  <c r="B575" i="109"/>
  <c r="B574" i="109"/>
  <c r="B573" i="109"/>
  <c r="B572" i="109"/>
  <c r="B571" i="109"/>
  <c r="B570" i="109"/>
  <c r="B569" i="109"/>
  <c r="B568" i="109"/>
  <c r="B567" i="109"/>
  <c r="B566" i="109"/>
  <c r="B565" i="109"/>
  <c r="B564" i="109"/>
  <c r="B563" i="109"/>
  <c r="B562" i="109"/>
  <c r="B561" i="109"/>
  <c r="B560" i="109"/>
  <c r="B559" i="109"/>
  <c r="B558" i="109"/>
  <c r="B557" i="109"/>
  <c r="B556" i="109"/>
  <c r="B555" i="109"/>
  <c r="B554" i="109"/>
  <c r="B553" i="109"/>
  <c r="B552" i="109"/>
  <c r="B551" i="109"/>
  <c r="B550" i="109"/>
  <c r="B549" i="109"/>
  <c r="B548" i="109"/>
  <c r="B547" i="109"/>
  <c r="B546" i="109"/>
  <c r="B545" i="109"/>
  <c r="B544" i="109"/>
  <c r="B543" i="109"/>
  <c r="B542" i="109"/>
  <c r="B541" i="109"/>
  <c r="B540" i="109"/>
  <c r="B539" i="109"/>
  <c r="B538" i="109"/>
  <c r="B537" i="109"/>
  <c r="B536" i="109"/>
  <c r="B535" i="109"/>
  <c r="B534" i="109"/>
  <c r="B533" i="109"/>
  <c r="B532" i="109"/>
  <c r="B531" i="109"/>
  <c r="B530" i="109"/>
  <c r="B529" i="109"/>
  <c r="B528" i="109"/>
  <c r="B527" i="109"/>
  <c r="B526" i="109"/>
  <c r="B525" i="109"/>
  <c r="B524" i="109"/>
  <c r="B523" i="109"/>
  <c r="B522" i="109"/>
  <c r="B521" i="109"/>
  <c r="B520" i="109"/>
  <c r="B519" i="109"/>
  <c r="B518" i="109"/>
  <c r="B517" i="109"/>
  <c r="B516" i="109"/>
  <c r="B515" i="109"/>
  <c r="B514" i="109"/>
  <c r="B513" i="109"/>
  <c r="B512" i="109"/>
  <c r="B511" i="109"/>
  <c r="B510" i="109"/>
  <c r="B509" i="109"/>
  <c r="B508" i="109"/>
  <c r="B507" i="109"/>
  <c r="B506" i="109"/>
  <c r="B505" i="109"/>
  <c r="B504" i="109"/>
  <c r="B503" i="109"/>
  <c r="B502" i="109"/>
  <c r="B501" i="109"/>
  <c r="B500" i="109"/>
  <c r="B499" i="109"/>
  <c r="B498" i="109"/>
  <c r="B497" i="109"/>
  <c r="B496" i="109"/>
  <c r="B495" i="109"/>
  <c r="B494" i="109"/>
  <c r="B493" i="109"/>
  <c r="B492" i="109"/>
  <c r="B491" i="109"/>
  <c r="B490" i="109"/>
  <c r="B489" i="109"/>
  <c r="B488" i="109"/>
  <c r="B487" i="109"/>
  <c r="B486" i="109"/>
  <c r="B485" i="109"/>
  <c r="B484" i="109"/>
  <c r="B483" i="109"/>
  <c r="B482" i="109"/>
  <c r="B481" i="109"/>
  <c r="B480" i="109"/>
  <c r="B479" i="109"/>
  <c r="B478" i="109"/>
  <c r="B477" i="109"/>
  <c r="B476" i="109"/>
  <c r="B475" i="109"/>
  <c r="B474" i="109"/>
  <c r="B473" i="109"/>
  <c r="B472" i="109"/>
  <c r="B471" i="109"/>
  <c r="B470" i="109"/>
  <c r="B469" i="109"/>
  <c r="B468" i="109"/>
  <c r="B467" i="109"/>
  <c r="B466" i="109"/>
  <c r="B465" i="109"/>
  <c r="B464" i="109"/>
  <c r="B463" i="109"/>
  <c r="B462" i="109"/>
  <c r="B461" i="109"/>
  <c r="B460" i="109"/>
  <c r="B459" i="109"/>
  <c r="B458" i="109"/>
  <c r="B457" i="109"/>
  <c r="B456" i="109"/>
  <c r="B455" i="109"/>
  <c r="B454" i="109"/>
  <c r="B453" i="109"/>
  <c r="B452" i="109"/>
  <c r="B451" i="109"/>
  <c r="B450" i="109"/>
  <c r="B449" i="109"/>
  <c r="B448" i="109"/>
  <c r="B447" i="109"/>
  <c r="B446" i="109"/>
  <c r="B445" i="109"/>
  <c r="B444" i="109"/>
  <c r="B443" i="109"/>
  <c r="B442" i="109"/>
  <c r="B441" i="109"/>
  <c r="B440" i="109"/>
  <c r="B439" i="109"/>
  <c r="B438" i="109"/>
  <c r="B437" i="109"/>
  <c r="B436" i="109"/>
  <c r="B435" i="109"/>
  <c r="B434" i="109"/>
  <c r="B433" i="109"/>
  <c r="B432" i="109"/>
  <c r="B431" i="109"/>
  <c r="B430" i="109"/>
  <c r="B429" i="109"/>
  <c r="B428" i="109"/>
  <c r="B427" i="109"/>
  <c r="B426" i="109"/>
  <c r="B425" i="109"/>
  <c r="B424" i="109"/>
  <c r="B423" i="109"/>
  <c r="B422" i="109"/>
  <c r="B421" i="109"/>
  <c r="B420" i="109"/>
  <c r="B419" i="109"/>
  <c r="B418" i="109"/>
  <c r="B417" i="109"/>
  <c r="B416" i="109"/>
  <c r="B415" i="109"/>
  <c r="B414" i="109"/>
  <c r="B413" i="109"/>
  <c r="B412" i="109"/>
  <c r="B411" i="109"/>
  <c r="B410" i="109"/>
  <c r="B409" i="109"/>
  <c r="B408" i="109"/>
  <c r="B407" i="109"/>
  <c r="B406" i="109"/>
  <c r="B405" i="109"/>
  <c r="B404" i="109"/>
  <c r="B403" i="109"/>
  <c r="B402" i="109"/>
  <c r="B401" i="109"/>
  <c r="B400" i="109"/>
  <c r="B399" i="109"/>
  <c r="B398" i="109"/>
  <c r="B397" i="109"/>
  <c r="B396" i="109"/>
  <c r="B395" i="109"/>
  <c r="B394" i="109"/>
  <c r="B393" i="109"/>
  <c r="B392" i="109"/>
  <c r="B391" i="109"/>
  <c r="B390" i="109"/>
  <c r="B389" i="109"/>
  <c r="B388" i="109"/>
  <c r="B387" i="109"/>
  <c r="B386" i="109"/>
  <c r="B385" i="109"/>
  <c r="B384" i="109"/>
  <c r="B383" i="109"/>
  <c r="B382" i="109"/>
  <c r="B381" i="109"/>
  <c r="B380" i="109"/>
  <c r="B379" i="109"/>
  <c r="B378" i="109"/>
  <c r="B377" i="109"/>
  <c r="B376" i="109"/>
  <c r="B375" i="109"/>
  <c r="B374" i="109"/>
  <c r="B373" i="109"/>
  <c r="B372" i="109"/>
  <c r="B371" i="109"/>
  <c r="B370" i="109"/>
  <c r="B369" i="109"/>
  <c r="B368" i="109"/>
  <c r="B367" i="109"/>
  <c r="B366" i="109"/>
  <c r="B365" i="109"/>
  <c r="B364" i="109"/>
  <c r="B363" i="109"/>
  <c r="B362" i="109"/>
  <c r="B361" i="109"/>
  <c r="B360" i="109"/>
  <c r="B359" i="109"/>
  <c r="B358" i="109"/>
  <c r="B357" i="109"/>
  <c r="B356" i="109"/>
  <c r="B355" i="109"/>
  <c r="B354" i="109"/>
  <c r="B353" i="109"/>
  <c r="B352" i="109"/>
  <c r="B351" i="109"/>
  <c r="B350" i="109"/>
  <c r="B349" i="109"/>
  <c r="B348" i="109"/>
  <c r="B347" i="109"/>
  <c r="B346" i="109"/>
  <c r="B345" i="109"/>
  <c r="B344" i="109"/>
  <c r="B343" i="109"/>
  <c r="B342" i="109"/>
  <c r="B341" i="109"/>
  <c r="B340" i="109"/>
  <c r="B339" i="109"/>
  <c r="B338" i="109"/>
  <c r="B337" i="109"/>
  <c r="B336" i="109"/>
  <c r="B335" i="109"/>
  <c r="B334" i="109"/>
  <c r="B333" i="109"/>
  <c r="B332" i="109"/>
  <c r="B331" i="109"/>
  <c r="B330" i="109"/>
  <c r="B329" i="109"/>
  <c r="B328" i="109"/>
  <c r="B327" i="109"/>
  <c r="B326" i="109"/>
  <c r="B325" i="109"/>
  <c r="B324" i="109"/>
  <c r="B323" i="109"/>
  <c r="B322" i="109"/>
  <c r="B321" i="109"/>
  <c r="B320" i="109"/>
  <c r="B319" i="109"/>
  <c r="B318" i="109"/>
  <c r="B317" i="109"/>
  <c r="B316" i="109"/>
  <c r="B315" i="109"/>
  <c r="B314" i="109"/>
  <c r="B313" i="109"/>
  <c r="B312" i="109"/>
  <c r="B311" i="109"/>
  <c r="B310" i="109"/>
  <c r="B309" i="109"/>
  <c r="B308" i="109"/>
  <c r="B307" i="109"/>
  <c r="B306" i="109"/>
  <c r="B305" i="109"/>
  <c r="B304" i="109"/>
  <c r="B303" i="109"/>
  <c r="B302" i="109"/>
  <c r="B301" i="109"/>
  <c r="B300" i="109"/>
  <c r="B299" i="109"/>
  <c r="B298" i="109"/>
  <c r="B297" i="109"/>
  <c r="B296" i="109"/>
  <c r="B295" i="109"/>
  <c r="B294" i="109"/>
  <c r="B293" i="109"/>
  <c r="B292" i="109"/>
  <c r="B291" i="109"/>
  <c r="B290" i="109"/>
  <c r="B289" i="109"/>
  <c r="B288" i="109"/>
  <c r="B287" i="109"/>
  <c r="B286" i="109"/>
  <c r="B285" i="109"/>
  <c r="B284" i="109"/>
  <c r="B283" i="109"/>
  <c r="B282" i="109"/>
  <c r="B281" i="109"/>
  <c r="B280" i="109"/>
  <c r="B279" i="109"/>
  <c r="B278" i="109"/>
  <c r="B277" i="109"/>
  <c r="B276" i="109"/>
  <c r="B275" i="109"/>
  <c r="B274" i="109"/>
  <c r="B273" i="109"/>
  <c r="B272" i="109"/>
  <c r="B271" i="109"/>
  <c r="B270" i="109"/>
  <c r="B269" i="109"/>
  <c r="B268" i="109"/>
  <c r="B267" i="109"/>
  <c r="B266" i="109"/>
  <c r="B265" i="109"/>
  <c r="B264" i="109"/>
  <c r="B263" i="109"/>
  <c r="B262" i="109"/>
  <c r="B261" i="109"/>
  <c r="B260" i="109"/>
  <c r="B259" i="109"/>
  <c r="B258" i="109"/>
  <c r="B257" i="109"/>
  <c r="B256" i="109"/>
  <c r="B255" i="109"/>
  <c r="B254" i="109"/>
  <c r="B253" i="109"/>
  <c r="B252" i="109"/>
  <c r="B251" i="109"/>
  <c r="B250" i="109"/>
  <c r="B249" i="109"/>
  <c r="B248" i="109"/>
  <c r="B247" i="109"/>
  <c r="B246" i="109"/>
  <c r="B245" i="109"/>
  <c r="B244" i="109"/>
  <c r="B243" i="109"/>
  <c r="B242" i="109"/>
  <c r="B241" i="109"/>
  <c r="B240" i="109"/>
  <c r="B239" i="109"/>
  <c r="B238" i="109"/>
  <c r="B237" i="109"/>
  <c r="B236" i="109"/>
  <c r="B235" i="109"/>
  <c r="B234" i="109"/>
  <c r="B233" i="109"/>
  <c r="B232" i="109"/>
  <c r="B231" i="109"/>
  <c r="B230" i="109"/>
  <c r="B229" i="109"/>
  <c r="B228" i="109"/>
  <c r="B227" i="109"/>
  <c r="B226" i="109"/>
  <c r="B225" i="109"/>
  <c r="B224" i="109"/>
  <c r="B223" i="109"/>
  <c r="B222" i="109"/>
  <c r="B221" i="109"/>
  <c r="B220" i="109"/>
  <c r="B219" i="109"/>
  <c r="B218" i="109"/>
  <c r="B217" i="109"/>
  <c r="B216" i="109"/>
  <c r="B215" i="109"/>
  <c r="B214" i="109"/>
  <c r="B213" i="109"/>
  <c r="B212" i="109"/>
  <c r="B211" i="109"/>
  <c r="B210" i="109"/>
  <c r="B209" i="109"/>
  <c r="B208" i="109"/>
  <c r="B207" i="109"/>
  <c r="B206" i="109"/>
  <c r="B205" i="109"/>
  <c r="B204" i="109"/>
  <c r="B203" i="109"/>
  <c r="B202" i="109"/>
  <c r="B201" i="109"/>
  <c r="B200" i="109"/>
  <c r="B199" i="109"/>
  <c r="B198" i="109"/>
  <c r="B197" i="109"/>
  <c r="B196" i="109"/>
  <c r="B195" i="109"/>
  <c r="B194" i="109"/>
  <c r="B193" i="109"/>
  <c r="B192" i="109"/>
  <c r="B191" i="109"/>
  <c r="B190" i="109"/>
  <c r="B189" i="109"/>
  <c r="B188" i="109"/>
  <c r="B187" i="109"/>
  <c r="B186" i="109"/>
  <c r="B185" i="109"/>
  <c r="B184" i="109"/>
  <c r="B183" i="109"/>
  <c r="B182" i="109"/>
  <c r="B181" i="109"/>
  <c r="B180" i="109"/>
  <c r="B179" i="109"/>
  <c r="B178" i="109"/>
  <c r="B177" i="109"/>
  <c r="B176" i="109"/>
  <c r="B175" i="109"/>
  <c r="B174" i="109"/>
  <c r="B173" i="109"/>
  <c r="B172" i="109"/>
  <c r="B171" i="109"/>
  <c r="B170" i="109"/>
  <c r="B169" i="109"/>
  <c r="B168" i="109"/>
  <c r="B167" i="109"/>
  <c r="B166" i="109"/>
  <c r="B165" i="109"/>
  <c r="B164" i="109"/>
  <c r="B163" i="109"/>
  <c r="B162" i="109"/>
  <c r="B161" i="109"/>
  <c r="B160" i="109"/>
  <c r="B159" i="109"/>
  <c r="B158" i="109"/>
  <c r="B157" i="109"/>
  <c r="B156" i="109"/>
  <c r="B155" i="109"/>
  <c r="B154" i="109"/>
  <c r="B153" i="109"/>
  <c r="B152" i="109"/>
  <c r="B151" i="109"/>
  <c r="B150" i="109"/>
  <c r="B149" i="109"/>
  <c r="B148" i="109"/>
  <c r="B147" i="109"/>
  <c r="B146" i="109"/>
  <c r="B145" i="109"/>
  <c r="B144" i="109"/>
  <c r="B143" i="109"/>
  <c r="B142" i="109"/>
  <c r="B141" i="109"/>
  <c r="B140" i="109"/>
  <c r="B139" i="109"/>
  <c r="B138" i="109"/>
  <c r="B137" i="109"/>
  <c r="B136" i="109"/>
  <c r="B135" i="109"/>
  <c r="B134" i="109"/>
  <c r="B133" i="109"/>
  <c r="B132" i="109"/>
  <c r="B131" i="109"/>
  <c r="B130" i="109"/>
  <c r="B129" i="109"/>
  <c r="B128" i="109"/>
  <c r="B127" i="109"/>
  <c r="B126" i="109"/>
  <c r="B125" i="109"/>
  <c r="B124" i="109"/>
  <c r="B123" i="109"/>
  <c r="B122" i="109"/>
  <c r="B121" i="109"/>
  <c r="B120" i="109"/>
  <c r="B119" i="109"/>
  <c r="B118" i="109"/>
  <c r="B117" i="109"/>
  <c r="B116" i="109"/>
  <c r="B115" i="109"/>
  <c r="B114" i="109"/>
  <c r="B113" i="109"/>
  <c r="B112" i="109"/>
  <c r="B111" i="109"/>
  <c r="B110" i="109"/>
  <c r="B109" i="109"/>
  <c r="B108" i="109"/>
  <c r="B107" i="109"/>
  <c r="B106" i="109"/>
  <c r="B105" i="109"/>
  <c r="B104" i="109"/>
  <c r="B103" i="109"/>
  <c r="B102" i="109"/>
  <c r="B101" i="109"/>
  <c r="B100" i="109"/>
  <c r="B99" i="109"/>
  <c r="B98" i="109"/>
  <c r="B97" i="109"/>
  <c r="B96" i="109"/>
  <c r="B95" i="109"/>
  <c r="B94" i="109"/>
  <c r="B93" i="109"/>
  <c r="B92" i="109"/>
  <c r="B91" i="109"/>
  <c r="B90" i="109"/>
  <c r="B89" i="109"/>
  <c r="B88" i="109"/>
  <c r="B87" i="109"/>
  <c r="B86" i="109"/>
  <c r="B85" i="109"/>
  <c r="B84" i="109"/>
  <c r="B83" i="109"/>
  <c r="B82" i="109"/>
  <c r="B81" i="109"/>
  <c r="B80" i="109"/>
  <c r="B79" i="109"/>
  <c r="B78" i="109"/>
  <c r="B77" i="109"/>
  <c r="B76" i="109"/>
  <c r="B75" i="109"/>
  <c r="B74" i="109"/>
  <c r="B73" i="109"/>
  <c r="B72" i="109"/>
  <c r="B71" i="109"/>
  <c r="B70" i="109"/>
  <c r="B69" i="109"/>
  <c r="B68" i="109"/>
  <c r="B67" i="109"/>
  <c r="B66" i="109"/>
  <c r="B65" i="109"/>
  <c r="B64" i="109"/>
  <c r="B63" i="109"/>
  <c r="B62" i="109"/>
  <c r="B61" i="109"/>
  <c r="B60" i="109"/>
  <c r="B59" i="109"/>
  <c r="B58" i="109"/>
  <c r="B57" i="109"/>
  <c r="B56" i="109"/>
  <c r="B55" i="109"/>
  <c r="B54" i="109"/>
  <c r="B53" i="109"/>
  <c r="B52" i="109"/>
  <c r="B51" i="109"/>
  <c r="B50" i="109"/>
  <c r="B49" i="109"/>
  <c r="B48" i="109"/>
  <c r="B47" i="109"/>
  <c r="B46" i="109"/>
  <c r="B45" i="109"/>
  <c r="B44" i="109"/>
  <c r="B43" i="109"/>
  <c r="B42" i="109"/>
  <c r="B41" i="109"/>
  <c r="B40" i="109"/>
  <c r="B39" i="109"/>
  <c r="B38" i="109"/>
  <c r="B37" i="109"/>
  <c r="B36" i="109"/>
  <c r="B35" i="109"/>
  <c r="B34" i="109"/>
  <c r="B33" i="109"/>
  <c r="B32" i="109"/>
  <c r="B31" i="109"/>
  <c r="B30" i="109"/>
  <c r="B29" i="109"/>
  <c r="B28" i="109"/>
  <c r="B27" i="109"/>
  <c r="B26" i="109"/>
  <c r="B25" i="109"/>
  <c r="B24" i="109"/>
  <c r="B23" i="109"/>
  <c r="B22" i="109"/>
  <c r="B21" i="109"/>
  <c r="B20" i="109"/>
  <c r="B19" i="109"/>
  <c r="B18" i="109"/>
  <c r="B17" i="109"/>
  <c r="B16" i="109"/>
  <c r="B15" i="109"/>
  <c r="B14" i="109"/>
  <c r="B13" i="109"/>
  <c r="B12" i="109"/>
  <c r="B11" i="109"/>
  <c r="B10" i="109"/>
  <c r="B9" i="109"/>
  <c r="B8" i="109"/>
  <c r="B7" i="109"/>
  <c r="B6" i="109"/>
  <c r="B5" i="109"/>
  <c r="B4" i="109"/>
  <c r="B3" i="109"/>
  <c r="B2" i="109"/>
  <c r="O27" i="107"/>
  <c r="O27" i="58"/>
  <c r="O27" i="59"/>
  <c r="O27" i="60"/>
  <c r="O27" i="61"/>
  <c r="O27" i="62"/>
  <c r="O27" i="63"/>
  <c r="O27" i="64"/>
  <c r="O27" i="65"/>
  <c r="O27" i="66"/>
  <c r="O27" i="67"/>
  <c r="O27" i="68"/>
  <c r="O27" i="108"/>
  <c r="O27" i="69"/>
  <c r="O27" i="70"/>
  <c r="O27" i="71"/>
  <c r="O27" i="72"/>
  <c r="O27" i="73"/>
  <c r="O27" i="74"/>
  <c r="O27" i="75"/>
  <c r="O27" i="76"/>
  <c r="O27" i="77"/>
  <c r="O27" i="78"/>
  <c r="O27" i="79"/>
  <c r="O27" i="80"/>
  <c r="O27" i="81"/>
  <c r="O27" i="82"/>
  <c r="O27" i="83"/>
  <c r="O27" i="84"/>
  <c r="O27" i="85"/>
  <c r="O27" i="86"/>
  <c r="O27" i="87"/>
  <c r="O27" i="88"/>
  <c r="O27" i="89"/>
  <c r="O27" i="90"/>
  <c r="O27" i="91"/>
  <c r="O27" i="92"/>
  <c r="O27" i="93"/>
  <c r="O27" i="94"/>
  <c r="O27" i="95"/>
  <c r="O27" i="96"/>
  <c r="O27" i="97"/>
  <c r="O27" i="98"/>
  <c r="O27" i="99"/>
  <c r="O27" i="100"/>
  <c r="O27" i="101"/>
  <c r="O27" i="102"/>
  <c r="O27" i="103"/>
  <c r="O27" i="104"/>
  <c r="O27" i="105"/>
  <c r="O27" i="2"/>
  <c r="O17" i="107"/>
  <c r="O17" i="58"/>
  <c r="O17" i="59"/>
  <c r="O17" i="60"/>
  <c r="O17" i="61"/>
  <c r="O17" i="62"/>
  <c r="O17" i="63"/>
  <c r="O17" i="64"/>
  <c r="O17" i="65"/>
  <c r="O17" i="66"/>
  <c r="O17" i="67"/>
  <c r="O17" i="68"/>
  <c r="O17" i="108"/>
  <c r="O17" i="69"/>
  <c r="O17" i="70"/>
  <c r="O17" i="71"/>
  <c r="O17" i="72"/>
  <c r="O17" i="73"/>
  <c r="O17" i="74"/>
  <c r="O17" i="75"/>
  <c r="O17" i="76"/>
  <c r="O17" i="77"/>
  <c r="O17" i="78"/>
  <c r="O17" i="79"/>
  <c r="O17" i="80"/>
  <c r="O17" i="81"/>
  <c r="O17" i="82"/>
  <c r="O17" i="83"/>
  <c r="O17" i="84"/>
  <c r="O17" i="85"/>
  <c r="O17" i="86"/>
  <c r="O17" i="87"/>
  <c r="O17" i="88"/>
  <c r="O17" i="89"/>
  <c r="O17" i="90"/>
  <c r="O17" i="91"/>
  <c r="O17" i="92"/>
  <c r="O17" i="93"/>
  <c r="O17" i="94"/>
  <c r="O17" i="95"/>
  <c r="O17" i="96"/>
  <c r="O17" i="97"/>
  <c r="O17" i="98"/>
  <c r="O17" i="99"/>
  <c r="O17" i="100"/>
  <c r="O17" i="101"/>
  <c r="O17" i="102"/>
  <c r="O17" i="103"/>
  <c r="O17" i="104"/>
  <c r="O17" i="105"/>
  <c r="O17" i="2"/>
  <c r="O16" i="107"/>
  <c r="O16" i="58"/>
  <c r="O16" i="59"/>
  <c r="O16" i="60"/>
  <c r="O16" i="61"/>
  <c r="O16" i="62"/>
  <c r="O16" i="63"/>
  <c r="O16" i="64"/>
  <c r="O16" i="65"/>
  <c r="O16" i="66"/>
  <c r="O16" i="67"/>
  <c r="O16" i="68"/>
  <c r="O16" i="108"/>
  <c r="O16" i="69"/>
  <c r="O16" i="70"/>
  <c r="O16" i="71"/>
  <c r="O16" i="72"/>
  <c r="O16" i="73"/>
  <c r="O16" i="74"/>
  <c r="O16" i="75"/>
  <c r="O16" i="76"/>
  <c r="O16" i="77"/>
  <c r="O16" i="78"/>
  <c r="O16" i="79"/>
  <c r="O16" i="80"/>
  <c r="O16" i="81"/>
  <c r="O16" i="82"/>
  <c r="O16" i="83"/>
  <c r="O16" i="84"/>
  <c r="O16" i="85"/>
  <c r="O16" i="86"/>
  <c r="O16" i="87"/>
  <c r="O16" i="88"/>
  <c r="O16" i="89"/>
  <c r="O16" i="90"/>
  <c r="O16" i="91"/>
  <c r="O16" i="92"/>
  <c r="O16" i="93"/>
  <c r="O16" i="94"/>
  <c r="O16" i="95"/>
  <c r="O16" i="96"/>
  <c r="O16" i="97"/>
  <c r="O16" i="98"/>
  <c r="O16" i="99"/>
  <c r="O16" i="100"/>
  <c r="O16" i="101"/>
  <c r="O16" i="102"/>
  <c r="O16" i="103"/>
  <c r="O16" i="104"/>
  <c r="O16" i="105"/>
  <c r="O16" i="2"/>
  <c r="O15" i="107"/>
  <c r="O15" i="58"/>
  <c r="O15" i="59"/>
  <c r="O15" i="60"/>
  <c r="O15" i="61"/>
  <c r="O15" i="62"/>
  <c r="O15" i="63"/>
  <c r="O15" i="64"/>
  <c r="O15" i="65"/>
  <c r="O15" i="66"/>
  <c r="O15" i="67"/>
  <c r="O15" i="68"/>
  <c r="O15" i="108"/>
  <c r="O15" i="69"/>
  <c r="O15" i="70"/>
  <c r="O15" i="71"/>
  <c r="O15" i="72"/>
  <c r="O15" i="73"/>
  <c r="O15" i="74"/>
  <c r="O15" i="75"/>
  <c r="O15" i="76"/>
  <c r="O15" i="77"/>
  <c r="O15" i="78"/>
  <c r="O15" i="79"/>
  <c r="O15" i="80"/>
  <c r="O15" i="81"/>
  <c r="O15" i="82"/>
  <c r="O15" i="83"/>
  <c r="O15" i="84"/>
  <c r="O15" i="85"/>
  <c r="O15" i="86"/>
  <c r="O15" i="87"/>
  <c r="O15" i="88"/>
  <c r="O15" i="89"/>
  <c r="O15" i="90"/>
  <c r="O15" i="91"/>
  <c r="O15" i="92"/>
  <c r="O15" i="93"/>
  <c r="O15" i="94"/>
  <c r="O15" i="95"/>
  <c r="O15" i="96"/>
  <c r="O15" i="97"/>
  <c r="O15" i="98"/>
  <c r="O15" i="99"/>
  <c r="O15" i="100"/>
  <c r="O15" i="101"/>
  <c r="O15" i="102"/>
  <c r="O15" i="103"/>
  <c r="O15" i="104"/>
  <c r="O15" i="105"/>
  <c r="O15" i="2"/>
  <c r="O14" i="107"/>
  <c r="O14" i="58"/>
  <c r="O14" i="59"/>
  <c r="O14" i="60"/>
  <c r="O14" i="61"/>
  <c r="O14" i="62"/>
  <c r="O14" i="63"/>
  <c r="O14" i="64"/>
  <c r="O14" i="65"/>
  <c r="O14" i="66"/>
  <c r="O14" i="67"/>
  <c r="O14" i="68"/>
  <c r="O14" i="108"/>
  <c r="O14" i="69"/>
  <c r="O14" i="70"/>
  <c r="O14" i="71"/>
  <c r="O14" i="72"/>
  <c r="O14" i="73"/>
  <c r="O14" i="74"/>
  <c r="O14" i="75"/>
  <c r="O14" i="76"/>
  <c r="O14" i="77"/>
  <c r="O14" i="78"/>
  <c r="O14" i="79"/>
  <c r="O14" i="80"/>
  <c r="O14" i="81"/>
  <c r="O14" i="82"/>
  <c r="O14" i="83"/>
  <c r="O14" i="84"/>
  <c r="O14" i="85"/>
  <c r="O14" i="86"/>
  <c r="O14" i="87"/>
  <c r="O14" i="88"/>
  <c r="O14" i="89"/>
  <c r="O14" i="90"/>
  <c r="O14" i="91"/>
  <c r="O14" i="92"/>
  <c r="O14" i="93"/>
  <c r="O14" i="94"/>
  <c r="O14" i="95"/>
  <c r="O14" i="96"/>
  <c r="O14" i="97"/>
  <c r="O14" i="98"/>
  <c r="O14" i="99"/>
  <c r="O14" i="100"/>
  <c r="O14" i="101"/>
  <c r="O14" i="102"/>
  <c r="O14" i="103"/>
  <c r="O14" i="104"/>
  <c r="O14" i="105"/>
  <c r="O14" i="2"/>
  <c r="O13" i="107"/>
  <c r="O13" i="58"/>
  <c r="O13" i="59"/>
  <c r="O13" i="60"/>
  <c r="O13" i="61"/>
  <c r="O13" i="62"/>
  <c r="O13" i="63"/>
  <c r="O13" i="64"/>
  <c r="O13" i="65"/>
  <c r="O13" i="66"/>
  <c r="O13" i="67"/>
  <c r="O13" i="68"/>
  <c r="O13" i="108"/>
  <c r="O13" i="69"/>
  <c r="O13" i="70"/>
  <c r="O13" i="71"/>
  <c r="O13" i="72"/>
  <c r="O13" i="73"/>
  <c r="O13" i="74"/>
  <c r="O13" i="75"/>
  <c r="O13" i="76"/>
  <c r="O13" i="77"/>
  <c r="O13" i="78"/>
  <c r="O13" i="79"/>
  <c r="O13" i="80"/>
  <c r="O13" i="81"/>
  <c r="O13" i="82"/>
  <c r="O13" i="83"/>
  <c r="O13" i="84"/>
  <c r="O13" i="85"/>
  <c r="O13" i="86"/>
  <c r="O13" i="87"/>
  <c r="O13" i="88"/>
  <c r="O13" i="89"/>
  <c r="O13" i="90"/>
  <c r="O13" i="91"/>
  <c r="O13" i="92"/>
  <c r="O13" i="93"/>
  <c r="O13" i="94"/>
  <c r="O13" i="95"/>
  <c r="O13" i="96"/>
  <c r="O13" i="97"/>
  <c r="O13" i="98"/>
  <c r="O13" i="99"/>
  <c r="O13" i="100"/>
  <c r="O13" i="101"/>
  <c r="O13" i="102"/>
  <c r="O13" i="103"/>
  <c r="O13" i="104"/>
  <c r="O13" i="105"/>
  <c r="O13" i="2"/>
  <c r="O12" i="107"/>
  <c r="O12" i="58"/>
  <c r="O12" i="59"/>
  <c r="O12" i="60"/>
  <c r="O12" i="61"/>
  <c r="O12" i="62"/>
  <c r="O12" i="63"/>
  <c r="O12" i="64"/>
  <c r="O12" i="65"/>
  <c r="O12" i="66"/>
  <c r="O12" i="67"/>
  <c r="O12" i="68"/>
  <c r="O12" i="108"/>
  <c r="O12" i="69"/>
  <c r="O12" i="70"/>
  <c r="O12" i="71"/>
  <c r="O12" i="72"/>
  <c r="O12" i="73"/>
  <c r="O12" i="74"/>
  <c r="O12" i="75"/>
  <c r="O12" i="76"/>
  <c r="O12" i="77"/>
  <c r="O12" i="78"/>
  <c r="O12" i="79"/>
  <c r="O12" i="80"/>
  <c r="O12" i="81"/>
  <c r="O12" i="82"/>
  <c r="O12" i="83"/>
  <c r="O12" i="84"/>
  <c r="O12" i="85"/>
  <c r="O12" i="86"/>
  <c r="O12" i="87"/>
  <c r="O12" i="88"/>
  <c r="O12" i="89"/>
  <c r="O12" i="90"/>
  <c r="O12" i="91"/>
  <c r="O12" i="92"/>
  <c r="O12" i="93"/>
  <c r="O12" i="94"/>
  <c r="O12" i="95"/>
  <c r="O12" i="96"/>
  <c r="O12" i="97"/>
  <c r="O12" i="98"/>
  <c r="O12" i="99"/>
  <c r="O12" i="100"/>
  <c r="O12" i="101"/>
  <c r="O12" i="102"/>
  <c r="O12" i="103"/>
  <c r="O12" i="104"/>
  <c r="O12" i="105"/>
  <c r="O12" i="2"/>
  <c r="C16" i="66" l="1"/>
  <c r="C16" i="62"/>
  <c r="C16" i="75"/>
  <c r="C16" i="67"/>
  <c r="C16" i="84"/>
  <c r="C16" i="73"/>
  <c r="C16" i="60"/>
  <c r="C16" i="65"/>
  <c r="C16" i="71"/>
  <c r="C16" i="83"/>
  <c r="C16" i="72"/>
  <c r="C16" i="81"/>
  <c r="C16" i="102"/>
  <c r="C16" i="96"/>
  <c r="C16" i="58"/>
  <c r="C16" i="79"/>
  <c r="C16" i="108"/>
  <c r="C16" i="92"/>
  <c r="C16" i="86"/>
  <c r="C16" i="100"/>
  <c r="C16" i="104"/>
  <c r="C16" i="77"/>
  <c r="C16" i="98"/>
  <c r="C16" i="64"/>
  <c r="C16" i="88"/>
  <c r="C16" i="90"/>
  <c r="C16" i="105"/>
  <c r="C16" i="61"/>
  <c r="C16" i="95"/>
  <c r="C16" i="68"/>
  <c r="C16" i="80"/>
  <c r="C16" i="85"/>
  <c r="C16" i="91"/>
  <c r="C16" i="78"/>
  <c r="C16" i="89"/>
  <c r="C16" i="99"/>
  <c r="C16" i="2"/>
  <c r="C16" i="101"/>
  <c r="C16" i="63"/>
  <c r="C16" i="74"/>
  <c r="C16" i="76"/>
  <c r="C16" i="87"/>
  <c r="C16" i="103"/>
  <c r="C16" i="93"/>
  <c r="C16" i="97"/>
  <c r="C16" i="107"/>
  <c r="C17" i="76"/>
  <c r="C17" i="61"/>
  <c r="C17" i="73"/>
  <c r="C17" i="80"/>
  <c r="C17" i="60"/>
  <c r="C17" i="71"/>
  <c r="C17" i="107"/>
  <c r="C17" i="2"/>
  <c r="C17" i="82"/>
  <c r="C17" i="103"/>
  <c r="C17" i="105"/>
  <c r="C17" i="81"/>
  <c r="C17" i="98"/>
  <c r="C17" i="70"/>
  <c r="C17" i="108"/>
  <c r="C17" i="90"/>
  <c r="C17" i="94"/>
  <c r="C17" i="96"/>
  <c r="C17" i="86"/>
  <c r="C17" i="79"/>
  <c r="C17" i="100"/>
  <c r="O9" i="100" s="1"/>
  <c r="O20" i="100" s="1"/>
  <c r="C17" i="102"/>
  <c r="C17" i="104"/>
  <c r="C17" i="59"/>
  <c r="C17" i="64"/>
  <c r="O9" i="64" s="1"/>
  <c r="O26" i="64" s="1"/>
  <c r="D26" i="64" s="1"/>
  <c r="C17" i="88"/>
  <c r="C17" i="92"/>
  <c r="C17" i="62"/>
  <c r="C17" i="75"/>
  <c r="C17" i="67"/>
  <c r="C17" i="84"/>
  <c r="C17" i="78"/>
  <c r="C17" i="72"/>
  <c r="C17" i="95"/>
  <c r="C17" i="85"/>
  <c r="C17" i="69"/>
  <c r="C17" i="83"/>
  <c r="C17" i="99"/>
  <c r="C17" i="58"/>
  <c r="C17" i="68"/>
  <c r="C17" i="63"/>
  <c r="C17" i="74"/>
  <c r="C17" i="93"/>
  <c r="C17" i="91"/>
  <c r="C17" i="97"/>
  <c r="C17" i="87"/>
  <c r="C13" i="62"/>
  <c r="C13" i="77"/>
  <c r="C13" i="96"/>
  <c r="C13" i="98"/>
  <c r="C13" i="100"/>
  <c r="C13" i="102"/>
  <c r="C13" i="108"/>
  <c r="C13" i="92"/>
  <c r="C13" i="94"/>
  <c r="C13" i="75"/>
  <c r="C13" i="68"/>
  <c r="C13" i="76"/>
  <c r="C13" i="91"/>
  <c r="C13" i="93"/>
  <c r="C13" i="95"/>
  <c r="C13" i="89"/>
  <c r="C13" i="66"/>
  <c r="C13" i="87"/>
  <c r="C13" i="104"/>
  <c r="C13" i="64"/>
  <c r="C13" i="74"/>
  <c r="C13" i="83"/>
  <c r="C13" i="58"/>
  <c r="C13" i="81"/>
  <c r="C13" i="59"/>
  <c r="C13" i="79"/>
  <c r="C13" i="70"/>
  <c r="C13" i="107"/>
  <c r="C13" i="71"/>
  <c r="C13" i="103"/>
  <c r="C13" i="84"/>
  <c r="C13" i="60"/>
  <c r="C13" i="99"/>
  <c r="C13" i="78"/>
  <c r="C13" i="90"/>
  <c r="C13" i="80"/>
  <c r="C13" i="67"/>
  <c r="C13" i="86"/>
  <c r="C13" i="101"/>
  <c r="C13" i="82"/>
  <c r="C13" i="88"/>
  <c r="C13" i="65"/>
  <c r="C13" i="63"/>
  <c r="C13" i="69"/>
  <c r="C13" i="105"/>
  <c r="D17" i="88"/>
  <c r="D17" i="100"/>
  <c r="D17" i="66"/>
  <c r="D17" i="77"/>
  <c r="D17" i="89"/>
  <c r="D17" i="101"/>
  <c r="D17" i="61"/>
  <c r="D17" i="72"/>
  <c r="D17" i="84"/>
  <c r="D17" i="96"/>
  <c r="D17" i="58"/>
  <c r="D17" i="81"/>
  <c r="D17" i="60"/>
  <c r="D17" i="78"/>
  <c r="D17" i="71"/>
  <c r="D17" i="107"/>
  <c r="D17" i="2"/>
  <c r="D17" i="82"/>
  <c r="D17" i="103"/>
  <c r="D17" i="105"/>
  <c r="D17" i="80"/>
  <c r="D17" i="79"/>
  <c r="D17" i="102"/>
  <c r="D17" i="59"/>
  <c r="D17" i="92"/>
  <c r="D17" i="62"/>
  <c r="D17" i="75"/>
  <c r="D17" i="86"/>
  <c r="D17" i="104"/>
  <c r="D17" i="70"/>
  <c r="D17" i="64"/>
  <c r="D17" i="73"/>
  <c r="D17" i="98"/>
  <c r="D17" i="108"/>
  <c r="D17" i="90"/>
  <c r="D17" i="94"/>
  <c r="D17" i="67"/>
  <c r="D17" i="83"/>
  <c r="D17" i="95"/>
  <c r="D17" i="85"/>
  <c r="D17" i="91"/>
  <c r="D17" i="63"/>
  <c r="D17" i="74"/>
  <c r="D17" i="99"/>
  <c r="D17" i="68"/>
  <c r="D17" i="93"/>
  <c r="D17" i="97"/>
  <c r="D17" i="87"/>
  <c r="D27" i="83"/>
  <c r="D27" i="95"/>
  <c r="D27" i="107"/>
  <c r="D27" i="61"/>
  <c r="D27" i="72"/>
  <c r="D27" i="84"/>
  <c r="D27" i="96"/>
  <c r="D27" i="58"/>
  <c r="D27" i="68"/>
  <c r="D27" i="79"/>
  <c r="D27" i="91"/>
  <c r="D27" i="103"/>
  <c r="D27" i="82"/>
  <c r="D27" i="105"/>
  <c r="D27" i="80"/>
  <c r="D27" i="78"/>
  <c r="D27" i="97"/>
  <c r="D27" i="99"/>
  <c r="D27" i="101"/>
  <c r="D27" i="69"/>
  <c r="D27" i="98"/>
  <c r="D27" i="100"/>
  <c r="D27" i="108"/>
  <c r="D27" i="77"/>
  <c r="D27" i="90"/>
  <c r="D27" i="94"/>
  <c r="D27" i="62"/>
  <c r="D27" i="75"/>
  <c r="D27" i="70"/>
  <c r="D27" i="92"/>
  <c r="D27" i="88"/>
  <c r="D27" i="64"/>
  <c r="D27" i="86"/>
  <c r="D27" i="67"/>
  <c r="D27" i="73"/>
  <c r="D27" i="104"/>
  <c r="D27" i="85"/>
  <c r="D27" i="63"/>
  <c r="D27" i="74"/>
  <c r="D27" i="89"/>
  <c r="D27" i="66"/>
  <c r="D27" i="2"/>
  <c r="D27" i="93"/>
  <c r="D27" i="102"/>
  <c r="D27" i="87"/>
  <c r="D27" i="81"/>
  <c r="D27" i="59"/>
  <c r="D27" i="60"/>
  <c r="D13" i="61"/>
  <c r="D15" i="63"/>
  <c r="D17" i="65"/>
  <c r="D12" i="66"/>
  <c r="D14" i="68"/>
  <c r="D16" i="69"/>
  <c r="D27" i="71"/>
  <c r="D13" i="72"/>
  <c r="D15" i="74"/>
  <c r="D17" i="76"/>
  <c r="D12" i="77"/>
  <c r="D12" i="89"/>
  <c r="D12" i="101"/>
  <c r="D12" i="67"/>
  <c r="D12" i="78"/>
  <c r="D12" i="90"/>
  <c r="D12" i="102"/>
  <c r="D12" i="62"/>
  <c r="D12" i="73"/>
  <c r="D12" i="85"/>
  <c r="D12" i="2"/>
  <c r="D12" i="97"/>
  <c r="D14" i="61"/>
  <c r="D16" i="63"/>
  <c r="D27" i="65"/>
  <c r="D13" i="66"/>
  <c r="D15" i="68"/>
  <c r="D17" i="69"/>
  <c r="D12" i="70"/>
  <c r="D14" i="72"/>
  <c r="D16" i="74"/>
  <c r="D27" i="76"/>
  <c r="D13" i="77"/>
  <c r="D12" i="82"/>
  <c r="D12" i="64"/>
  <c r="D12" i="75"/>
  <c r="D12" i="96"/>
  <c r="D12" i="98"/>
  <c r="D12" i="100"/>
  <c r="D12" i="108"/>
  <c r="D12" i="92"/>
  <c r="D12" i="94"/>
  <c r="D12" i="63"/>
  <c r="D12" i="93"/>
  <c r="D12" i="68"/>
  <c r="D12" i="76"/>
  <c r="D12" i="91"/>
  <c r="D12" i="95"/>
  <c r="D12" i="74"/>
  <c r="D12" i="58"/>
  <c r="D12" i="81"/>
  <c r="D12" i="104"/>
  <c r="D12" i="87"/>
  <c r="D12" i="61"/>
  <c r="D12" i="72"/>
  <c r="D12" i="83"/>
  <c r="D12" i="59"/>
  <c r="D12" i="79"/>
  <c r="D12" i="65"/>
  <c r="D12" i="71"/>
  <c r="D12" i="103"/>
  <c r="D12" i="84"/>
  <c r="D12" i="60"/>
  <c r="D12" i="99"/>
  <c r="D12" i="107"/>
  <c r="D12" i="86"/>
  <c r="D12" i="80"/>
  <c r="D12" i="105"/>
  <c r="D12" i="88"/>
  <c r="D12" i="69"/>
  <c r="D14" i="79"/>
  <c r="D14" i="91"/>
  <c r="D14" i="103"/>
  <c r="D14" i="108"/>
  <c r="D14" i="80"/>
  <c r="D14" i="92"/>
  <c r="D14" i="104"/>
  <c r="D14" i="64"/>
  <c r="D14" i="75"/>
  <c r="D14" i="87"/>
  <c r="D14" i="99"/>
  <c r="D14" i="84"/>
  <c r="D14" i="86"/>
  <c r="D14" i="88"/>
  <c r="D14" i="90"/>
  <c r="D14" i="62"/>
  <c r="D14" i="67"/>
  <c r="D14" i="81"/>
  <c r="D14" i="59"/>
  <c r="D14" i="100"/>
  <c r="D14" i="83"/>
  <c r="D14" i="77"/>
  <c r="D14" i="96"/>
  <c r="D14" i="85"/>
  <c r="D14" i="66"/>
  <c r="D14" i="58"/>
  <c r="D14" i="70"/>
  <c r="D14" i="98"/>
  <c r="D14" i="102"/>
  <c r="D14" i="94"/>
  <c r="D14" i="73"/>
  <c r="D14" i="2"/>
  <c r="D14" i="105"/>
  <c r="D14" i="95"/>
  <c r="D14" i="60"/>
  <c r="D14" i="93"/>
  <c r="D14" i="78"/>
  <c r="D14" i="89"/>
  <c r="D14" i="63"/>
  <c r="D14" i="74"/>
  <c r="D14" i="101"/>
  <c r="D14" i="76"/>
  <c r="D14" i="97"/>
  <c r="D14" i="107"/>
  <c r="D14" i="71"/>
  <c r="D14" i="69"/>
  <c r="D14" i="82"/>
  <c r="D14" i="65"/>
  <c r="D13" i="84"/>
  <c r="D13" i="96"/>
  <c r="D13" i="58"/>
  <c r="D13" i="62"/>
  <c r="D13" i="73"/>
  <c r="D13" i="85"/>
  <c r="D13" i="97"/>
  <c r="D13" i="2"/>
  <c r="D13" i="108"/>
  <c r="D13" i="80"/>
  <c r="D13" i="92"/>
  <c r="D13" i="104"/>
  <c r="D13" i="94"/>
  <c r="D13" i="75"/>
  <c r="D13" i="86"/>
  <c r="D13" i="88"/>
  <c r="D13" i="90"/>
  <c r="D13" i="87"/>
  <c r="D13" i="89"/>
  <c r="D13" i="83"/>
  <c r="D13" i="81"/>
  <c r="D13" i="59"/>
  <c r="D13" i="79"/>
  <c r="D13" i="74"/>
  <c r="D13" i="64"/>
  <c r="D13" i="98"/>
  <c r="D13" i="102"/>
  <c r="D13" i="70"/>
  <c r="D13" i="100"/>
  <c r="D13" i="103"/>
  <c r="D13" i="60"/>
  <c r="D13" i="93"/>
  <c r="D13" i="105"/>
  <c r="D13" i="71"/>
  <c r="D13" i="67"/>
  <c r="D13" i="99"/>
  <c r="D13" i="78"/>
  <c r="D13" i="95"/>
  <c r="D13" i="91"/>
  <c r="D13" i="82"/>
  <c r="D13" i="65"/>
  <c r="D13" i="76"/>
  <c r="D13" i="107"/>
  <c r="D13" i="68"/>
  <c r="D13" i="63"/>
  <c r="D13" i="101"/>
  <c r="D13" i="69"/>
  <c r="D15" i="86"/>
  <c r="D15" i="98"/>
  <c r="D15" i="64"/>
  <c r="D15" i="75"/>
  <c r="D15" i="87"/>
  <c r="D15" i="99"/>
  <c r="D15" i="70"/>
  <c r="D15" i="82"/>
  <c r="D15" i="59"/>
  <c r="D15" i="94"/>
  <c r="D15" i="79"/>
  <c r="D15" i="62"/>
  <c r="D15" i="67"/>
  <c r="D15" i="84"/>
  <c r="D15" i="73"/>
  <c r="D15" i="60"/>
  <c r="D15" i="61"/>
  <c r="D15" i="85"/>
  <c r="D15" i="100"/>
  <c r="D15" i="104"/>
  <c r="D15" i="77"/>
  <c r="D15" i="66"/>
  <c r="D15" i="83"/>
  <c r="D15" i="108"/>
  <c r="D15" i="90"/>
  <c r="D15" i="72"/>
  <c r="D15" i="81"/>
  <c r="D15" i="58"/>
  <c r="D15" i="102"/>
  <c r="D15" i="96"/>
  <c r="D15" i="88"/>
  <c r="D15" i="92"/>
  <c r="D15" i="105"/>
  <c r="D15" i="95"/>
  <c r="D15" i="78"/>
  <c r="D15" i="89"/>
  <c r="D15" i="2"/>
  <c r="D15" i="101"/>
  <c r="D15" i="69"/>
  <c r="D15" i="91"/>
  <c r="D15" i="65"/>
  <c r="D15" i="76"/>
  <c r="D15" i="97"/>
  <c r="D15" i="107"/>
  <c r="D15" i="71"/>
  <c r="D15" i="103"/>
  <c r="D15" i="93"/>
  <c r="D15" i="80"/>
  <c r="C15" i="108"/>
  <c r="C15" i="86"/>
  <c r="C15" i="88"/>
  <c r="C15" i="90"/>
  <c r="C15" i="92"/>
  <c r="O8" i="92" s="1"/>
  <c r="O25" i="92" s="1"/>
  <c r="C15" i="73"/>
  <c r="O8" i="73" s="1"/>
  <c r="O25" i="73" s="1"/>
  <c r="C15" i="82"/>
  <c r="C15" i="62"/>
  <c r="C15" i="67"/>
  <c r="C15" i="84"/>
  <c r="C15" i="85"/>
  <c r="C15" i="72"/>
  <c r="C15" i="81"/>
  <c r="C15" i="59"/>
  <c r="C15" i="70"/>
  <c r="C15" i="79"/>
  <c r="C15" i="98"/>
  <c r="C15" i="102"/>
  <c r="C15" i="94"/>
  <c r="C15" i="96"/>
  <c r="C15" i="61"/>
  <c r="C15" i="58"/>
  <c r="C15" i="66"/>
  <c r="O8" i="66" s="1"/>
  <c r="C15" i="83"/>
  <c r="C15" i="100"/>
  <c r="C15" i="104"/>
  <c r="C15" i="77"/>
  <c r="C15" i="60"/>
  <c r="C15" i="93"/>
  <c r="C15" i="2"/>
  <c r="C15" i="105"/>
  <c r="C15" i="68"/>
  <c r="C15" i="95"/>
  <c r="C15" i="80"/>
  <c r="C15" i="78"/>
  <c r="C15" i="89"/>
  <c r="C15" i="65"/>
  <c r="C15" i="76"/>
  <c r="C15" i="97"/>
  <c r="C15" i="107"/>
  <c r="C15" i="71"/>
  <c r="O8" i="71" s="1"/>
  <c r="C15" i="103"/>
  <c r="O8" i="103" s="1"/>
  <c r="C15" i="69"/>
  <c r="C15" i="91"/>
  <c r="C15" i="101"/>
  <c r="M25" i="109"/>
  <c r="M49" i="109"/>
  <c r="M26" i="109"/>
  <c r="M50" i="109"/>
  <c r="M3" i="109"/>
  <c r="M27" i="109"/>
  <c r="M51" i="109"/>
  <c r="M4" i="109"/>
  <c r="M28" i="109"/>
  <c r="M52" i="109"/>
  <c r="M5" i="109"/>
  <c r="M29" i="109"/>
  <c r="M2" i="109"/>
  <c r="M6" i="109"/>
  <c r="M30" i="109"/>
  <c r="M7" i="109"/>
  <c r="M31" i="109"/>
  <c r="M8" i="109"/>
  <c r="M32" i="109"/>
  <c r="M9" i="109"/>
  <c r="M33" i="109"/>
  <c r="M10" i="109"/>
  <c r="M34" i="109"/>
  <c r="M11" i="109"/>
  <c r="M35" i="109"/>
  <c r="M12" i="109"/>
  <c r="M36" i="109"/>
  <c r="M13" i="109"/>
  <c r="M37" i="109"/>
  <c r="M14" i="109"/>
  <c r="M38" i="109"/>
  <c r="M15" i="109"/>
  <c r="M39" i="109"/>
  <c r="M16" i="109"/>
  <c r="M40" i="109"/>
  <c r="M17" i="109"/>
  <c r="M41" i="109"/>
  <c r="M18" i="109"/>
  <c r="M42" i="109"/>
  <c r="M19" i="109"/>
  <c r="M43" i="109"/>
  <c r="M20" i="109"/>
  <c r="M44" i="109"/>
  <c r="M21" i="109"/>
  <c r="M45" i="109"/>
  <c r="M22" i="109"/>
  <c r="M46" i="109"/>
  <c r="M23" i="109"/>
  <c r="M47" i="109"/>
  <c r="M24" i="109"/>
  <c r="M48" i="109"/>
  <c r="C27" i="60"/>
  <c r="C13" i="61"/>
  <c r="C15" i="63"/>
  <c r="O8" i="63" s="1"/>
  <c r="O22" i="63" s="1"/>
  <c r="C22" i="63" s="1"/>
  <c r="C17" i="65"/>
  <c r="C12" i="66"/>
  <c r="C14" i="68"/>
  <c r="C16" i="69"/>
  <c r="C27" i="71"/>
  <c r="C13" i="72"/>
  <c r="C15" i="74"/>
  <c r="C15" i="64"/>
  <c r="C17" i="66"/>
  <c r="C12" i="67"/>
  <c r="C14" i="108"/>
  <c r="C16" i="70"/>
  <c r="C27" i="72"/>
  <c r="C13" i="73"/>
  <c r="C15" i="75"/>
  <c r="O8" i="75" s="1"/>
  <c r="C17" i="77"/>
  <c r="C12" i="78"/>
  <c r="C14" i="80"/>
  <c r="C16" i="82"/>
  <c r="C27" i="84"/>
  <c r="C13" i="85"/>
  <c r="O7" i="85" s="1"/>
  <c r="C15" i="87"/>
  <c r="C17" i="89"/>
  <c r="C12" i="90"/>
  <c r="C14" i="92"/>
  <c r="C16" i="94"/>
  <c r="C27" i="96"/>
  <c r="C13" i="97"/>
  <c r="C15" i="99"/>
  <c r="C17" i="101"/>
  <c r="C12" i="102"/>
  <c r="C14" i="104"/>
  <c r="C16" i="59"/>
  <c r="C27" i="58"/>
  <c r="C13" i="2"/>
  <c r="C27" i="61"/>
  <c r="C12" i="62"/>
  <c r="C12" i="70"/>
  <c r="C12" i="79"/>
  <c r="C12" i="64"/>
  <c r="C12" i="77"/>
  <c r="C12" i="96"/>
  <c r="C12" i="98"/>
  <c r="C12" i="100"/>
  <c r="C12" i="108"/>
  <c r="C12" i="92"/>
  <c r="C12" i="94"/>
  <c r="C12" i="69"/>
  <c r="C12" i="61"/>
  <c r="C12" i="74"/>
  <c r="C12" i="85"/>
  <c r="C12" i="72"/>
  <c r="C12" i="63"/>
  <c r="C12" i="87"/>
  <c r="C12" i="58"/>
  <c r="C12" i="81"/>
  <c r="C12" i="68"/>
  <c r="C12" i="76"/>
  <c r="C12" i="89"/>
  <c r="C12" i="91"/>
  <c r="C12" i="93"/>
  <c r="C12" i="95"/>
  <c r="C12" i="83"/>
  <c r="C12" i="88"/>
  <c r="C12" i="71"/>
  <c r="C12" i="103"/>
  <c r="C12" i="84"/>
  <c r="C12" i="60"/>
  <c r="C12" i="104"/>
  <c r="C12" i="73"/>
  <c r="C12" i="99"/>
  <c r="C12" i="2"/>
  <c r="C12" i="65"/>
  <c r="C12" i="107"/>
  <c r="C12" i="86"/>
  <c r="C12" i="101"/>
  <c r="C12" i="82"/>
  <c r="C12" i="97"/>
  <c r="C12" i="75"/>
  <c r="C12" i="80"/>
  <c r="C12" i="105"/>
  <c r="C12" i="59"/>
  <c r="C27" i="68"/>
  <c r="C27" i="107"/>
  <c r="C27" i="2"/>
  <c r="C27" i="82"/>
  <c r="C27" i="103"/>
  <c r="C27" i="105"/>
  <c r="C27" i="65"/>
  <c r="C27" i="80"/>
  <c r="C27" i="78"/>
  <c r="C27" i="66"/>
  <c r="C27" i="79"/>
  <c r="C27" i="102"/>
  <c r="C27" i="104"/>
  <c r="C27" i="59"/>
  <c r="C27" i="98"/>
  <c r="C27" i="77"/>
  <c r="C27" i="90"/>
  <c r="C27" i="94"/>
  <c r="C27" i="88"/>
  <c r="C27" i="86"/>
  <c r="C27" i="67"/>
  <c r="C27" i="100"/>
  <c r="C27" i="108"/>
  <c r="C27" i="92"/>
  <c r="C27" i="73"/>
  <c r="C27" i="70"/>
  <c r="C27" i="64"/>
  <c r="C27" i="62"/>
  <c r="C27" i="75"/>
  <c r="C27" i="99"/>
  <c r="C27" i="95"/>
  <c r="C27" i="85"/>
  <c r="C27" i="91"/>
  <c r="C27" i="63"/>
  <c r="C27" i="74"/>
  <c r="C27" i="101"/>
  <c r="C27" i="69"/>
  <c r="C27" i="89"/>
  <c r="C27" i="97"/>
  <c r="C27" i="83"/>
  <c r="C27" i="76"/>
  <c r="C27" i="87"/>
  <c r="C27" i="81"/>
  <c r="C27" i="93"/>
  <c r="D16" i="81"/>
  <c r="D16" i="93"/>
  <c r="D16" i="105"/>
  <c r="D16" i="70"/>
  <c r="D16" i="82"/>
  <c r="D16" i="94"/>
  <c r="D16" i="59"/>
  <c r="D16" i="66"/>
  <c r="D16" i="77"/>
  <c r="D16" i="89"/>
  <c r="D16" i="101"/>
  <c r="D16" i="86"/>
  <c r="D16" i="67"/>
  <c r="D16" i="84"/>
  <c r="D16" i="73"/>
  <c r="D16" i="60"/>
  <c r="D16" i="65"/>
  <c r="D16" i="71"/>
  <c r="D16" i="107"/>
  <c r="D16" i="2"/>
  <c r="D16" i="72"/>
  <c r="D16" i="58"/>
  <c r="D16" i="102"/>
  <c r="D16" i="98"/>
  <c r="D16" i="64"/>
  <c r="D16" i="90"/>
  <c r="D16" i="79"/>
  <c r="D16" i="100"/>
  <c r="D16" i="104"/>
  <c r="D16" i="96"/>
  <c r="D16" i="108"/>
  <c r="D16" i="88"/>
  <c r="D16" i="92"/>
  <c r="D16" i="62"/>
  <c r="D16" i="75"/>
  <c r="D16" i="83"/>
  <c r="D16" i="61"/>
  <c r="D16" i="95"/>
  <c r="D16" i="68"/>
  <c r="D16" i="80"/>
  <c r="D16" i="85"/>
  <c r="D16" i="78"/>
  <c r="D16" i="99"/>
  <c r="D16" i="87"/>
  <c r="D16" i="103"/>
  <c r="D16" i="76"/>
  <c r="D16" i="97"/>
  <c r="D16" i="91"/>
  <c r="C14" i="64"/>
  <c r="C14" i="84"/>
  <c r="C14" i="75"/>
  <c r="C14" i="86"/>
  <c r="C14" i="88"/>
  <c r="C14" i="90"/>
  <c r="C14" i="62"/>
  <c r="C14" i="74"/>
  <c r="C14" i="85"/>
  <c r="C14" i="66"/>
  <c r="C14" i="58"/>
  <c r="C14" i="70"/>
  <c r="C14" i="72"/>
  <c r="C14" i="83"/>
  <c r="C14" i="100"/>
  <c r="C14" i="77"/>
  <c r="C14" i="94"/>
  <c r="C14" i="61"/>
  <c r="C14" i="81"/>
  <c r="C14" i="59"/>
  <c r="C14" i="79"/>
  <c r="C14" i="98"/>
  <c r="C14" i="102"/>
  <c r="C14" i="96"/>
  <c r="C14" i="71"/>
  <c r="C14" i="103"/>
  <c r="C14" i="60"/>
  <c r="C14" i="93"/>
  <c r="C14" i="73"/>
  <c r="C14" i="2"/>
  <c r="C14" i="105"/>
  <c r="C14" i="95"/>
  <c r="C14" i="67"/>
  <c r="C14" i="99"/>
  <c r="C14" i="78"/>
  <c r="C14" i="89"/>
  <c r="C14" i="65"/>
  <c r="C14" i="87"/>
  <c r="C14" i="76"/>
  <c r="C14" i="97"/>
  <c r="C14" i="107"/>
  <c r="C14" i="63"/>
  <c r="C14" i="101"/>
  <c r="C14" i="91"/>
  <c r="C14" i="69"/>
  <c r="C14" i="82"/>
  <c r="C26" i="64"/>
  <c r="D22" i="63"/>
  <c r="O8" i="83" l="1"/>
  <c r="O19" i="83" s="1"/>
  <c r="O7" i="65"/>
  <c r="O18" i="65" s="1"/>
  <c r="C18" i="65" s="1"/>
  <c r="O7" i="87"/>
  <c r="O21" i="87" s="1"/>
  <c r="O9" i="68"/>
  <c r="O26" i="68" s="1"/>
  <c r="O9" i="90"/>
  <c r="O23" i="90" s="1"/>
  <c r="C23" i="90" s="1"/>
  <c r="O9" i="108"/>
  <c r="O7" i="82"/>
  <c r="O7" i="89"/>
  <c r="O9" i="99"/>
  <c r="O20" i="99" s="1"/>
  <c r="O9" i="70"/>
  <c r="O26" i="70" s="1"/>
  <c r="O8" i="101"/>
  <c r="O8" i="61"/>
  <c r="O22" i="61" s="1"/>
  <c r="O7" i="95"/>
  <c r="O21" i="95" s="1"/>
  <c r="D21" i="95" s="1"/>
  <c r="O9" i="98"/>
  <c r="O20" i="98" s="1"/>
  <c r="O7" i="93"/>
  <c r="O21" i="93" s="1"/>
  <c r="D21" i="93" s="1"/>
  <c r="O8" i="94"/>
  <c r="O22" i="94" s="1"/>
  <c r="O7" i="67"/>
  <c r="O21" i="67" s="1"/>
  <c r="O9" i="105"/>
  <c r="O7" i="74"/>
  <c r="O21" i="74" s="1"/>
  <c r="D21" i="74" s="1"/>
  <c r="O8" i="102"/>
  <c r="O22" i="102" s="1"/>
  <c r="O7" i="80"/>
  <c r="O21" i="80" s="1"/>
  <c r="O7" i="76"/>
  <c r="O18" i="76" s="1"/>
  <c r="D18" i="76" s="1"/>
  <c r="O9" i="81"/>
  <c r="O26" i="81" s="1"/>
  <c r="O9" i="72"/>
  <c r="O20" i="72" s="1"/>
  <c r="D20" i="72" s="1"/>
  <c r="O7" i="88"/>
  <c r="O18" i="88" s="1"/>
  <c r="O8" i="96"/>
  <c r="O22" i="96" s="1"/>
  <c r="O23" i="64"/>
  <c r="O8" i="107"/>
  <c r="O25" i="107" s="1"/>
  <c r="O8" i="79"/>
  <c r="O22" i="79" s="1"/>
  <c r="O7" i="78"/>
  <c r="O20" i="64"/>
  <c r="D20" i="64" s="1"/>
  <c r="O22" i="73"/>
  <c r="O8" i="97"/>
  <c r="O22" i="97" s="1"/>
  <c r="C22" i="97" s="1"/>
  <c r="O9" i="84"/>
  <c r="O26" i="84" s="1"/>
  <c r="O8" i="59"/>
  <c r="O25" i="59" s="1"/>
  <c r="O7" i="60"/>
  <c r="O8" i="104"/>
  <c r="O25" i="104" s="1"/>
  <c r="O9" i="69"/>
  <c r="O9" i="62"/>
  <c r="O9" i="58"/>
  <c r="O26" i="58" s="1"/>
  <c r="O8" i="91"/>
  <c r="O19" i="91" s="1"/>
  <c r="O7" i="86"/>
  <c r="O9" i="77"/>
  <c r="O20" i="77" s="1"/>
  <c r="D20" i="77" s="1"/>
  <c r="O20" i="108"/>
  <c r="O26" i="108"/>
  <c r="O25" i="101"/>
  <c r="O19" i="101"/>
  <c r="C19" i="101" s="1"/>
  <c r="O24" i="95"/>
  <c r="C25" i="73"/>
  <c r="D25" i="73"/>
  <c r="O9" i="102"/>
  <c r="O22" i="92"/>
  <c r="O19" i="92"/>
  <c r="O7" i="101"/>
  <c r="O7" i="81"/>
  <c r="O9" i="87"/>
  <c r="D23" i="90"/>
  <c r="O8" i="93"/>
  <c r="O7" i="58"/>
  <c r="O9" i="97"/>
  <c r="O26" i="100"/>
  <c r="O23" i="100"/>
  <c r="C23" i="100" s="1"/>
  <c r="O26" i="90"/>
  <c r="C26" i="90" s="1"/>
  <c r="O19" i="73"/>
  <c r="D19" i="73" s="1"/>
  <c r="O24" i="85"/>
  <c r="O21" i="85"/>
  <c r="O18" i="87"/>
  <c r="D18" i="87" s="1"/>
  <c r="O21" i="88"/>
  <c r="O24" i="88"/>
  <c r="D24" i="88" s="1"/>
  <c r="O7" i="91"/>
  <c r="O9" i="78"/>
  <c r="O25" i="83"/>
  <c r="O22" i="83"/>
  <c r="O24" i="87"/>
  <c r="D24" i="87" s="1"/>
  <c r="O8" i="58"/>
  <c r="O21" i="89"/>
  <c r="O24" i="89"/>
  <c r="O18" i="89"/>
  <c r="O9" i="83"/>
  <c r="O9" i="85"/>
  <c r="O25" i="75"/>
  <c r="O22" i="75"/>
  <c r="O19" i="75"/>
  <c r="O8" i="98"/>
  <c r="O7" i="68"/>
  <c r="O22" i="107"/>
  <c r="O20" i="68"/>
  <c r="O23" i="68"/>
  <c r="D23" i="68" s="1"/>
  <c r="O21" i="86"/>
  <c r="O24" i="86"/>
  <c r="D24" i="86" s="1"/>
  <c r="O18" i="86"/>
  <c r="C18" i="86" s="1"/>
  <c r="O8" i="69"/>
  <c r="O24" i="67"/>
  <c r="D24" i="67" s="1"/>
  <c r="O19" i="71"/>
  <c r="O22" i="71"/>
  <c r="O25" i="71"/>
  <c r="O7" i="90"/>
  <c r="O9" i="82"/>
  <c r="O18" i="85"/>
  <c r="D18" i="85" s="1"/>
  <c r="O22" i="66"/>
  <c r="O25" i="66"/>
  <c r="D25" i="66" s="1"/>
  <c r="O19" i="66"/>
  <c r="C19" i="66" s="1"/>
  <c r="O7" i="66"/>
  <c r="O23" i="70"/>
  <c r="O26" i="77"/>
  <c r="O23" i="77"/>
  <c r="C23" i="77" s="1"/>
  <c r="O9" i="95"/>
  <c r="O7" i="73"/>
  <c r="O7" i="75"/>
  <c r="O24" i="65"/>
  <c r="C24" i="65" s="1"/>
  <c r="D18" i="65"/>
  <c r="O8" i="70"/>
  <c r="O7" i="99"/>
  <c r="O21" i="78"/>
  <c r="C21" i="78" s="1"/>
  <c r="O24" i="82"/>
  <c r="O21" i="82"/>
  <c r="O18" i="82"/>
  <c r="C18" i="82" s="1"/>
  <c r="O23" i="98"/>
  <c r="C23" i="98" s="1"/>
  <c r="O26" i="98"/>
  <c r="C26" i="98" s="1"/>
  <c r="O22" i="101"/>
  <c r="D22" i="101" s="1"/>
  <c r="O20" i="105"/>
  <c r="O23" i="105"/>
  <c r="O26" i="105"/>
  <c r="D26" i="105" s="1"/>
  <c r="O22" i="103"/>
  <c r="O19" i="103"/>
  <c r="C19" i="103" s="1"/>
  <c r="O25" i="103"/>
  <c r="D25" i="103" s="1"/>
  <c r="O9" i="103"/>
  <c r="O25" i="79"/>
  <c r="O19" i="79"/>
  <c r="O23" i="108"/>
  <c r="C23" i="108" s="1"/>
  <c r="O7" i="94"/>
  <c r="O9" i="107"/>
  <c r="O20" i="90"/>
  <c r="D20" i="90" s="1"/>
  <c r="O21" i="65"/>
  <c r="O24" i="60"/>
  <c r="O21" i="60"/>
  <c r="O18" i="60"/>
  <c r="O8" i="65"/>
  <c r="O9" i="75"/>
  <c r="O8" i="89"/>
  <c r="O7" i="103"/>
  <c r="O8" i="64"/>
  <c r="O8" i="78"/>
  <c r="O8" i="74"/>
  <c r="M53" i="109"/>
  <c r="O8" i="80"/>
  <c r="O8" i="84"/>
  <c r="O7" i="107"/>
  <c r="O7" i="98"/>
  <c r="O9" i="88"/>
  <c r="O9" i="61"/>
  <c r="O8" i="76"/>
  <c r="O7" i="92"/>
  <c r="O9" i="71"/>
  <c r="O9" i="101"/>
  <c r="O8" i="95"/>
  <c r="O7" i="96"/>
  <c r="O9" i="76"/>
  <c r="O8" i="99"/>
  <c r="O8" i="68"/>
  <c r="O8" i="62"/>
  <c r="O7" i="79"/>
  <c r="O7" i="77"/>
  <c r="O9" i="59"/>
  <c r="O19" i="59"/>
  <c r="O22" i="59"/>
  <c r="O9" i="67"/>
  <c r="O7" i="72"/>
  <c r="O8" i="67"/>
  <c r="O7" i="70"/>
  <c r="O19" i="63"/>
  <c r="O7" i="97"/>
  <c r="O8" i="105"/>
  <c r="O8" i="82"/>
  <c r="O7" i="59"/>
  <c r="O7" i="62"/>
  <c r="O9" i="104"/>
  <c r="O9" i="91"/>
  <c r="O8" i="77"/>
  <c r="O9" i="86"/>
  <c r="O7" i="61"/>
  <c r="O7" i="69"/>
  <c r="O7" i="64"/>
  <c r="O9" i="74"/>
  <c r="O9" i="96"/>
  <c r="O9" i="65"/>
  <c r="O8" i="60"/>
  <c r="O8" i="90"/>
  <c r="O7" i="83"/>
  <c r="O9" i="79"/>
  <c r="O8" i="88"/>
  <c r="O7" i="105"/>
  <c r="O9" i="93"/>
  <c r="O9" i="89"/>
  <c r="O8" i="86"/>
  <c r="O25" i="63"/>
  <c r="O8" i="87"/>
  <c r="O8" i="100"/>
  <c r="O8" i="108"/>
  <c r="O7" i="63"/>
  <c r="O7" i="104"/>
  <c r="O9" i="63"/>
  <c r="O9" i="94"/>
  <c r="O8" i="81"/>
  <c r="O7" i="84"/>
  <c r="O7" i="108"/>
  <c r="O9" i="60"/>
  <c r="O9" i="66"/>
  <c r="O8" i="72"/>
  <c r="O7" i="102"/>
  <c r="O9" i="80"/>
  <c r="O8" i="85"/>
  <c r="O7" i="71"/>
  <c r="O7" i="100"/>
  <c r="O9" i="92"/>
  <c r="O9" i="73"/>
  <c r="D18" i="88"/>
  <c r="C18" i="88"/>
  <c r="C22" i="73"/>
  <c r="D22" i="73"/>
  <c r="D20" i="99"/>
  <c r="C20" i="99"/>
  <c r="C24" i="87"/>
  <c r="C25" i="63"/>
  <c r="D25" i="63"/>
  <c r="C22" i="94"/>
  <c r="D22" i="94"/>
  <c r="C19" i="73"/>
  <c r="C20" i="64"/>
  <c r="D19" i="63"/>
  <c r="C19" i="63"/>
  <c r="D22" i="96"/>
  <c r="C22" i="96"/>
  <c r="D22" i="79"/>
  <c r="C22" i="79"/>
  <c r="C19" i="83"/>
  <c r="D19" i="83"/>
  <c r="D19" i="101"/>
  <c r="D19" i="75"/>
  <c r="C19" i="75"/>
  <c r="C18" i="87"/>
  <c r="D20" i="100"/>
  <c r="C20" i="100"/>
  <c r="D22" i="102"/>
  <c r="C22" i="102"/>
  <c r="C19" i="79"/>
  <c r="D19" i="79"/>
  <c r="C24" i="67"/>
  <c r="D23" i="70"/>
  <c r="C23" i="70"/>
  <c r="D22" i="97"/>
  <c r="D25" i="92"/>
  <c r="C25" i="92"/>
  <c r="D23" i="64"/>
  <c r="C23" i="64"/>
  <c r="D22" i="75"/>
  <c r="C22" i="75"/>
  <c r="C21" i="65"/>
  <c r="D21" i="65"/>
  <c r="C20" i="77"/>
  <c r="C26" i="68"/>
  <c r="D26" i="68"/>
  <c r="C26" i="108"/>
  <c r="D26" i="108"/>
  <c r="D23" i="98"/>
  <c r="D25" i="107"/>
  <c r="C25" i="107"/>
  <c r="R73" i="57"/>
  <c r="R74" i="57"/>
  <c r="R75" i="57"/>
  <c r="R76" i="57"/>
  <c r="R77" i="57"/>
  <c r="R78" i="57"/>
  <c r="R79" i="57"/>
  <c r="R80" i="57"/>
  <c r="R81" i="57"/>
  <c r="R82" i="57"/>
  <c r="R83" i="57"/>
  <c r="R84" i="57"/>
  <c r="R85" i="57"/>
  <c r="R86" i="57"/>
  <c r="R87" i="57"/>
  <c r="R88" i="57"/>
  <c r="R89" i="57"/>
  <c r="R90" i="57"/>
  <c r="R91" i="57"/>
  <c r="R92" i="57"/>
  <c r="R93" i="57"/>
  <c r="R94" i="57"/>
  <c r="R95" i="57"/>
  <c r="R96" i="57"/>
  <c r="R97" i="57"/>
  <c r="R98" i="57"/>
  <c r="R99" i="57"/>
  <c r="R100" i="57"/>
  <c r="R101" i="57"/>
  <c r="R102" i="57"/>
  <c r="R103" i="57"/>
  <c r="R104" i="57"/>
  <c r="R105" i="57"/>
  <c r="R106" i="57"/>
  <c r="R107" i="57"/>
  <c r="R108" i="57"/>
  <c r="R109" i="57"/>
  <c r="R110" i="57"/>
  <c r="R111" i="57"/>
  <c r="R112" i="57"/>
  <c r="R113" i="57"/>
  <c r="R114" i="57"/>
  <c r="R115" i="57"/>
  <c r="R116" i="57"/>
  <c r="R117" i="57"/>
  <c r="R118" i="57"/>
  <c r="R119" i="57"/>
  <c r="R120" i="57"/>
  <c r="R121" i="57"/>
  <c r="R122" i="57"/>
  <c r="R72" i="57"/>
  <c r="I2" i="107"/>
  <c r="I2" i="58"/>
  <c r="I2" i="59"/>
  <c r="I2" i="60"/>
  <c r="I2" i="61"/>
  <c r="I2" i="62"/>
  <c r="I2" i="63"/>
  <c r="I2" i="64"/>
  <c r="I2" i="65"/>
  <c r="I2" i="66"/>
  <c r="I2" i="67"/>
  <c r="I2" i="68"/>
  <c r="I2" i="108"/>
  <c r="I2" i="69"/>
  <c r="I2" i="70"/>
  <c r="I2" i="71"/>
  <c r="I2" i="72"/>
  <c r="I2" i="73"/>
  <c r="I2" i="74"/>
  <c r="I2" i="75"/>
  <c r="I2" i="76"/>
  <c r="I2" i="77"/>
  <c r="I2" i="78"/>
  <c r="I2" i="79"/>
  <c r="I2" i="80"/>
  <c r="I2" i="81"/>
  <c r="I2" i="82"/>
  <c r="I2" i="83"/>
  <c r="I2" i="84"/>
  <c r="I2" i="85"/>
  <c r="I2" i="86"/>
  <c r="I2" i="87"/>
  <c r="I2" i="88"/>
  <c r="I2" i="89"/>
  <c r="I2" i="90"/>
  <c r="I2" i="91"/>
  <c r="I2" i="92"/>
  <c r="I2" i="93"/>
  <c r="I2" i="94"/>
  <c r="I2" i="95"/>
  <c r="I2" i="96"/>
  <c r="I2" i="97"/>
  <c r="I2" i="98"/>
  <c r="I2" i="99"/>
  <c r="I2" i="100"/>
  <c r="I2" i="101"/>
  <c r="I2" i="102"/>
  <c r="I2" i="103"/>
  <c r="I2" i="104"/>
  <c r="I2" i="105"/>
  <c r="I2" i="2"/>
  <c r="I49" i="58"/>
  <c r="I48" i="58"/>
  <c r="I47" i="58"/>
  <c r="I46" i="58"/>
  <c r="I45" i="58"/>
  <c r="I44" i="58"/>
  <c r="I43" i="58"/>
  <c r="I42" i="58"/>
  <c r="I41" i="58"/>
  <c r="I49" i="59"/>
  <c r="I48" i="59"/>
  <c r="I47" i="59"/>
  <c r="I46" i="59"/>
  <c r="I45" i="59"/>
  <c r="I44" i="59"/>
  <c r="I43" i="59"/>
  <c r="I42" i="59"/>
  <c r="I41" i="59"/>
  <c r="I49" i="60"/>
  <c r="I48" i="60"/>
  <c r="I47" i="60"/>
  <c r="I46" i="60"/>
  <c r="I45" i="60"/>
  <c r="I44" i="60"/>
  <c r="I43" i="60"/>
  <c r="I42" i="60"/>
  <c r="I41" i="60"/>
  <c r="I49" i="61"/>
  <c r="I48" i="61"/>
  <c r="I47" i="61"/>
  <c r="I46" i="61"/>
  <c r="I45" i="61"/>
  <c r="I44" i="61"/>
  <c r="I43" i="61"/>
  <c r="I42" i="61"/>
  <c r="I41" i="61"/>
  <c r="I49" i="62"/>
  <c r="I48" i="62"/>
  <c r="I47" i="62"/>
  <c r="I46" i="62"/>
  <c r="I45" i="62"/>
  <c r="I44" i="62"/>
  <c r="I43" i="62"/>
  <c r="I42" i="62"/>
  <c r="I41" i="62"/>
  <c r="I49" i="63"/>
  <c r="I48" i="63"/>
  <c r="I47" i="63"/>
  <c r="I46" i="63"/>
  <c r="I45" i="63"/>
  <c r="I44" i="63"/>
  <c r="I43" i="63"/>
  <c r="I42" i="63"/>
  <c r="I41" i="63"/>
  <c r="I49" i="64"/>
  <c r="I48" i="64"/>
  <c r="I47" i="64"/>
  <c r="I46" i="64"/>
  <c r="I45" i="64"/>
  <c r="I44" i="64"/>
  <c r="I43" i="64"/>
  <c r="I42" i="64"/>
  <c r="I41" i="64"/>
  <c r="I49" i="65"/>
  <c r="I48" i="65"/>
  <c r="I47" i="65"/>
  <c r="I46" i="65"/>
  <c r="I45" i="65"/>
  <c r="I44" i="65"/>
  <c r="I43" i="65"/>
  <c r="I42" i="65"/>
  <c r="I41" i="65"/>
  <c r="I49" i="66"/>
  <c r="I48" i="66"/>
  <c r="I47" i="66"/>
  <c r="I46" i="66"/>
  <c r="I45" i="66"/>
  <c r="I44" i="66"/>
  <c r="I43" i="66"/>
  <c r="I42" i="66"/>
  <c r="I41" i="66"/>
  <c r="I49" i="67"/>
  <c r="I48" i="67"/>
  <c r="I47" i="67"/>
  <c r="I46" i="67"/>
  <c r="I45" i="67"/>
  <c r="I44" i="67"/>
  <c r="I43" i="67"/>
  <c r="I42" i="67"/>
  <c r="I41" i="67"/>
  <c r="I49" i="68"/>
  <c r="I48" i="68"/>
  <c r="I47" i="68"/>
  <c r="I46" i="68"/>
  <c r="I45" i="68"/>
  <c r="I44" i="68"/>
  <c r="I43" i="68"/>
  <c r="I42" i="68"/>
  <c r="I41" i="68"/>
  <c r="I49" i="108"/>
  <c r="I48" i="108"/>
  <c r="I47" i="108"/>
  <c r="I46" i="108"/>
  <c r="I45" i="108"/>
  <c r="I44" i="108"/>
  <c r="I43" i="108"/>
  <c r="I42" i="108"/>
  <c r="I41" i="108"/>
  <c r="I49" i="69"/>
  <c r="I48" i="69"/>
  <c r="I47" i="69"/>
  <c r="I46" i="69"/>
  <c r="I45" i="69"/>
  <c r="I44" i="69"/>
  <c r="I43" i="69"/>
  <c r="I42" i="69"/>
  <c r="I41" i="69"/>
  <c r="I49" i="70"/>
  <c r="I48" i="70"/>
  <c r="I47" i="70"/>
  <c r="I46" i="70"/>
  <c r="I45" i="70"/>
  <c r="I44" i="70"/>
  <c r="I43" i="70"/>
  <c r="I42" i="70"/>
  <c r="I41" i="70"/>
  <c r="I49" i="71"/>
  <c r="I48" i="71"/>
  <c r="I47" i="71"/>
  <c r="I46" i="71"/>
  <c r="I45" i="71"/>
  <c r="I44" i="71"/>
  <c r="I43" i="71"/>
  <c r="I42" i="71"/>
  <c r="I41" i="71"/>
  <c r="I49" i="72"/>
  <c r="I48" i="72"/>
  <c r="I47" i="72"/>
  <c r="I46" i="72"/>
  <c r="I45" i="72"/>
  <c r="I44" i="72"/>
  <c r="I43" i="72"/>
  <c r="I42" i="72"/>
  <c r="I41" i="72"/>
  <c r="I49" i="73"/>
  <c r="I48" i="73"/>
  <c r="I47" i="73"/>
  <c r="I46" i="73"/>
  <c r="I45" i="73"/>
  <c r="I44" i="73"/>
  <c r="I43" i="73"/>
  <c r="I42" i="73"/>
  <c r="I41" i="73"/>
  <c r="I49" i="74"/>
  <c r="I48" i="74"/>
  <c r="I47" i="74"/>
  <c r="I46" i="74"/>
  <c r="I45" i="74"/>
  <c r="I44" i="74"/>
  <c r="I43" i="74"/>
  <c r="I42" i="74"/>
  <c r="I41" i="74"/>
  <c r="I49" i="75"/>
  <c r="I48" i="75"/>
  <c r="I47" i="75"/>
  <c r="I46" i="75"/>
  <c r="I45" i="75"/>
  <c r="I44" i="75"/>
  <c r="I43" i="75"/>
  <c r="I42" i="75"/>
  <c r="I41" i="75"/>
  <c r="I49" i="76"/>
  <c r="I48" i="76"/>
  <c r="I47" i="76"/>
  <c r="I46" i="76"/>
  <c r="I45" i="76"/>
  <c r="I44" i="76"/>
  <c r="I43" i="76"/>
  <c r="I42" i="76"/>
  <c r="I41" i="76"/>
  <c r="I49" i="77"/>
  <c r="I48" i="77"/>
  <c r="I47" i="77"/>
  <c r="I46" i="77"/>
  <c r="I45" i="77"/>
  <c r="I44" i="77"/>
  <c r="I43" i="77"/>
  <c r="I42" i="77"/>
  <c r="I41" i="77"/>
  <c r="I49" i="78"/>
  <c r="I48" i="78"/>
  <c r="I47" i="78"/>
  <c r="I46" i="78"/>
  <c r="I45" i="78"/>
  <c r="I44" i="78"/>
  <c r="I43" i="78"/>
  <c r="I42" i="78"/>
  <c r="I41" i="78"/>
  <c r="I49" i="79"/>
  <c r="I48" i="79"/>
  <c r="I47" i="79"/>
  <c r="I46" i="79"/>
  <c r="I45" i="79"/>
  <c r="I44" i="79"/>
  <c r="I43" i="79"/>
  <c r="I42" i="79"/>
  <c r="I41" i="79"/>
  <c r="I49" i="80"/>
  <c r="I48" i="80"/>
  <c r="I47" i="80"/>
  <c r="I46" i="80"/>
  <c r="I45" i="80"/>
  <c r="I44" i="80"/>
  <c r="I43" i="80"/>
  <c r="I42" i="80"/>
  <c r="I41" i="80"/>
  <c r="I49" i="81"/>
  <c r="I48" i="81"/>
  <c r="I47" i="81"/>
  <c r="I46" i="81"/>
  <c r="I45" i="81"/>
  <c r="I44" i="81"/>
  <c r="I43" i="81"/>
  <c r="I42" i="81"/>
  <c r="I41" i="81"/>
  <c r="I49" i="82"/>
  <c r="I48" i="82"/>
  <c r="I47" i="82"/>
  <c r="I46" i="82"/>
  <c r="I45" i="82"/>
  <c r="I44" i="82"/>
  <c r="I43" i="82"/>
  <c r="I42" i="82"/>
  <c r="I41" i="82"/>
  <c r="I49" i="83"/>
  <c r="I48" i="83"/>
  <c r="I47" i="83"/>
  <c r="I46" i="83"/>
  <c r="I45" i="83"/>
  <c r="I44" i="83"/>
  <c r="I43" i="83"/>
  <c r="I42" i="83"/>
  <c r="I41" i="83"/>
  <c r="I49" i="84"/>
  <c r="I48" i="84"/>
  <c r="I47" i="84"/>
  <c r="I46" i="84"/>
  <c r="I45" i="84"/>
  <c r="I44" i="84"/>
  <c r="I43" i="84"/>
  <c r="I42" i="84"/>
  <c r="I41" i="84"/>
  <c r="I49" i="85"/>
  <c r="I48" i="85"/>
  <c r="I47" i="85"/>
  <c r="I46" i="85"/>
  <c r="I45" i="85"/>
  <c r="I44" i="85"/>
  <c r="I43" i="85"/>
  <c r="I42" i="85"/>
  <c r="I41" i="85"/>
  <c r="I49" i="86"/>
  <c r="I48" i="86"/>
  <c r="I47" i="86"/>
  <c r="I46" i="86"/>
  <c r="I45" i="86"/>
  <c r="I44" i="86"/>
  <c r="I43" i="86"/>
  <c r="I42" i="86"/>
  <c r="I41" i="86"/>
  <c r="I49" i="87"/>
  <c r="I48" i="87"/>
  <c r="I47" i="87"/>
  <c r="I46" i="87"/>
  <c r="I45" i="87"/>
  <c r="I44" i="87"/>
  <c r="I43" i="87"/>
  <c r="I42" i="87"/>
  <c r="I41" i="87"/>
  <c r="I49" i="88"/>
  <c r="I48" i="88"/>
  <c r="I47" i="88"/>
  <c r="I46" i="88"/>
  <c r="I45" i="88"/>
  <c r="I44" i="88"/>
  <c r="I43" i="88"/>
  <c r="I42" i="88"/>
  <c r="I41" i="88"/>
  <c r="I49" i="89"/>
  <c r="I48" i="89"/>
  <c r="I47" i="89"/>
  <c r="I46" i="89"/>
  <c r="I45" i="89"/>
  <c r="I44" i="89"/>
  <c r="I43" i="89"/>
  <c r="I42" i="89"/>
  <c r="I41" i="89"/>
  <c r="I49" i="90"/>
  <c r="I48" i="90"/>
  <c r="I47" i="90"/>
  <c r="I46" i="90"/>
  <c r="I45" i="90"/>
  <c r="I44" i="90"/>
  <c r="I43" i="90"/>
  <c r="I42" i="90"/>
  <c r="I41" i="90"/>
  <c r="I49" i="91"/>
  <c r="I48" i="91"/>
  <c r="I47" i="91"/>
  <c r="I46" i="91"/>
  <c r="I45" i="91"/>
  <c r="I44" i="91"/>
  <c r="I43" i="91"/>
  <c r="I42" i="91"/>
  <c r="I41" i="91"/>
  <c r="I49" i="92"/>
  <c r="I48" i="92"/>
  <c r="I47" i="92"/>
  <c r="I46" i="92"/>
  <c r="I45" i="92"/>
  <c r="I44" i="92"/>
  <c r="I43" i="92"/>
  <c r="I42" i="92"/>
  <c r="I41" i="92"/>
  <c r="I49" i="93"/>
  <c r="I48" i="93"/>
  <c r="I47" i="93"/>
  <c r="I46" i="93"/>
  <c r="I45" i="93"/>
  <c r="I44" i="93"/>
  <c r="I43" i="93"/>
  <c r="I42" i="93"/>
  <c r="I41" i="93"/>
  <c r="I49" i="94"/>
  <c r="I48" i="94"/>
  <c r="I47" i="94"/>
  <c r="I46" i="94"/>
  <c r="I45" i="94"/>
  <c r="I44" i="94"/>
  <c r="I43" i="94"/>
  <c r="I42" i="94"/>
  <c r="I41" i="94"/>
  <c r="I49" i="95"/>
  <c r="I48" i="95"/>
  <c r="I47" i="95"/>
  <c r="I46" i="95"/>
  <c r="I45" i="95"/>
  <c r="I44" i="95"/>
  <c r="I43" i="95"/>
  <c r="I42" i="95"/>
  <c r="I41" i="95"/>
  <c r="I49" i="96"/>
  <c r="I48" i="96"/>
  <c r="I47" i="96"/>
  <c r="I46" i="96"/>
  <c r="I45" i="96"/>
  <c r="I44" i="96"/>
  <c r="I43" i="96"/>
  <c r="I42" i="96"/>
  <c r="I41" i="96"/>
  <c r="I49" i="97"/>
  <c r="I48" i="97"/>
  <c r="I47" i="97"/>
  <c r="I46" i="97"/>
  <c r="I45" i="97"/>
  <c r="I44" i="97"/>
  <c r="I43" i="97"/>
  <c r="I42" i="97"/>
  <c r="I41" i="97"/>
  <c r="I49" i="98"/>
  <c r="I48" i="98"/>
  <c r="I47" i="98"/>
  <c r="I46" i="98"/>
  <c r="I45" i="98"/>
  <c r="I44" i="98"/>
  <c r="I43" i="98"/>
  <c r="I42" i="98"/>
  <c r="I41" i="98"/>
  <c r="I49" i="99"/>
  <c r="I48" i="99"/>
  <c r="I47" i="99"/>
  <c r="I46" i="99"/>
  <c r="I45" i="99"/>
  <c r="I44" i="99"/>
  <c r="I43" i="99"/>
  <c r="I42" i="99"/>
  <c r="I41" i="99"/>
  <c r="I49" i="100"/>
  <c r="I48" i="100"/>
  <c r="I47" i="100"/>
  <c r="I46" i="100"/>
  <c r="I45" i="100"/>
  <c r="I44" i="100"/>
  <c r="I43" i="100"/>
  <c r="I42" i="100"/>
  <c r="I41" i="100"/>
  <c r="I49" i="101"/>
  <c r="I48" i="101"/>
  <c r="I47" i="101"/>
  <c r="I46" i="101"/>
  <c r="I45" i="101"/>
  <c r="I44" i="101"/>
  <c r="I43" i="101"/>
  <c r="I42" i="101"/>
  <c r="I41" i="101"/>
  <c r="I49" i="102"/>
  <c r="I48" i="102"/>
  <c r="I47" i="102"/>
  <c r="I46" i="102"/>
  <c r="I45" i="102"/>
  <c r="I44" i="102"/>
  <c r="I43" i="102"/>
  <c r="I42" i="102"/>
  <c r="I41" i="102"/>
  <c r="I49" i="103"/>
  <c r="I48" i="103"/>
  <c r="I47" i="103"/>
  <c r="I46" i="103"/>
  <c r="I45" i="103"/>
  <c r="I44" i="103"/>
  <c r="I43" i="103"/>
  <c r="I42" i="103"/>
  <c r="I41" i="103"/>
  <c r="I49" i="104"/>
  <c r="I48" i="104"/>
  <c r="I47" i="104"/>
  <c r="I46" i="104"/>
  <c r="I45" i="104"/>
  <c r="I44" i="104"/>
  <c r="I43" i="104"/>
  <c r="I42" i="104"/>
  <c r="I41" i="104"/>
  <c r="I49" i="105"/>
  <c r="I48" i="105"/>
  <c r="I47" i="105"/>
  <c r="I46" i="105"/>
  <c r="I45" i="105"/>
  <c r="I44" i="105"/>
  <c r="I43" i="105"/>
  <c r="I42" i="105"/>
  <c r="I41" i="105"/>
  <c r="I49" i="107"/>
  <c r="I48" i="107"/>
  <c r="I47" i="107"/>
  <c r="I46" i="107"/>
  <c r="I45" i="107"/>
  <c r="I44" i="107"/>
  <c r="I43" i="107"/>
  <c r="I42" i="107"/>
  <c r="I41" i="107"/>
  <c r="J82" i="107"/>
  <c r="J82" i="58"/>
  <c r="J82" i="59"/>
  <c r="J82" i="60"/>
  <c r="J82" i="61"/>
  <c r="J82" i="62"/>
  <c r="J82" i="63"/>
  <c r="J82" i="64"/>
  <c r="J82" i="65"/>
  <c r="J82" i="66"/>
  <c r="J82" i="67"/>
  <c r="J82" i="68"/>
  <c r="J82" i="108"/>
  <c r="J82" i="69"/>
  <c r="J82" i="70"/>
  <c r="J82" i="71"/>
  <c r="J82" i="72"/>
  <c r="J82" i="73"/>
  <c r="J82" i="74"/>
  <c r="J82" i="75"/>
  <c r="J82" i="76"/>
  <c r="J82" i="77"/>
  <c r="J82" i="78"/>
  <c r="J82" i="79"/>
  <c r="J82" i="80"/>
  <c r="J82" i="81"/>
  <c r="J82" i="82"/>
  <c r="J82" i="83"/>
  <c r="J82" i="84"/>
  <c r="J82" i="85"/>
  <c r="J82" i="86"/>
  <c r="J82" i="87"/>
  <c r="J82" i="88"/>
  <c r="J82" i="89"/>
  <c r="J82" i="90"/>
  <c r="J82" i="91"/>
  <c r="J82" i="92"/>
  <c r="J82" i="93"/>
  <c r="J82" i="94"/>
  <c r="J82" i="95"/>
  <c r="J82" i="96"/>
  <c r="J82" i="97"/>
  <c r="J82" i="98"/>
  <c r="J82" i="99"/>
  <c r="J82" i="100"/>
  <c r="J82" i="101"/>
  <c r="J82" i="102"/>
  <c r="J82" i="103"/>
  <c r="J82" i="104"/>
  <c r="J82" i="105"/>
  <c r="J82" i="2"/>
  <c r="I65" i="107"/>
  <c r="I65" i="58"/>
  <c r="I65" i="59"/>
  <c r="I65" i="60"/>
  <c r="I65" i="61"/>
  <c r="I65" i="62"/>
  <c r="I65" i="63"/>
  <c r="I65" i="64"/>
  <c r="I65" i="65"/>
  <c r="I65" i="66"/>
  <c r="I65" i="67"/>
  <c r="I65" i="68"/>
  <c r="I65" i="108"/>
  <c r="I65" i="69"/>
  <c r="I65" i="70"/>
  <c r="I65" i="71"/>
  <c r="I65" i="72"/>
  <c r="I65" i="73"/>
  <c r="I65" i="74"/>
  <c r="I65" i="75"/>
  <c r="I65" i="76"/>
  <c r="I65" i="77"/>
  <c r="I65" i="78"/>
  <c r="I65" i="79"/>
  <c r="I65" i="80"/>
  <c r="I65" i="81"/>
  <c r="I65" i="82"/>
  <c r="I65" i="83"/>
  <c r="I65" i="84"/>
  <c r="I65" i="85"/>
  <c r="I65" i="86"/>
  <c r="I65" i="87"/>
  <c r="I65" i="88"/>
  <c r="I65" i="89"/>
  <c r="I65" i="90"/>
  <c r="I65" i="91"/>
  <c r="I65" i="92"/>
  <c r="I65" i="93"/>
  <c r="I65" i="94"/>
  <c r="I65" i="95"/>
  <c r="I65" i="96"/>
  <c r="I65" i="97"/>
  <c r="I65" i="98"/>
  <c r="I65" i="99"/>
  <c r="I65" i="100"/>
  <c r="I65" i="101"/>
  <c r="I65" i="102"/>
  <c r="I65" i="103"/>
  <c r="I65" i="104"/>
  <c r="I65" i="105"/>
  <c r="I65" i="2"/>
  <c r="I62" i="107"/>
  <c r="I62" i="58"/>
  <c r="I62" i="59"/>
  <c r="I62" i="60"/>
  <c r="I62" i="61"/>
  <c r="I62" i="62"/>
  <c r="I62" i="63"/>
  <c r="I62" i="64"/>
  <c r="I62" i="65"/>
  <c r="I62" i="66"/>
  <c r="I62" i="67"/>
  <c r="I62" i="68"/>
  <c r="I62" i="108"/>
  <c r="I62" i="69"/>
  <c r="I62" i="70"/>
  <c r="I62" i="71"/>
  <c r="I62" i="72"/>
  <c r="I62" i="73"/>
  <c r="I62" i="74"/>
  <c r="I62" i="75"/>
  <c r="I62" i="76"/>
  <c r="I62" i="77"/>
  <c r="I62" i="78"/>
  <c r="I62" i="79"/>
  <c r="I62" i="80"/>
  <c r="I62" i="81"/>
  <c r="I62" i="82"/>
  <c r="I62" i="83"/>
  <c r="I62" i="84"/>
  <c r="I62" i="85"/>
  <c r="I62" i="86"/>
  <c r="I62" i="87"/>
  <c r="I62" i="88"/>
  <c r="I62" i="89"/>
  <c r="I62" i="90"/>
  <c r="I62" i="91"/>
  <c r="I62" i="92"/>
  <c r="I62" i="93"/>
  <c r="I62" i="94"/>
  <c r="I62" i="95"/>
  <c r="I62" i="96"/>
  <c r="I62" i="97"/>
  <c r="I62" i="98"/>
  <c r="I62" i="99"/>
  <c r="I62" i="100"/>
  <c r="I62" i="101"/>
  <c r="I62" i="102"/>
  <c r="I62" i="103"/>
  <c r="I62" i="104"/>
  <c r="I62" i="105"/>
  <c r="I62" i="2"/>
  <c r="I59" i="107"/>
  <c r="I59" i="58"/>
  <c r="I59" i="59"/>
  <c r="I59" i="60"/>
  <c r="I59" i="61"/>
  <c r="I59" i="62"/>
  <c r="I59" i="63"/>
  <c r="I59" i="64"/>
  <c r="I59" i="65"/>
  <c r="I59" i="66"/>
  <c r="I59" i="67"/>
  <c r="I59" i="68"/>
  <c r="I59" i="108"/>
  <c r="I59" i="69"/>
  <c r="I59" i="70"/>
  <c r="I59" i="71"/>
  <c r="I59" i="72"/>
  <c r="I59" i="73"/>
  <c r="I59" i="74"/>
  <c r="I59" i="75"/>
  <c r="I59" i="76"/>
  <c r="I59" i="77"/>
  <c r="I59" i="78"/>
  <c r="I59" i="79"/>
  <c r="I59" i="80"/>
  <c r="I59" i="81"/>
  <c r="I59" i="82"/>
  <c r="I59" i="83"/>
  <c r="I59" i="84"/>
  <c r="I59" i="85"/>
  <c r="I59" i="86"/>
  <c r="I59" i="87"/>
  <c r="I59" i="88"/>
  <c r="I59" i="89"/>
  <c r="I59" i="90"/>
  <c r="I59" i="91"/>
  <c r="I59" i="92"/>
  <c r="I59" i="93"/>
  <c r="I59" i="94"/>
  <c r="I59" i="95"/>
  <c r="I59" i="96"/>
  <c r="I59" i="97"/>
  <c r="I59" i="98"/>
  <c r="I59" i="99"/>
  <c r="I59" i="100"/>
  <c r="I59" i="101"/>
  <c r="I59" i="102"/>
  <c r="I59" i="103"/>
  <c r="I59" i="104"/>
  <c r="I59" i="105"/>
  <c r="I59" i="2"/>
  <c r="I56" i="107"/>
  <c r="I56" i="58"/>
  <c r="I56" i="59"/>
  <c r="I56" i="60"/>
  <c r="I56" i="61"/>
  <c r="I56" i="62"/>
  <c r="I56" i="63"/>
  <c r="I56" i="64"/>
  <c r="I56" i="65"/>
  <c r="I56" i="66"/>
  <c r="I56" i="67"/>
  <c r="I56" i="68"/>
  <c r="I56" i="108"/>
  <c r="I56" i="69"/>
  <c r="I56" i="70"/>
  <c r="I56" i="71"/>
  <c r="I56" i="72"/>
  <c r="I56" i="73"/>
  <c r="I56" i="74"/>
  <c r="I56" i="75"/>
  <c r="I56" i="76"/>
  <c r="I56" i="77"/>
  <c r="I56" i="78"/>
  <c r="I56" i="79"/>
  <c r="I56" i="80"/>
  <c r="I56" i="81"/>
  <c r="I56" i="82"/>
  <c r="I56" i="83"/>
  <c r="I56" i="84"/>
  <c r="I56" i="85"/>
  <c r="I56" i="86"/>
  <c r="I56" i="87"/>
  <c r="I56" i="88"/>
  <c r="I56" i="89"/>
  <c r="I56" i="90"/>
  <c r="I56" i="91"/>
  <c r="I56" i="92"/>
  <c r="I56" i="93"/>
  <c r="I56" i="94"/>
  <c r="I56" i="95"/>
  <c r="I56" i="96"/>
  <c r="I56" i="97"/>
  <c r="I56" i="98"/>
  <c r="I56" i="99"/>
  <c r="I56" i="100"/>
  <c r="I56" i="101"/>
  <c r="I56" i="102"/>
  <c r="I56" i="103"/>
  <c r="I56" i="104"/>
  <c r="I56" i="105"/>
  <c r="I56" i="2"/>
  <c r="I53" i="59"/>
  <c r="I53" i="60"/>
  <c r="I53" i="61"/>
  <c r="I53" i="62"/>
  <c r="I53" i="63"/>
  <c r="I53" i="64"/>
  <c r="I53" i="65"/>
  <c r="I53" i="66"/>
  <c r="I53" i="67"/>
  <c r="I53" i="68"/>
  <c r="I53" i="108"/>
  <c r="I53" i="69"/>
  <c r="I53" i="70"/>
  <c r="I53" i="71"/>
  <c r="I53" i="72"/>
  <c r="I53" i="73"/>
  <c r="I53" i="74"/>
  <c r="I53" i="75"/>
  <c r="I53" i="76"/>
  <c r="I53" i="77"/>
  <c r="I53" i="78"/>
  <c r="I53" i="79"/>
  <c r="I53" i="80"/>
  <c r="I53" i="81"/>
  <c r="I53" i="82"/>
  <c r="I53" i="83"/>
  <c r="I53" i="84"/>
  <c r="I53" i="85"/>
  <c r="I53" i="86"/>
  <c r="I53" i="87"/>
  <c r="I53" i="88"/>
  <c r="I53" i="89"/>
  <c r="I53" i="90"/>
  <c r="I53" i="91"/>
  <c r="I53" i="92"/>
  <c r="I53" i="93"/>
  <c r="I53" i="94"/>
  <c r="I53" i="95"/>
  <c r="I53" i="96"/>
  <c r="I53" i="97"/>
  <c r="I53" i="98"/>
  <c r="I53" i="99"/>
  <c r="I53" i="100"/>
  <c r="I53" i="101"/>
  <c r="I53" i="102"/>
  <c r="I53" i="103"/>
  <c r="I53" i="104"/>
  <c r="I53" i="105"/>
  <c r="I53" i="58"/>
  <c r="I53" i="107"/>
  <c r="I53" i="2"/>
  <c r="G72" i="58"/>
  <c r="G71" i="58"/>
  <c r="G70" i="58"/>
  <c r="G68" i="58"/>
  <c r="G72" i="59"/>
  <c r="G71" i="59"/>
  <c r="G70" i="59"/>
  <c r="G68" i="59"/>
  <c r="G72" i="60"/>
  <c r="G71" i="60"/>
  <c r="G70" i="60"/>
  <c r="G68" i="60"/>
  <c r="G72" i="61"/>
  <c r="G71" i="61"/>
  <c r="G70" i="61"/>
  <c r="G68" i="61"/>
  <c r="G72" i="62"/>
  <c r="G71" i="62"/>
  <c r="G70" i="62"/>
  <c r="G68" i="62"/>
  <c r="G72" i="63"/>
  <c r="G71" i="63"/>
  <c r="G70" i="63"/>
  <c r="G68" i="63"/>
  <c r="G72" i="64"/>
  <c r="G71" i="64"/>
  <c r="G70" i="64"/>
  <c r="G68" i="64"/>
  <c r="G72" i="65"/>
  <c r="G71" i="65"/>
  <c r="G70" i="65"/>
  <c r="G68" i="65"/>
  <c r="G72" i="66"/>
  <c r="G71" i="66"/>
  <c r="G70" i="66"/>
  <c r="G68" i="66"/>
  <c r="G72" i="67"/>
  <c r="G71" i="67"/>
  <c r="G70" i="67"/>
  <c r="G68" i="67"/>
  <c r="G72" i="68"/>
  <c r="G71" i="68"/>
  <c r="G70" i="68"/>
  <c r="G68" i="68"/>
  <c r="G72" i="108"/>
  <c r="G71" i="108"/>
  <c r="G70" i="108"/>
  <c r="G68" i="108"/>
  <c r="G72" i="69"/>
  <c r="G71" i="69"/>
  <c r="G70" i="69"/>
  <c r="G68" i="69"/>
  <c r="G72" i="70"/>
  <c r="G71" i="70"/>
  <c r="G70" i="70"/>
  <c r="G68" i="70"/>
  <c r="G72" i="71"/>
  <c r="G71" i="71"/>
  <c r="G70" i="71"/>
  <c r="G68" i="71"/>
  <c r="G72" i="72"/>
  <c r="G71" i="72"/>
  <c r="G70" i="72"/>
  <c r="G68" i="72"/>
  <c r="G72" i="73"/>
  <c r="G71" i="73"/>
  <c r="G70" i="73"/>
  <c r="G68" i="73"/>
  <c r="G72" i="74"/>
  <c r="G71" i="74"/>
  <c r="G70" i="74"/>
  <c r="G68" i="74"/>
  <c r="G72" i="75"/>
  <c r="G71" i="75"/>
  <c r="G70" i="75"/>
  <c r="G68" i="75"/>
  <c r="G72" i="76"/>
  <c r="G71" i="76"/>
  <c r="G70" i="76"/>
  <c r="G68" i="76"/>
  <c r="G72" i="77"/>
  <c r="G71" i="77"/>
  <c r="G70" i="77"/>
  <c r="G68" i="77"/>
  <c r="G72" i="78"/>
  <c r="G71" i="78"/>
  <c r="G70" i="78"/>
  <c r="G68" i="78"/>
  <c r="G72" i="79"/>
  <c r="G71" i="79"/>
  <c r="G70" i="79"/>
  <c r="G68" i="79"/>
  <c r="G72" i="80"/>
  <c r="G71" i="80"/>
  <c r="G70" i="80"/>
  <c r="G68" i="80"/>
  <c r="G72" i="81"/>
  <c r="G71" i="81"/>
  <c r="G70" i="81"/>
  <c r="G68" i="81"/>
  <c r="G72" i="82"/>
  <c r="G71" i="82"/>
  <c r="G70" i="82"/>
  <c r="G68" i="82"/>
  <c r="G72" i="83"/>
  <c r="G71" i="83"/>
  <c r="G70" i="83"/>
  <c r="G68" i="83"/>
  <c r="G72" i="84"/>
  <c r="G71" i="84"/>
  <c r="G70" i="84"/>
  <c r="G68" i="84"/>
  <c r="G72" i="85"/>
  <c r="G71" i="85"/>
  <c r="G70" i="85"/>
  <c r="G68" i="85"/>
  <c r="G72" i="86"/>
  <c r="G71" i="86"/>
  <c r="G70" i="86"/>
  <c r="G68" i="86"/>
  <c r="G72" i="87"/>
  <c r="G71" i="87"/>
  <c r="G70" i="87"/>
  <c r="G68" i="87"/>
  <c r="G72" i="88"/>
  <c r="G71" i="88"/>
  <c r="G70" i="88"/>
  <c r="G68" i="88"/>
  <c r="G72" i="89"/>
  <c r="G71" i="89"/>
  <c r="G70" i="89"/>
  <c r="G68" i="89"/>
  <c r="G72" i="90"/>
  <c r="G71" i="90"/>
  <c r="G70" i="90"/>
  <c r="G68" i="90"/>
  <c r="G72" i="91"/>
  <c r="G71" i="91"/>
  <c r="G70" i="91"/>
  <c r="G68" i="91"/>
  <c r="G72" i="92"/>
  <c r="G71" i="92"/>
  <c r="G70" i="92"/>
  <c r="G68" i="92"/>
  <c r="G72" i="93"/>
  <c r="G71" i="93"/>
  <c r="G70" i="93"/>
  <c r="G68" i="93"/>
  <c r="G72" i="94"/>
  <c r="G71" i="94"/>
  <c r="G70" i="94"/>
  <c r="G68" i="94"/>
  <c r="G72" i="95"/>
  <c r="G71" i="95"/>
  <c r="G70" i="95"/>
  <c r="G68" i="95"/>
  <c r="G72" i="96"/>
  <c r="G71" i="96"/>
  <c r="G70" i="96"/>
  <c r="G68" i="96"/>
  <c r="G72" i="97"/>
  <c r="G71" i="97"/>
  <c r="G70" i="97"/>
  <c r="G68" i="97"/>
  <c r="G72" i="98"/>
  <c r="G71" i="98"/>
  <c r="G70" i="98"/>
  <c r="G68" i="98"/>
  <c r="G72" i="99"/>
  <c r="G71" i="99"/>
  <c r="G70" i="99"/>
  <c r="G68" i="99"/>
  <c r="G72" i="100"/>
  <c r="G71" i="100"/>
  <c r="G70" i="100"/>
  <c r="G68" i="100"/>
  <c r="G72" i="101"/>
  <c r="G71" i="101"/>
  <c r="G70" i="101"/>
  <c r="G68" i="101"/>
  <c r="G72" i="102"/>
  <c r="G71" i="102"/>
  <c r="G70" i="102"/>
  <c r="G68" i="102"/>
  <c r="G72" i="103"/>
  <c r="G71" i="103"/>
  <c r="G70" i="103"/>
  <c r="G68" i="103"/>
  <c r="G72" i="104"/>
  <c r="G71" i="104"/>
  <c r="G70" i="104"/>
  <c r="G68" i="104"/>
  <c r="G72" i="105"/>
  <c r="G71" i="105"/>
  <c r="G70" i="105"/>
  <c r="G68" i="105"/>
  <c r="G72" i="107"/>
  <c r="G71" i="107"/>
  <c r="G70" i="107"/>
  <c r="G68" i="107"/>
  <c r="G71" i="2"/>
  <c r="G72" i="2"/>
  <c r="G68" i="2"/>
  <c r="G70" i="2"/>
  <c r="D9" i="58"/>
  <c r="C9" i="58"/>
  <c r="D9" i="59"/>
  <c r="C9" i="59"/>
  <c r="D9" i="60"/>
  <c r="C9" i="60"/>
  <c r="D9" i="61"/>
  <c r="C9" i="61"/>
  <c r="D9" i="62"/>
  <c r="C9" i="62"/>
  <c r="D9" i="63"/>
  <c r="C9" i="63"/>
  <c r="D9" i="64"/>
  <c r="C9" i="64"/>
  <c r="D9" i="65"/>
  <c r="C9" i="65"/>
  <c r="D9" i="66"/>
  <c r="C9" i="66"/>
  <c r="D9" i="67"/>
  <c r="C9" i="67"/>
  <c r="D9" i="68"/>
  <c r="C9" i="68"/>
  <c r="D9" i="108"/>
  <c r="C9" i="108"/>
  <c r="D9" i="69"/>
  <c r="C9" i="69"/>
  <c r="D9" i="70"/>
  <c r="C9" i="70"/>
  <c r="D9" i="71"/>
  <c r="C9" i="71"/>
  <c r="D9" i="72"/>
  <c r="C9" i="72"/>
  <c r="D9" i="73"/>
  <c r="C9" i="73"/>
  <c r="D9" i="74"/>
  <c r="C9" i="74"/>
  <c r="D9" i="75"/>
  <c r="C9" i="75"/>
  <c r="D9" i="76"/>
  <c r="C9" i="76"/>
  <c r="D9" i="77"/>
  <c r="C9" i="77"/>
  <c r="D9" i="78"/>
  <c r="C9" i="78"/>
  <c r="D9" i="79"/>
  <c r="C9" i="79"/>
  <c r="D9" i="80"/>
  <c r="C9" i="80"/>
  <c r="D9" i="81"/>
  <c r="C9" i="81"/>
  <c r="D9" i="82"/>
  <c r="C9" i="82"/>
  <c r="D9" i="83"/>
  <c r="C9" i="83"/>
  <c r="D9" i="84"/>
  <c r="C9" i="84"/>
  <c r="D9" i="85"/>
  <c r="C9" i="85"/>
  <c r="D9" i="86"/>
  <c r="C9" i="86"/>
  <c r="D9" i="87"/>
  <c r="C9" i="87"/>
  <c r="D9" i="88"/>
  <c r="C9" i="88"/>
  <c r="D9" i="89"/>
  <c r="C9" i="89"/>
  <c r="D9" i="90"/>
  <c r="C9" i="90"/>
  <c r="D9" i="91"/>
  <c r="C9" i="91"/>
  <c r="D9" i="92"/>
  <c r="C9" i="92"/>
  <c r="D9" i="93"/>
  <c r="C9" i="93"/>
  <c r="D9" i="94"/>
  <c r="C9" i="94"/>
  <c r="D9" i="95"/>
  <c r="C9" i="95"/>
  <c r="D9" i="96"/>
  <c r="C9" i="96"/>
  <c r="D9" i="97"/>
  <c r="C9" i="97"/>
  <c r="D9" i="98"/>
  <c r="C9" i="98"/>
  <c r="D9" i="99"/>
  <c r="C9" i="99"/>
  <c r="D9" i="100"/>
  <c r="C9" i="100"/>
  <c r="D9" i="101"/>
  <c r="C9" i="101"/>
  <c r="D9" i="102"/>
  <c r="C9" i="102"/>
  <c r="D9" i="103"/>
  <c r="C9" i="103"/>
  <c r="D9" i="104"/>
  <c r="C9" i="104"/>
  <c r="D9" i="105"/>
  <c r="C9" i="105"/>
  <c r="D9" i="107"/>
  <c r="C9" i="107"/>
  <c r="D9" i="2"/>
  <c r="C9" i="2"/>
  <c r="J122" i="58"/>
  <c r="J122" i="59"/>
  <c r="J122" i="60"/>
  <c r="J122" i="61"/>
  <c r="J122" i="62"/>
  <c r="J122" i="63"/>
  <c r="J122" i="64"/>
  <c r="J122" i="65"/>
  <c r="J122" i="66"/>
  <c r="J122" i="67"/>
  <c r="J122" i="68"/>
  <c r="J122" i="108"/>
  <c r="J122" i="69"/>
  <c r="J122" i="70"/>
  <c r="J122" i="71"/>
  <c r="J122" i="72"/>
  <c r="J122" i="73"/>
  <c r="J122" i="74"/>
  <c r="J122" i="75"/>
  <c r="J122" i="76"/>
  <c r="J122" i="77"/>
  <c r="J122" i="78"/>
  <c r="J122" i="79"/>
  <c r="J122" i="80"/>
  <c r="J122" i="81"/>
  <c r="J122" i="82"/>
  <c r="J122" i="83"/>
  <c r="J122" i="84"/>
  <c r="J122" i="85"/>
  <c r="J122" i="86"/>
  <c r="J122" i="87"/>
  <c r="J122" i="88"/>
  <c r="J122" i="89"/>
  <c r="J122" i="90"/>
  <c r="J122" i="91"/>
  <c r="J122" i="92"/>
  <c r="J122" i="93"/>
  <c r="J122" i="94"/>
  <c r="J122" i="95"/>
  <c r="J122" i="96"/>
  <c r="J122" i="97"/>
  <c r="J122" i="98"/>
  <c r="J122" i="99"/>
  <c r="J122" i="100"/>
  <c r="J122" i="101"/>
  <c r="J122" i="102"/>
  <c r="J122" i="103"/>
  <c r="J122" i="104"/>
  <c r="J122" i="105"/>
  <c r="J122" i="107"/>
  <c r="J122" i="2"/>
  <c r="I98" i="58"/>
  <c r="I97" i="58"/>
  <c r="I98" i="59"/>
  <c r="I97" i="59"/>
  <c r="I98" i="60"/>
  <c r="I97" i="60"/>
  <c r="I98" i="61"/>
  <c r="I97" i="61"/>
  <c r="I98" i="62"/>
  <c r="I97" i="62"/>
  <c r="I98" i="63"/>
  <c r="I97" i="63"/>
  <c r="I98" i="64"/>
  <c r="I97" i="64"/>
  <c r="I98" i="65"/>
  <c r="I97" i="65"/>
  <c r="I98" i="66"/>
  <c r="I97" i="66"/>
  <c r="I98" i="67"/>
  <c r="I97" i="67"/>
  <c r="I98" i="68"/>
  <c r="I97" i="68"/>
  <c r="I98" i="108"/>
  <c r="I97" i="108"/>
  <c r="I98" i="69"/>
  <c r="I97" i="69"/>
  <c r="I98" i="70"/>
  <c r="I97" i="70"/>
  <c r="I98" i="71"/>
  <c r="I97" i="71"/>
  <c r="I98" i="72"/>
  <c r="I97" i="72"/>
  <c r="I98" i="73"/>
  <c r="I97" i="73"/>
  <c r="I98" i="74"/>
  <c r="I97" i="74"/>
  <c r="I98" i="75"/>
  <c r="I97" i="75"/>
  <c r="I98" i="76"/>
  <c r="I97" i="76"/>
  <c r="I98" i="77"/>
  <c r="I97" i="77"/>
  <c r="I98" i="78"/>
  <c r="I97" i="78"/>
  <c r="I98" i="79"/>
  <c r="I97" i="79"/>
  <c r="I98" i="80"/>
  <c r="I97" i="80"/>
  <c r="I98" i="81"/>
  <c r="I97" i="81"/>
  <c r="I98" i="82"/>
  <c r="I97" i="82"/>
  <c r="I98" i="83"/>
  <c r="I97" i="83"/>
  <c r="I98" i="84"/>
  <c r="I97" i="84"/>
  <c r="I98" i="85"/>
  <c r="I97" i="85"/>
  <c r="I98" i="86"/>
  <c r="I97" i="86"/>
  <c r="I98" i="87"/>
  <c r="I97" i="87"/>
  <c r="I98" i="88"/>
  <c r="I97" i="88"/>
  <c r="I98" i="89"/>
  <c r="I97" i="89"/>
  <c r="I98" i="90"/>
  <c r="I97" i="90"/>
  <c r="I98" i="91"/>
  <c r="I97" i="91"/>
  <c r="I98" i="92"/>
  <c r="I97" i="92"/>
  <c r="I98" i="93"/>
  <c r="I97" i="93"/>
  <c r="I98" i="94"/>
  <c r="I97" i="94"/>
  <c r="I98" i="95"/>
  <c r="I97" i="95"/>
  <c r="I98" i="96"/>
  <c r="I97" i="96"/>
  <c r="I98" i="97"/>
  <c r="I97" i="97"/>
  <c r="I98" i="98"/>
  <c r="I97" i="98"/>
  <c r="I98" i="99"/>
  <c r="I97" i="99"/>
  <c r="I98" i="100"/>
  <c r="I97" i="100"/>
  <c r="I98" i="101"/>
  <c r="I97" i="101"/>
  <c r="I98" i="102"/>
  <c r="I97" i="102"/>
  <c r="I98" i="103"/>
  <c r="I97" i="103"/>
  <c r="I98" i="104"/>
  <c r="I97" i="104"/>
  <c r="I98" i="105"/>
  <c r="I97" i="105"/>
  <c r="I98" i="107"/>
  <c r="I97" i="107"/>
  <c r="I98" i="2"/>
  <c r="I97" i="2"/>
  <c r="G85" i="58"/>
  <c r="G84" i="58"/>
  <c r="G85" i="59"/>
  <c r="G84" i="59"/>
  <c r="G85" i="60"/>
  <c r="G84" i="60"/>
  <c r="G85" i="61"/>
  <c r="G84" i="61"/>
  <c r="G85" i="62"/>
  <c r="G84" i="62"/>
  <c r="G85" i="63"/>
  <c r="G84" i="63"/>
  <c r="G85" i="64"/>
  <c r="G84" i="64"/>
  <c r="G85" i="65"/>
  <c r="G84" i="65"/>
  <c r="G85" i="66"/>
  <c r="G84" i="66"/>
  <c r="G85" i="67"/>
  <c r="G84" i="67"/>
  <c r="G85" i="68"/>
  <c r="G84" i="68"/>
  <c r="G85" i="108"/>
  <c r="G84" i="108"/>
  <c r="G85" i="69"/>
  <c r="G84" i="69"/>
  <c r="G85" i="70"/>
  <c r="G84" i="70"/>
  <c r="G85" i="71"/>
  <c r="G84" i="71"/>
  <c r="G85" i="72"/>
  <c r="G84" i="72"/>
  <c r="G85" i="73"/>
  <c r="G84" i="73"/>
  <c r="G85" i="74"/>
  <c r="G84" i="74"/>
  <c r="G85" i="75"/>
  <c r="G84" i="75"/>
  <c r="G85" i="76"/>
  <c r="G84" i="76"/>
  <c r="G85" i="77"/>
  <c r="G84" i="77"/>
  <c r="G85" i="78"/>
  <c r="G84" i="78"/>
  <c r="G85" i="79"/>
  <c r="G84" i="79"/>
  <c r="G85" i="80"/>
  <c r="G84" i="80"/>
  <c r="G85" i="81"/>
  <c r="G84" i="81"/>
  <c r="G85" i="82"/>
  <c r="G84" i="82"/>
  <c r="G85" i="83"/>
  <c r="G84" i="83"/>
  <c r="G85" i="84"/>
  <c r="G84" i="84"/>
  <c r="G85" i="85"/>
  <c r="G84" i="85"/>
  <c r="G85" i="86"/>
  <c r="G84" i="86"/>
  <c r="G85" i="87"/>
  <c r="G84" i="87"/>
  <c r="G85" i="88"/>
  <c r="G84" i="88"/>
  <c r="G85" i="89"/>
  <c r="G84" i="89"/>
  <c r="G85" i="90"/>
  <c r="G84" i="90"/>
  <c r="G85" i="91"/>
  <c r="G84" i="91"/>
  <c r="G85" i="92"/>
  <c r="G84" i="92"/>
  <c r="G85" i="93"/>
  <c r="G84" i="93"/>
  <c r="G85" i="94"/>
  <c r="G84" i="94"/>
  <c r="G85" i="95"/>
  <c r="G84" i="95"/>
  <c r="G85" i="96"/>
  <c r="G84" i="96"/>
  <c r="G85" i="97"/>
  <c r="G84" i="97"/>
  <c r="G85" i="98"/>
  <c r="G84" i="98"/>
  <c r="G85" i="99"/>
  <c r="G84" i="99"/>
  <c r="G85" i="100"/>
  <c r="G84" i="100"/>
  <c r="G85" i="101"/>
  <c r="G84" i="101"/>
  <c r="G85" i="102"/>
  <c r="G84" i="102"/>
  <c r="G85" i="103"/>
  <c r="G84" i="103"/>
  <c r="G85" i="104"/>
  <c r="G84" i="104"/>
  <c r="G85" i="105"/>
  <c r="G84" i="105"/>
  <c r="G85" i="107"/>
  <c r="G84" i="107"/>
  <c r="G85" i="2"/>
  <c r="G84" i="2"/>
  <c r="G92" i="58"/>
  <c r="G91" i="58"/>
  <c r="G90" i="58"/>
  <c r="G92" i="59"/>
  <c r="G91" i="59"/>
  <c r="G90" i="59"/>
  <c r="G92" i="60"/>
  <c r="G91" i="60"/>
  <c r="G90" i="60"/>
  <c r="G92" i="61"/>
  <c r="G91" i="61"/>
  <c r="G90" i="61"/>
  <c r="G92" i="62"/>
  <c r="G91" i="62"/>
  <c r="G90" i="62"/>
  <c r="G92" i="63"/>
  <c r="G91" i="63"/>
  <c r="G90" i="63"/>
  <c r="G92" i="64"/>
  <c r="G91" i="64"/>
  <c r="G90" i="64"/>
  <c r="G92" i="65"/>
  <c r="G91" i="65"/>
  <c r="G90" i="65"/>
  <c r="G92" i="66"/>
  <c r="G91" i="66"/>
  <c r="G90" i="66"/>
  <c r="G92" i="67"/>
  <c r="G91" i="67"/>
  <c r="G90" i="67"/>
  <c r="G92" i="68"/>
  <c r="G91" i="68"/>
  <c r="G90" i="68"/>
  <c r="G92" i="108"/>
  <c r="G91" i="108"/>
  <c r="G90" i="108"/>
  <c r="G92" i="69"/>
  <c r="G91" i="69"/>
  <c r="G90" i="69"/>
  <c r="G92" i="70"/>
  <c r="G91" i="70"/>
  <c r="G90" i="70"/>
  <c r="G92" i="71"/>
  <c r="G91" i="71"/>
  <c r="G90" i="71"/>
  <c r="G92" i="72"/>
  <c r="G91" i="72"/>
  <c r="G90" i="72"/>
  <c r="G92" i="73"/>
  <c r="G91" i="73"/>
  <c r="G90" i="73"/>
  <c r="G92" i="74"/>
  <c r="G91" i="74"/>
  <c r="G90" i="74"/>
  <c r="G92" i="75"/>
  <c r="G91" i="75"/>
  <c r="G90" i="75"/>
  <c r="G92" i="76"/>
  <c r="G91" i="76"/>
  <c r="G90" i="76"/>
  <c r="G92" i="77"/>
  <c r="G91" i="77"/>
  <c r="G90" i="77"/>
  <c r="G92" i="78"/>
  <c r="G91" i="78"/>
  <c r="G90" i="78"/>
  <c r="G92" i="79"/>
  <c r="G91" i="79"/>
  <c r="G90" i="79"/>
  <c r="G92" i="80"/>
  <c r="G91" i="80"/>
  <c r="G90" i="80"/>
  <c r="G92" i="81"/>
  <c r="G91" i="81"/>
  <c r="G90" i="81"/>
  <c r="G92" i="82"/>
  <c r="G91" i="82"/>
  <c r="G90" i="82"/>
  <c r="G92" i="83"/>
  <c r="G91" i="83"/>
  <c r="G90" i="83"/>
  <c r="G92" i="84"/>
  <c r="G91" i="84"/>
  <c r="G90" i="84"/>
  <c r="G92" i="85"/>
  <c r="G91" i="85"/>
  <c r="G90" i="85"/>
  <c r="G92" i="86"/>
  <c r="G91" i="86"/>
  <c r="G90" i="86"/>
  <c r="G92" i="87"/>
  <c r="G91" i="87"/>
  <c r="G90" i="87"/>
  <c r="G92" i="88"/>
  <c r="G91" i="88"/>
  <c r="G90" i="88"/>
  <c r="G92" i="89"/>
  <c r="G91" i="89"/>
  <c r="G90" i="89"/>
  <c r="G92" i="90"/>
  <c r="G91" i="90"/>
  <c r="G90" i="90"/>
  <c r="G92" i="91"/>
  <c r="G91" i="91"/>
  <c r="G90" i="91"/>
  <c r="G92" i="92"/>
  <c r="G91" i="92"/>
  <c r="G90" i="92"/>
  <c r="G92" i="93"/>
  <c r="G91" i="93"/>
  <c r="G90" i="93"/>
  <c r="G92" i="94"/>
  <c r="G91" i="94"/>
  <c r="G90" i="94"/>
  <c r="G92" i="95"/>
  <c r="G91" i="95"/>
  <c r="G90" i="95"/>
  <c r="G92" i="96"/>
  <c r="G91" i="96"/>
  <c r="G90" i="96"/>
  <c r="G92" i="97"/>
  <c r="G91" i="97"/>
  <c r="G90" i="97"/>
  <c r="G92" i="98"/>
  <c r="G91" i="98"/>
  <c r="G90" i="98"/>
  <c r="G92" i="99"/>
  <c r="G91" i="99"/>
  <c r="G90" i="99"/>
  <c r="G92" i="100"/>
  <c r="G91" i="100"/>
  <c r="G90" i="100"/>
  <c r="G92" i="101"/>
  <c r="G91" i="101"/>
  <c r="G90" i="101"/>
  <c r="G92" i="102"/>
  <c r="G91" i="102"/>
  <c r="G90" i="102"/>
  <c r="G92" i="103"/>
  <c r="G91" i="103"/>
  <c r="G90" i="103"/>
  <c r="G92" i="104"/>
  <c r="G91" i="104"/>
  <c r="G90" i="104"/>
  <c r="G92" i="105"/>
  <c r="G91" i="105"/>
  <c r="G90" i="105"/>
  <c r="G92" i="107"/>
  <c r="G91" i="107"/>
  <c r="G90" i="107"/>
  <c r="G92" i="2"/>
  <c r="G91" i="2"/>
  <c r="G90" i="2"/>
  <c r="X49" i="58"/>
  <c r="X48" i="58"/>
  <c r="X47" i="58"/>
  <c r="X46" i="58"/>
  <c r="X45" i="58"/>
  <c r="X44" i="58"/>
  <c r="X43" i="58"/>
  <c r="X42" i="58"/>
  <c r="X41" i="58"/>
  <c r="X49" i="59"/>
  <c r="X48" i="59"/>
  <c r="X47" i="59"/>
  <c r="X46" i="59"/>
  <c r="X45" i="59"/>
  <c r="X44" i="59"/>
  <c r="X43" i="59"/>
  <c r="X42" i="59"/>
  <c r="X41" i="59"/>
  <c r="X49" i="60"/>
  <c r="X48" i="60"/>
  <c r="X47" i="60"/>
  <c r="X46" i="60"/>
  <c r="X45" i="60"/>
  <c r="X44" i="60"/>
  <c r="X43" i="60"/>
  <c r="X42" i="60"/>
  <c r="X41" i="60"/>
  <c r="X49" i="61"/>
  <c r="X48" i="61"/>
  <c r="X47" i="61"/>
  <c r="X46" i="61"/>
  <c r="X45" i="61"/>
  <c r="X44" i="61"/>
  <c r="X43" i="61"/>
  <c r="X42" i="61"/>
  <c r="X41" i="61"/>
  <c r="X49" i="62"/>
  <c r="X48" i="62"/>
  <c r="X47" i="62"/>
  <c r="X46" i="62"/>
  <c r="X45" i="62"/>
  <c r="X44" i="62"/>
  <c r="X43" i="62"/>
  <c r="X42" i="62"/>
  <c r="X41" i="62"/>
  <c r="X49" i="63"/>
  <c r="X48" i="63"/>
  <c r="X47" i="63"/>
  <c r="X46" i="63"/>
  <c r="X45" i="63"/>
  <c r="X44" i="63"/>
  <c r="X43" i="63"/>
  <c r="X42" i="63"/>
  <c r="X41" i="63"/>
  <c r="X49" i="64"/>
  <c r="X48" i="64"/>
  <c r="X47" i="64"/>
  <c r="X46" i="64"/>
  <c r="X45" i="64"/>
  <c r="X44" i="64"/>
  <c r="X43" i="64"/>
  <c r="X42" i="64"/>
  <c r="X41" i="64"/>
  <c r="X49" i="65"/>
  <c r="X48" i="65"/>
  <c r="X47" i="65"/>
  <c r="X46" i="65"/>
  <c r="X45" i="65"/>
  <c r="X44" i="65"/>
  <c r="X43" i="65"/>
  <c r="X42" i="65"/>
  <c r="X41" i="65"/>
  <c r="X49" i="66"/>
  <c r="X48" i="66"/>
  <c r="X47" i="66"/>
  <c r="X46" i="66"/>
  <c r="X45" i="66"/>
  <c r="X44" i="66"/>
  <c r="X43" i="66"/>
  <c r="X42" i="66"/>
  <c r="X41" i="66"/>
  <c r="X49" i="67"/>
  <c r="X48" i="67"/>
  <c r="X47" i="67"/>
  <c r="X46" i="67"/>
  <c r="X45" i="67"/>
  <c r="X44" i="67"/>
  <c r="X43" i="67"/>
  <c r="X42" i="67"/>
  <c r="X41" i="67"/>
  <c r="X49" i="68"/>
  <c r="X48" i="68"/>
  <c r="X47" i="68"/>
  <c r="X46" i="68"/>
  <c r="X45" i="68"/>
  <c r="X44" i="68"/>
  <c r="X43" i="68"/>
  <c r="X42" i="68"/>
  <c r="X41" i="68"/>
  <c r="X49" i="108"/>
  <c r="X48" i="108"/>
  <c r="X47" i="108"/>
  <c r="X46" i="108"/>
  <c r="X45" i="108"/>
  <c r="X44" i="108"/>
  <c r="X43" i="108"/>
  <c r="X42" i="108"/>
  <c r="X41" i="108"/>
  <c r="X49" i="69"/>
  <c r="X48" i="69"/>
  <c r="X47" i="69"/>
  <c r="X46" i="69"/>
  <c r="X45" i="69"/>
  <c r="X44" i="69"/>
  <c r="X43" i="69"/>
  <c r="X42" i="69"/>
  <c r="X41" i="69"/>
  <c r="X49" i="70"/>
  <c r="X48" i="70"/>
  <c r="X47" i="70"/>
  <c r="X46" i="70"/>
  <c r="X45" i="70"/>
  <c r="X44" i="70"/>
  <c r="X43" i="70"/>
  <c r="X42" i="70"/>
  <c r="X41" i="70"/>
  <c r="X49" i="71"/>
  <c r="X48" i="71"/>
  <c r="X47" i="71"/>
  <c r="X46" i="71"/>
  <c r="X45" i="71"/>
  <c r="X44" i="71"/>
  <c r="X43" i="71"/>
  <c r="X42" i="71"/>
  <c r="X41" i="71"/>
  <c r="X49" i="72"/>
  <c r="X48" i="72"/>
  <c r="X47" i="72"/>
  <c r="X46" i="72"/>
  <c r="X45" i="72"/>
  <c r="X44" i="72"/>
  <c r="X43" i="72"/>
  <c r="X42" i="72"/>
  <c r="X41" i="72"/>
  <c r="X49" i="73"/>
  <c r="X48" i="73"/>
  <c r="X47" i="73"/>
  <c r="X46" i="73"/>
  <c r="X45" i="73"/>
  <c r="X44" i="73"/>
  <c r="X43" i="73"/>
  <c r="X42" i="73"/>
  <c r="X41" i="73"/>
  <c r="X49" i="74"/>
  <c r="X48" i="74"/>
  <c r="X47" i="74"/>
  <c r="X46" i="74"/>
  <c r="X45" i="74"/>
  <c r="X44" i="74"/>
  <c r="X43" i="74"/>
  <c r="X42" i="74"/>
  <c r="X41" i="74"/>
  <c r="X49" i="75"/>
  <c r="X48" i="75"/>
  <c r="X47" i="75"/>
  <c r="X46" i="75"/>
  <c r="X45" i="75"/>
  <c r="X44" i="75"/>
  <c r="X43" i="75"/>
  <c r="X42" i="75"/>
  <c r="X41" i="75"/>
  <c r="X49" i="76"/>
  <c r="X48" i="76"/>
  <c r="X47" i="76"/>
  <c r="X46" i="76"/>
  <c r="X45" i="76"/>
  <c r="X44" i="76"/>
  <c r="X43" i="76"/>
  <c r="X42" i="76"/>
  <c r="X41" i="76"/>
  <c r="X49" i="77"/>
  <c r="X48" i="77"/>
  <c r="X47" i="77"/>
  <c r="X46" i="77"/>
  <c r="X45" i="77"/>
  <c r="X44" i="77"/>
  <c r="X43" i="77"/>
  <c r="X42" i="77"/>
  <c r="X41" i="77"/>
  <c r="X49" i="78"/>
  <c r="X48" i="78"/>
  <c r="X47" i="78"/>
  <c r="X46" i="78"/>
  <c r="X45" i="78"/>
  <c r="X44" i="78"/>
  <c r="X43" i="78"/>
  <c r="X42" i="78"/>
  <c r="X41" i="78"/>
  <c r="X49" i="79"/>
  <c r="X48" i="79"/>
  <c r="X47" i="79"/>
  <c r="X46" i="79"/>
  <c r="X45" i="79"/>
  <c r="X44" i="79"/>
  <c r="X43" i="79"/>
  <c r="X42" i="79"/>
  <c r="X41" i="79"/>
  <c r="X49" i="80"/>
  <c r="X48" i="80"/>
  <c r="X47" i="80"/>
  <c r="X46" i="80"/>
  <c r="X45" i="80"/>
  <c r="X44" i="80"/>
  <c r="X43" i="80"/>
  <c r="X42" i="80"/>
  <c r="X41" i="80"/>
  <c r="X49" i="81"/>
  <c r="X48" i="81"/>
  <c r="X47" i="81"/>
  <c r="X46" i="81"/>
  <c r="X45" i="81"/>
  <c r="X44" i="81"/>
  <c r="X43" i="81"/>
  <c r="X42" i="81"/>
  <c r="X41" i="81"/>
  <c r="X49" i="82"/>
  <c r="X48" i="82"/>
  <c r="X47" i="82"/>
  <c r="X46" i="82"/>
  <c r="X45" i="82"/>
  <c r="X44" i="82"/>
  <c r="X43" i="82"/>
  <c r="X42" i="82"/>
  <c r="X41" i="82"/>
  <c r="X49" i="83"/>
  <c r="X48" i="83"/>
  <c r="X47" i="83"/>
  <c r="X46" i="83"/>
  <c r="X45" i="83"/>
  <c r="X44" i="83"/>
  <c r="X43" i="83"/>
  <c r="X42" i="83"/>
  <c r="X41" i="83"/>
  <c r="X49" i="84"/>
  <c r="X48" i="84"/>
  <c r="X47" i="84"/>
  <c r="X46" i="84"/>
  <c r="X45" i="84"/>
  <c r="X44" i="84"/>
  <c r="X43" i="84"/>
  <c r="X42" i="84"/>
  <c r="X41" i="84"/>
  <c r="X49" i="85"/>
  <c r="X48" i="85"/>
  <c r="X47" i="85"/>
  <c r="X46" i="85"/>
  <c r="X45" i="85"/>
  <c r="X44" i="85"/>
  <c r="X43" i="85"/>
  <c r="X42" i="85"/>
  <c r="X41" i="85"/>
  <c r="X49" i="86"/>
  <c r="X48" i="86"/>
  <c r="X47" i="86"/>
  <c r="X46" i="86"/>
  <c r="X45" i="86"/>
  <c r="X44" i="86"/>
  <c r="X43" i="86"/>
  <c r="X42" i="86"/>
  <c r="X41" i="86"/>
  <c r="X49" i="87"/>
  <c r="X48" i="87"/>
  <c r="X47" i="87"/>
  <c r="X46" i="87"/>
  <c r="X45" i="87"/>
  <c r="X44" i="87"/>
  <c r="X43" i="87"/>
  <c r="X42" i="87"/>
  <c r="X41" i="87"/>
  <c r="X49" i="88"/>
  <c r="X48" i="88"/>
  <c r="X47" i="88"/>
  <c r="X46" i="88"/>
  <c r="X45" i="88"/>
  <c r="X44" i="88"/>
  <c r="X43" i="88"/>
  <c r="X42" i="88"/>
  <c r="X41" i="88"/>
  <c r="X49" i="89"/>
  <c r="X48" i="89"/>
  <c r="X47" i="89"/>
  <c r="X46" i="89"/>
  <c r="X45" i="89"/>
  <c r="X44" i="89"/>
  <c r="X43" i="89"/>
  <c r="X42" i="89"/>
  <c r="X41" i="89"/>
  <c r="X49" i="90"/>
  <c r="X48" i="90"/>
  <c r="X47" i="90"/>
  <c r="X46" i="90"/>
  <c r="X45" i="90"/>
  <c r="X44" i="90"/>
  <c r="X43" i="90"/>
  <c r="X42" i="90"/>
  <c r="X41" i="90"/>
  <c r="X49" i="91"/>
  <c r="X48" i="91"/>
  <c r="X47" i="91"/>
  <c r="X46" i="91"/>
  <c r="X45" i="91"/>
  <c r="X44" i="91"/>
  <c r="X43" i="91"/>
  <c r="X42" i="91"/>
  <c r="X41" i="91"/>
  <c r="X49" i="92"/>
  <c r="X48" i="92"/>
  <c r="X47" i="92"/>
  <c r="X46" i="92"/>
  <c r="X45" i="92"/>
  <c r="X44" i="92"/>
  <c r="X43" i="92"/>
  <c r="X42" i="92"/>
  <c r="X41" i="92"/>
  <c r="X49" i="93"/>
  <c r="X48" i="93"/>
  <c r="X47" i="93"/>
  <c r="X46" i="93"/>
  <c r="X45" i="93"/>
  <c r="X44" i="93"/>
  <c r="X43" i="93"/>
  <c r="X42" i="93"/>
  <c r="X41" i="93"/>
  <c r="X49" i="94"/>
  <c r="X48" i="94"/>
  <c r="X47" i="94"/>
  <c r="X46" i="94"/>
  <c r="X45" i="94"/>
  <c r="X44" i="94"/>
  <c r="X43" i="94"/>
  <c r="X42" i="94"/>
  <c r="X41" i="94"/>
  <c r="X49" i="95"/>
  <c r="X48" i="95"/>
  <c r="X47" i="95"/>
  <c r="X46" i="95"/>
  <c r="X45" i="95"/>
  <c r="X44" i="95"/>
  <c r="X43" i="95"/>
  <c r="X42" i="95"/>
  <c r="X41" i="95"/>
  <c r="X49" i="96"/>
  <c r="X48" i="96"/>
  <c r="X47" i="96"/>
  <c r="X46" i="96"/>
  <c r="X45" i="96"/>
  <c r="X44" i="96"/>
  <c r="X43" i="96"/>
  <c r="X42" i="96"/>
  <c r="X41" i="96"/>
  <c r="X49" i="97"/>
  <c r="X48" i="97"/>
  <c r="X47" i="97"/>
  <c r="X46" i="97"/>
  <c r="X45" i="97"/>
  <c r="X44" i="97"/>
  <c r="X43" i="97"/>
  <c r="X42" i="97"/>
  <c r="X41" i="97"/>
  <c r="X49" i="98"/>
  <c r="X48" i="98"/>
  <c r="X47" i="98"/>
  <c r="X46" i="98"/>
  <c r="X45" i="98"/>
  <c r="X44" i="98"/>
  <c r="X43" i="98"/>
  <c r="X42" i="98"/>
  <c r="X41" i="98"/>
  <c r="X49" i="99"/>
  <c r="X48" i="99"/>
  <c r="X47" i="99"/>
  <c r="X46" i="99"/>
  <c r="X45" i="99"/>
  <c r="X44" i="99"/>
  <c r="X43" i="99"/>
  <c r="X42" i="99"/>
  <c r="X41" i="99"/>
  <c r="X49" i="100"/>
  <c r="X48" i="100"/>
  <c r="X47" i="100"/>
  <c r="X46" i="100"/>
  <c r="X45" i="100"/>
  <c r="X44" i="100"/>
  <c r="X43" i="100"/>
  <c r="X42" i="100"/>
  <c r="X41" i="100"/>
  <c r="X49" i="101"/>
  <c r="X48" i="101"/>
  <c r="X47" i="101"/>
  <c r="X46" i="101"/>
  <c r="X45" i="101"/>
  <c r="X44" i="101"/>
  <c r="X43" i="101"/>
  <c r="X42" i="101"/>
  <c r="X41" i="101"/>
  <c r="X49" i="102"/>
  <c r="X48" i="102"/>
  <c r="X47" i="102"/>
  <c r="X46" i="102"/>
  <c r="X45" i="102"/>
  <c r="X44" i="102"/>
  <c r="X43" i="102"/>
  <c r="X42" i="102"/>
  <c r="X41" i="102"/>
  <c r="X49" i="103"/>
  <c r="X48" i="103"/>
  <c r="X47" i="103"/>
  <c r="X46" i="103"/>
  <c r="X45" i="103"/>
  <c r="X44" i="103"/>
  <c r="X43" i="103"/>
  <c r="X42" i="103"/>
  <c r="X41" i="103"/>
  <c r="X49" i="104"/>
  <c r="X48" i="104"/>
  <c r="X47" i="104"/>
  <c r="X46" i="104"/>
  <c r="X45" i="104"/>
  <c r="X44" i="104"/>
  <c r="X43" i="104"/>
  <c r="X42" i="104"/>
  <c r="X41" i="104"/>
  <c r="X49" i="105"/>
  <c r="X48" i="105"/>
  <c r="X47" i="105"/>
  <c r="X46" i="105"/>
  <c r="X45" i="105"/>
  <c r="X44" i="105"/>
  <c r="X43" i="105"/>
  <c r="X42" i="105"/>
  <c r="X41" i="105"/>
  <c r="X49" i="107"/>
  <c r="X48" i="107"/>
  <c r="X47" i="107"/>
  <c r="X46" i="107"/>
  <c r="X45" i="107"/>
  <c r="X44" i="107"/>
  <c r="X43" i="107"/>
  <c r="X42" i="107"/>
  <c r="X41" i="107"/>
  <c r="I49" i="2"/>
  <c r="I48" i="2"/>
  <c r="I47" i="2"/>
  <c r="I46" i="2"/>
  <c r="I45" i="2"/>
  <c r="I44" i="2"/>
  <c r="I43" i="2"/>
  <c r="I42" i="2"/>
  <c r="I41" i="2"/>
  <c r="E120" i="56"/>
  <c r="E119" i="56"/>
  <c r="E118" i="56"/>
  <c r="E44" i="56"/>
  <c r="E43" i="56"/>
  <c r="E42" i="56"/>
  <c r="E41" i="56"/>
  <c r="E40" i="56"/>
  <c r="E39" i="56"/>
  <c r="H27" i="58"/>
  <c r="G27" i="58"/>
  <c r="H26" i="58"/>
  <c r="G26" i="58"/>
  <c r="H25" i="58"/>
  <c r="G25" i="58"/>
  <c r="H24" i="58"/>
  <c r="G24" i="58"/>
  <c r="H23" i="58"/>
  <c r="G23" i="58"/>
  <c r="H22" i="58"/>
  <c r="G22" i="58"/>
  <c r="H21" i="58"/>
  <c r="G21" i="58"/>
  <c r="H20" i="58"/>
  <c r="G20" i="58"/>
  <c r="H19" i="58"/>
  <c r="G19" i="58"/>
  <c r="H18" i="58"/>
  <c r="G18" i="58"/>
  <c r="H17" i="58"/>
  <c r="G17" i="58"/>
  <c r="H16" i="58"/>
  <c r="G16" i="58"/>
  <c r="H15" i="58"/>
  <c r="G15" i="58"/>
  <c r="H14" i="58"/>
  <c r="G14" i="58"/>
  <c r="H13" i="58"/>
  <c r="G13" i="58"/>
  <c r="H12" i="58"/>
  <c r="G12" i="58"/>
  <c r="H27" i="59"/>
  <c r="G27" i="59"/>
  <c r="H26" i="59"/>
  <c r="G26" i="59"/>
  <c r="H25" i="59"/>
  <c r="G25" i="59"/>
  <c r="H24" i="59"/>
  <c r="G24" i="59"/>
  <c r="H23" i="59"/>
  <c r="G23" i="59"/>
  <c r="H22" i="59"/>
  <c r="G22" i="59"/>
  <c r="H21" i="59"/>
  <c r="G21" i="59"/>
  <c r="H20" i="59"/>
  <c r="G20" i="59"/>
  <c r="H19" i="59"/>
  <c r="G19" i="59"/>
  <c r="H18" i="59"/>
  <c r="G18" i="59"/>
  <c r="H17" i="59"/>
  <c r="G17" i="59"/>
  <c r="H16" i="59"/>
  <c r="G16" i="59"/>
  <c r="H15" i="59"/>
  <c r="G15" i="59"/>
  <c r="H14" i="59"/>
  <c r="G14" i="59"/>
  <c r="H13" i="59"/>
  <c r="G13" i="59"/>
  <c r="H12" i="59"/>
  <c r="G12" i="59"/>
  <c r="H27" i="60"/>
  <c r="G27" i="60"/>
  <c r="H26" i="60"/>
  <c r="G26" i="60"/>
  <c r="H25" i="60"/>
  <c r="G25" i="60"/>
  <c r="H24" i="60"/>
  <c r="G24" i="60"/>
  <c r="H23" i="60"/>
  <c r="G23" i="60"/>
  <c r="H22" i="60"/>
  <c r="G22" i="60"/>
  <c r="H21" i="60"/>
  <c r="G21" i="60"/>
  <c r="H20" i="60"/>
  <c r="G20" i="60"/>
  <c r="H19" i="60"/>
  <c r="G19" i="60"/>
  <c r="H18" i="60"/>
  <c r="G18" i="60"/>
  <c r="H17" i="60"/>
  <c r="G17" i="60"/>
  <c r="H16" i="60"/>
  <c r="G16" i="60"/>
  <c r="H15" i="60"/>
  <c r="G15" i="60"/>
  <c r="H14" i="60"/>
  <c r="G14" i="60"/>
  <c r="H13" i="60"/>
  <c r="G13" i="60"/>
  <c r="H12" i="60"/>
  <c r="G12" i="60"/>
  <c r="H27" i="61"/>
  <c r="G27" i="61"/>
  <c r="H26" i="61"/>
  <c r="G26" i="61"/>
  <c r="H25" i="61"/>
  <c r="G25" i="61"/>
  <c r="H24" i="61"/>
  <c r="G24" i="61"/>
  <c r="H23" i="61"/>
  <c r="G23" i="61"/>
  <c r="H22" i="61"/>
  <c r="G22" i="61"/>
  <c r="H21" i="61"/>
  <c r="G21" i="61"/>
  <c r="H20" i="61"/>
  <c r="G20" i="61"/>
  <c r="H19" i="61"/>
  <c r="G19" i="61"/>
  <c r="H18" i="61"/>
  <c r="G18" i="61"/>
  <c r="H17" i="61"/>
  <c r="G17" i="61"/>
  <c r="H16" i="61"/>
  <c r="G16" i="61"/>
  <c r="H15" i="61"/>
  <c r="G15" i="61"/>
  <c r="H14" i="61"/>
  <c r="G14" i="61"/>
  <c r="H13" i="61"/>
  <c r="G13" i="61"/>
  <c r="H12" i="61"/>
  <c r="G12" i="61"/>
  <c r="H27" i="62"/>
  <c r="G27" i="62"/>
  <c r="H26" i="62"/>
  <c r="G26" i="62"/>
  <c r="H25" i="62"/>
  <c r="G25" i="62"/>
  <c r="H24" i="62"/>
  <c r="G24" i="62"/>
  <c r="H23" i="62"/>
  <c r="G23" i="62"/>
  <c r="H22" i="62"/>
  <c r="G22" i="62"/>
  <c r="H21" i="62"/>
  <c r="G21" i="62"/>
  <c r="H20" i="62"/>
  <c r="G20" i="62"/>
  <c r="H19" i="62"/>
  <c r="G19" i="62"/>
  <c r="H18" i="62"/>
  <c r="G18" i="62"/>
  <c r="H17" i="62"/>
  <c r="G17" i="62"/>
  <c r="H16" i="62"/>
  <c r="G16" i="62"/>
  <c r="H15" i="62"/>
  <c r="G15" i="62"/>
  <c r="H14" i="62"/>
  <c r="G14" i="62"/>
  <c r="H13" i="62"/>
  <c r="G13" i="62"/>
  <c r="H12" i="62"/>
  <c r="G12" i="62"/>
  <c r="H27" i="63"/>
  <c r="G27" i="63"/>
  <c r="H26" i="63"/>
  <c r="G26" i="63"/>
  <c r="H25" i="63"/>
  <c r="G25" i="63"/>
  <c r="H24" i="63"/>
  <c r="G24" i="63"/>
  <c r="H23" i="63"/>
  <c r="G23" i="63"/>
  <c r="H22" i="63"/>
  <c r="G22" i="63"/>
  <c r="H21" i="63"/>
  <c r="G21" i="63"/>
  <c r="H20" i="63"/>
  <c r="G20" i="63"/>
  <c r="H19" i="63"/>
  <c r="G19" i="63"/>
  <c r="H18" i="63"/>
  <c r="G18" i="63"/>
  <c r="H17" i="63"/>
  <c r="G17" i="63"/>
  <c r="H16" i="63"/>
  <c r="G16" i="63"/>
  <c r="H15" i="63"/>
  <c r="G15" i="63"/>
  <c r="H14" i="63"/>
  <c r="G14" i="63"/>
  <c r="H13" i="63"/>
  <c r="G13" i="63"/>
  <c r="H12" i="63"/>
  <c r="G12" i="63"/>
  <c r="H27" i="64"/>
  <c r="G27" i="64"/>
  <c r="H26" i="64"/>
  <c r="G26" i="64"/>
  <c r="H25" i="64"/>
  <c r="G25" i="64"/>
  <c r="H24" i="64"/>
  <c r="G24" i="64"/>
  <c r="H23" i="64"/>
  <c r="G23" i="64"/>
  <c r="H22" i="64"/>
  <c r="G22" i="64"/>
  <c r="H21" i="64"/>
  <c r="G21" i="64"/>
  <c r="H20" i="64"/>
  <c r="G20" i="64"/>
  <c r="H19" i="64"/>
  <c r="G19" i="64"/>
  <c r="H18" i="64"/>
  <c r="G18" i="64"/>
  <c r="H17" i="64"/>
  <c r="G17" i="64"/>
  <c r="H16" i="64"/>
  <c r="G16" i="64"/>
  <c r="H15" i="64"/>
  <c r="G15" i="64"/>
  <c r="H14" i="64"/>
  <c r="G14" i="64"/>
  <c r="H13" i="64"/>
  <c r="G13" i="64"/>
  <c r="H12" i="64"/>
  <c r="G12" i="64"/>
  <c r="H27" i="65"/>
  <c r="G27" i="65"/>
  <c r="H26" i="65"/>
  <c r="G26" i="65"/>
  <c r="H25" i="65"/>
  <c r="G25" i="65"/>
  <c r="H24" i="65"/>
  <c r="G24" i="65"/>
  <c r="H23" i="65"/>
  <c r="G23" i="65"/>
  <c r="H22" i="65"/>
  <c r="G22" i="65"/>
  <c r="H21" i="65"/>
  <c r="G21" i="65"/>
  <c r="H20" i="65"/>
  <c r="G20" i="65"/>
  <c r="H19" i="65"/>
  <c r="G19" i="65"/>
  <c r="H18" i="65"/>
  <c r="G18" i="65"/>
  <c r="H17" i="65"/>
  <c r="G17" i="65"/>
  <c r="H16" i="65"/>
  <c r="G16" i="65"/>
  <c r="H15" i="65"/>
  <c r="G15" i="65"/>
  <c r="H14" i="65"/>
  <c r="G14" i="65"/>
  <c r="H13" i="65"/>
  <c r="G13" i="65"/>
  <c r="H12" i="65"/>
  <c r="G12" i="65"/>
  <c r="H27" i="66"/>
  <c r="G27" i="66"/>
  <c r="H26" i="66"/>
  <c r="G26" i="66"/>
  <c r="H25" i="66"/>
  <c r="G25" i="66"/>
  <c r="H24" i="66"/>
  <c r="G24" i="66"/>
  <c r="H23" i="66"/>
  <c r="G23" i="66"/>
  <c r="H22" i="66"/>
  <c r="G22" i="66"/>
  <c r="H21" i="66"/>
  <c r="G21" i="66"/>
  <c r="H20" i="66"/>
  <c r="G20" i="66"/>
  <c r="H19" i="66"/>
  <c r="G19" i="66"/>
  <c r="H18" i="66"/>
  <c r="G18" i="66"/>
  <c r="H17" i="66"/>
  <c r="G17" i="66"/>
  <c r="H16" i="66"/>
  <c r="G16" i="66"/>
  <c r="H15" i="66"/>
  <c r="G15" i="66"/>
  <c r="H14" i="66"/>
  <c r="G14" i="66"/>
  <c r="H13" i="66"/>
  <c r="G13" i="66"/>
  <c r="H12" i="66"/>
  <c r="G12" i="66"/>
  <c r="H27" i="67"/>
  <c r="G27" i="67"/>
  <c r="H26" i="67"/>
  <c r="G26" i="67"/>
  <c r="H25" i="67"/>
  <c r="G25" i="67"/>
  <c r="H24" i="67"/>
  <c r="G24" i="67"/>
  <c r="H23" i="67"/>
  <c r="G23" i="67"/>
  <c r="H22" i="67"/>
  <c r="G22" i="67"/>
  <c r="H21" i="67"/>
  <c r="G21" i="67"/>
  <c r="H20" i="67"/>
  <c r="G20" i="67"/>
  <c r="H19" i="67"/>
  <c r="G19" i="67"/>
  <c r="H18" i="67"/>
  <c r="G18" i="67"/>
  <c r="H17" i="67"/>
  <c r="G17" i="67"/>
  <c r="H16" i="67"/>
  <c r="G16" i="67"/>
  <c r="H15" i="67"/>
  <c r="G15" i="67"/>
  <c r="H14" i="67"/>
  <c r="G14" i="67"/>
  <c r="H13" i="67"/>
  <c r="G13" i="67"/>
  <c r="H12" i="67"/>
  <c r="G12" i="67"/>
  <c r="H27" i="68"/>
  <c r="G27" i="68"/>
  <c r="H26" i="68"/>
  <c r="G26" i="68"/>
  <c r="H25" i="68"/>
  <c r="G25" i="68"/>
  <c r="H24" i="68"/>
  <c r="G24" i="68"/>
  <c r="H23" i="68"/>
  <c r="G23" i="68"/>
  <c r="H22" i="68"/>
  <c r="G22" i="68"/>
  <c r="H21" i="68"/>
  <c r="G21" i="68"/>
  <c r="H20" i="68"/>
  <c r="G20" i="68"/>
  <c r="H19" i="68"/>
  <c r="G19" i="68"/>
  <c r="H18" i="68"/>
  <c r="G18" i="68"/>
  <c r="H17" i="68"/>
  <c r="G17" i="68"/>
  <c r="H16" i="68"/>
  <c r="G16" i="68"/>
  <c r="H15" i="68"/>
  <c r="G15" i="68"/>
  <c r="H14" i="68"/>
  <c r="G14" i="68"/>
  <c r="H13" i="68"/>
  <c r="G13" i="68"/>
  <c r="H12" i="68"/>
  <c r="G12" i="68"/>
  <c r="H27" i="108"/>
  <c r="G27" i="108"/>
  <c r="H26" i="108"/>
  <c r="G26" i="108"/>
  <c r="H25" i="108"/>
  <c r="G25" i="108"/>
  <c r="H24" i="108"/>
  <c r="G24" i="108"/>
  <c r="H23" i="108"/>
  <c r="G23" i="108"/>
  <c r="H22" i="108"/>
  <c r="G22" i="108"/>
  <c r="H21" i="108"/>
  <c r="G21" i="108"/>
  <c r="H20" i="108"/>
  <c r="G20" i="108"/>
  <c r="H19" i="108"/>
  <c r="G19" i="108"/>
  <c r="H18" i="108"/>
  <c r="G18" i="108"/>
  <c r="H17" i="108"/>
  <c r="G17" i="108"/>
  <c r="H16" i="108"/>
  <c r="G16" i="108"/>
  <c r="H15" i="108"/>
  <c r="G15" i="108"/>
  <c r="H14" i="108"/>
  <c r="G14" i="108"/>
  <c r="H13" i="108"/>
  <c r="G13" i="108"/>
  <c r="H12" i="108"/>
  <c r="G12" i="108"/>
  <c r="H27" i="69"/>
  <c r="G27" i="69"/>
  <c r="H26" i="69"/>
  <c r="G26" i="69"/>
  <c r="H25" i="69"/>
  <c r="G25" i="69"/>
  <c r="H24" i="69"/>
  <c r="G24" i="69"/>
  <c r="H23" i="69"/>
  <c r="G23" i="69"/>
  <c r="H22" i="69"/>
  <c r="G22" i="69"/>
  <c r="H21" i="69"/>
  <c r="G21" i="69"/>
  <c r="H20" i="69"/>
  <c r="G20" i="69"/>
  <c r="H19" i="69"/>
  <c r="G19" i="69"/>
  <c r="H18" i="69"/>
  <c r="G18" i="69"/>
  <c r="H17" i="69"/>
  <c r="G17" i="69"/>
  <c r="H16" i="69"/>
  <c r="G16" i="69"/>
  <c r="H15" i="69"/>
  <c r="G15" i="69"/>
  <c r="H14" i="69"/>
  <c r="G14" i="69"/>
  <c r="H13" i="69"/>
  <c r="G13" i="69"/>
  <c r="H12" i="69"/>
  <c r="G12" i="69"/>
  <c r="H27" i="70"/>
  <c r="G27" i="70"/>
  <c r="H26" i="70"/>
  <c r="G26" i="70"/>
  <c r="H25" i="70"/>
  <c r="G25" i="70"/>
  <c r="H24" i="70"/>
  <c r="G24" i="70"/>
  <c r="H23" i="70"/>
  <c r="G23" i="70"/>
  <c r="H22" i="70"/>
  <c r="G22" i="70"/>
  <c r="H21" i="70"/>
  <c r="G21" i="70"/>
  <c r="H20" i="70"/>
  <c r="G20" i="70"/>
  <c r="H19" i="70"/>
  <c r="G19" i="70"/>
  <c r="H18" i="70"/>
  <c r="G18" i="70"/>
  <c r="H17" i="70"/>
  <c r="G17" i="70"/>
  <c r="H16" i="70"/>
  <c r="G16" i="70"/>
  <c r="H15" i="70"/>
  <c r="G15" i="70"/>
  <c r="H14" i="70"/>
  <c r="G14" i="70"/>
  <c r="H13" i="70"/>
  <c r="G13" i="70"/>
  <c r="H12" i="70"/>
  <c r="G12" i="70"/>
  <c r="H27" i="71"/>
  <c r="G27" i="71"/>
  <c r="H26" i="71"/>
  <c r="G26" i="71"/>
  <c r="H25" i="71"/>
  <c r="G25" i="71"/>
  <c r="H24" i="71"/>
  <c r="G24" i="71"/>
  <c r="H23" i="71"/>
  <c r="G23" i="71"/>
  <c r="H22" i="71"/>
  <c r="G22" i="71"/>
  <c r="H21" i="71"/>
  <c r="G21" i="71"/>
  <c r="H20" i="71"/>
  <c r="G20" i="71"/>
  <c r="H19" i="71"/>
  <c r="G19" i="71"/>
  <c r="H18" i="71"/>
  <c r="G18" i="71"/>
  <c r="H17" i="71"/>
  <c r="G17" i="71"/>
  <c r="H16" i="71"/>
  <c r="G16" i="71"/>
  <c r="H15" i="71"/>
  <c r="G15" i="71"/>
  <c r="H14" i="71"/>
  <c r="G14" i="71"/>
  <c r="H13" i="71"/>
  <c r="G13" i="71"/>
  <c r="H12" i="71"/>
  <c r="G12" i="71"/>
  <c r="H27" i="72"/>
  <c r="G27" i="72"/>
  <c r="H26" i="72"/>
  <c r="G26" i="72"/>
  <c r="H25" i="72"/>
  <c r="G25" i="72"/>
  <c r="H24" i="72"/>
  <c r="G24" i="72"/>
  <c r="H23" i="72"/>
  <c r="G23" i="72"/>
  <c r="H22" i="72"/>
  <c r="G22" i="72"/>
  <c r="H21" i="72"/>
  <c r="G21" i="72"/>
  <c r="H20" i="72"/>
  <c r="G20" i="72"/>
  <c r="H19" i="72"/>
  <c r="G19" i="72"/>
  <c r="H18" i="72"/>
  <c r="G18" i="72"/>
  <c r="H17" i="72"/>
  <c r="G17" i="72"/>
  <c r="H16" i="72"/>
  <c r="G16" i="72"/>
  <c r="H15" i="72"/>
  <c r="G15" i="72"/>
  <c r="H14" i="72"/>
  <c r="G14" i="72"/>
  <c r="H13" i="72"/>
  <c r="G13" i="72"/>
  <c r="H12" i="72"/>
  <c r="G12" i="72"/>
  <c r="H27" i="73"/>
  <c r="G27" i="73"/>
  <c r="H26" i="73"/>
  <c r="G26" i="73"/>
  <c r="H25" i="73"/>
  <c r="G25" i="73"/>
  <c r="H24" i="73"/>
  <c r="G24" i="73"/>
  <c r="H23" i="73"/>
  <c r="G23" i="73"/>
  <c r="H22" i="73"/>
  <c r="G22" i="73"/>
  <c r="H21" i="73"/>
  <c r="G21" i="73"/>
  <c r="H20" i="73"/>
  <c r="G20" i="73"/>
  <c r="H19" i="73"/>
  <c r="G19" i="73"/>
  <c r="H18" i="73"/>
  <c r="G18" i="73"/>
  <c r="H17" i="73"/>
  <c r="G17" i="73"/>
  <c r="H16" i="73"/>
  <c r="G16" i="73"/>
  <c r="H15" i="73"/>
  <c r="G15" i="73"/>
  <c r="H14" i="73"/>
  <c r="G14" i="73"/>
  <c r="H13" i="73"/>
  <c r="G13" i="73"/>
  <c r="H12" i="73"/>
  <c r="G12" i="73"/>
  <c r="H27" i="74"/>
  <c r="G27" i="74"/>
  <c r="H26" i="74"/>
  <c r="G26" i="74"/>
  <c r="H25" i="74"/>
  <c r="G25" i="74"/>
  <c r="H24" i="74"/>
  <c r="G24" i="74"/>
  <c r="H23" i="74"/>
  <c r="G23" i="74"/>
  <c r="H22" i="74"/>
  <c r="G22" i="74"/>
  <c r="H21" i="74"/>
  <c r="G21" i="74"/>
  <c r="H20" i="74"/>
  <c r="G20" i="74"/>
  <c r="H19" i="74"/>
  <c r="G19" i="74"/>
  <c r="H18" i="74"/>
  <c r="G18" i="74"/>
  <c r="H17" i="74"/>
  <c r="G17" i="74"/>
  <c r="H16" i="74"/>
  <c r="G16" i="74"/>
  <c r="H15" i="74"/>
  <c r="G15" i="74"/>
  <c r="H14" i="74"/>
  <c r="G14" i="74"/>
  <c r="H13" i="74"/>
  <c r="G13" i="74"/>
  <c r="H12" i="74"/>
  <c r="G12" i="74"/>
  <c r="H27" i="75"/>
  <c r="G27" i="75"/>
  <c r="H26" i="75"/>
  <c r="G26" i="75"/>
  <c r="H25" i="75"/>
  <c r="G25" i="75"/>
  <c r="H24" i="75"/>
  <c r="G24" i="75"/>
  <c r="H23" i="75"/>
  <c r="G23" i="75"/>
  <c r="H22" i="75"/>
  <c r="G22" i="75"/>
  <c r="H21" i="75"/>
  <c r="G21" i="75"/>
  <c r="H20" i="75"/>
  <c r="G20" i="75"/>
  <c r="H19" i="75"/>
  <c r="G19" i="75"/>
  <c r="H18" i="75"/>
  <c r="G18" i="75"/>
  <c r="H17" i="75"/>
  <c r="G17" i="75"/>
  <c r="H16" i="75"/>
  <c r="G16" i="75"/>
  <c r="H15" i="75"/>
  <c r="G15" i="75"/>
  <c r="H14" i="75"/>
  <c r="G14" i="75"/>
  <c r="H13" i="75"/>
  <c r="G13" i="75"/>
  <c r="H12" i="75"/>
  <c r="G12" i="75"/>
  <c r="H27" i="76"/>
  <c r="G27" i="76"/>
  <c r="H26" i="76"/>
  <c r="G26" i="76"/>
  <c r="H25" i="76"/>
  <c r="G25" i="76"/>
  <c r="H24" i="76"/>
  <c r="G24" i="76"/>
  <c r="H23" i="76"/>
  <c r="G23" i="76"/>
  <c r="H22" i="76"/>
  <c r="G22" i="76"/>
  <c r="H21" i="76"/>
  <c r="G21" i="76"/>
  <c r="H20" i="76"/>
  <c r="G20" i="76"/>
  <c r="H19" i="76"/>
  <c r="G19" i="76"/>
  <c r="H18" i="76"/>
  <c r="G18" i="76"/>
  <c r="H17" i="76"/>
  <c r="G17" i="76"/>
  <c r="H16" i="76"/>
  <c r="G16" i="76"/>
  <c r="H15" i="76"/>
  <c r="G15" i="76"/>
  <c r="H14" i="76"/>
  <c r="G14" i="76"/>
  <c r="H13" i="76"/>
  <c r="G13" i="76"/>
  <c r="H12" i="76"/>
  <c r="G12" i="76"/>
  <c r="H27" i="77"/>
  <c r="G27" i="77"/>
  <c r="H26" i="77"/>
  <c r="G26" i="77"/>
  <c r="H25" i="77"/>
  <c r="G25" i="77"/>
  <c r="H24" i="77"/>
  <c r="G24" i="77"/>
  <c r="H23" i="77"/>
  <c r="G23" i="77"/>
  <c r="H22" i="77"/>
  <c r="G22" i="77"/>
  <c r="H21" i="77"/>
  <c r="G21" i="77"/>
  <c r="H20" i="77"/>
  <c r="G20" i="77"/>
  <c r="H19" i="77"/>
  <c r="G19" i="77"/>
  <c r="H18" i="77"/>
  <c r="G18" i="77"/>
  <c r="H17" i="77"/>
  <c r="G17" i="77"/>
  <c r="H16" i="77"/>
  <c r="G16" i="77"/>
  <c r="H15" i="77"/>
  <c r="G15" i="77"/>
  <c r="H14" i="77"/>
  <c r="G14" i="77"/>
  <c r="H13" i="77"/>
  <c r="G13" i="77"/>
  <c r="H12" i="77"/>
  <c r="G12" i="77"/>
  <c r="H27" i="78"/>
  <c r="G27" i="78"/>
  <c r="H26" i="78"/>
  <c r="G26" i="78"/>
  <c r="H25" i="78"/>
  <c r="G25" i="78"/>
  <c r="H24" i="78"/>
  <c r="G24" i="78"/>
  <c r="H23" i="78"/>
  <c r="G23" i="78"/>
  <c r="H22" i="78"/>
  <c r="G22" i="78"/>
  <c r="H21" i="78"/>
  <c r="G21" i="78"/>
  <c r="H20" i="78"/>
  <c r="G20" i="78"/>
  <c r="H19" i="78"/>
  <c r="G19" i="78"/>
  <c r="H18" i="78"/>
  <c r="G18" i="78"/>
  <c r="H17" i="78"/>
  <c r="G17" i="78"/>
  <c r="H16" i="78"/>
  <c r="G16" i="78"/>
  <c r="H15" i="78"/>
  <c r="G15" i="78"/>
  <c r="H14" i="78"/>
  <c r="G14" i="78"/>
  <c r="H13" i="78"/>
  <c r="G13" i="78"/>
  <c r="H12" i="78"/>
  <c r="G12" i="78"/>
  <c r="H27" i="79"/>
  <c r="G27" i="79"/>
  <c r="H26" i="79"/>
  <c r="G26" i="79"/>
  <c r="H25" i="79"/>
  <c r="G25" i="79"/>
  <c r="H24" i="79"/>
  <c r="G24" i="79"/>
  <c r="H23" i="79"/>
  <c r="G23" i="79"/>
  <c r="H22" i="79"/>
  <c r="G22" i="79"/>
  <c r="H21" i="79"/>
  <c r="G21" i="79"/>
  <c r="H20" i="79"/>
  <c r="G20" i="79"/>
  <c r="H19" i="79"/>
  <c r="G19" i="79"/>
  <c r="H18" i="79"/>
  <c r="G18" i="79"/>
  <c r="H17" i="79"/>
  <c r="G17" i="79"/>
  <c r="H16" i="79"/>
  <c r="G16" i="79"/>
  <c r="H15" i="79"/>
  <c r="G15" i="79"/>
  <c r="H14" i="79"/>
  <c r="G14" i="79"/>
  <c r="H13" i="79"/>
  <c r="G13" i="79"/>
  <c r="H12" i="79"/>
  <c r="G12" i="79"/>
  <c r="H27" i="80"/>
  <c r="G27" i="80"/>
  <c r="H26" i="80"/>
  <c r="G26" i="80"/>
  <c r="H25" i="80"/>
  <c r="G25" i="80"/>
  <c r="H24" i="80"/>
  <c r="G24" i="80"/>
  <c r="H23" i="80"/>
  <c r="G23" i="80"/>
  <c r="H22" i="80"/>
  <c r="G22" i="80"/>
  <c r="H21" i="80"/>
  <c r="G21" i="80"/>
  <c r="H20" i="80"/>
  <c r="G20" i="80"/>
  <c r="H19" i="80"/>
  <c r="G19" i="80"/>
  <c r="H18" i="80"/>
  <c r="G18" i="80"/>
  <c r="H17" i="80"/>
  <c r="G17" i="80"/>
  <c r="H16" i="80"/>
  <c r="G16" i="80"/>
  <c r="H15" i="80"/>
  <c r="G15" i="80"/>
  <c r="H14" i="80"/>
  <c r="G14" i="80"/>
  <c r="H13" i="80"/>
  <c r="G13" i="80"/>
  <c r="H12" i="80"/>
  <c r="G12" i="80"/>
  <c r="H27" i="81"/>
  <c r="G27" i="81"/>
  <c r="H26" i="81"/>
  <c r="G26" i="81"/>
  <c r="H25" i="81"/>
  <c r="G25" i="81"/>
  <c r="H24" i="81"/>
  <c r="G24" i="81"/>
  <c r="H23" i="81"/>
  <c r="G23" i="81"/>
  <c r="H22" i="81"/>
  <c r="G22" i="81"/>
  <c r="H21" i="81"/>
  <c r="G21" i="81"/>
  <c r="H20" i="81"/>
  <c r="G20" i="81"/>
  <c r="H19" i="81"/>
  <c r="G19" i="81"/>
  <c r="H18" i="81"/>
  <c r="G18" i="81"/>
  <c r="H17" i="81"/>
  <c r="G17" i="81"/>
  <c r="H16" i="81"/>
  <c r="G16" i="81"/>
  <c r="H15" i="81"/>
  <c r="G15" i="81"/>
  <c r="H14" i="81"/>
  <c r="G14" i="81"/>
  <c r="H13" i="81"/>
  <c r="G13" i="81"/>
  <c r="H12" i="81"/>
  <c r="G12" i="81"/>
  <c r="H27" i="82"/>
  <c r="G27" i="82"/>
  <c r="H26" i="82"/>
  <c r="G26" i="82"/>
  <c r="H25" i="82"/>
  <c r="G25" i="82"/>
  <c r="H24" i="82"/>
  <c r="G24" i="82"/>
  <c r="H23" i="82"/>
  <c r="G23" i="82"/>
  <c r="H22" i="82"/>
  <c r="G22" i="82"/>
  <c r="H21" i="82"/>
  <c r="G21" i="82"/>
  <c r="H20" i="82"/>
  <c r="G20" i="82"/>
  <c r="H19" i="82"/>
  <c r="G19" i="82"/>
  <c r="H18" i="82"/>
  <c r="G18" i="82"/>
  <c r="H17" i="82"/>
  <c r="G17" i="82"/>
  <c r="H16" i="82"/>
  <c r="G16" i="82"/>
  <c r="H15" i="82"/>
  <c r="G15" i="82"/>
  <c r="H14" i="82"/>
  <c r="G14" i="82"/>
  <c r="H13" i="82"/>
  <c r="G13" i="82"/>
  <c r="H12" i="82"/>
  <c r="G12" i="82"/>
  <c r="H27" i="83"/>
  <c r="G27" i="83"/>
  <c r="H26" i="83"/>
  <c r="G26" i="83"/>
  <c r="H25" i="83"/>
  <c r="G25" i="83"/>
  <c r="H24" i="83"/>
  <c r="G24" i="83"/>
  <c r="H23" i="83"/>
  <c r="G23" i="83"/>
  <c r="H22" i="83"/>
  <c r="G22" i="83"/>
  <c r="H21" i="83"/>
  <c r="G21" i="83"/>
  <c r="H20" i="83"/>
  <c r="G20" i="83"/>
  <c r="H19" i="83"/>
  <c r="G19" i="83"/>
  <c r="H18" i="83"/>
  <c r="G18" i="83"/>
  <c r="H17" i="83"/>
  <c r="G17" i="83"/>
  <c r="H16" i="83"/>
  <c r="G16" i="83"/>
  <c r="H15" i="83"/>
  <c r="G15" i="83"/>
  <c r="H14" i="83"/>
  <c r="G14" i="83"/>
  <c r="H13" i="83"/>
  <c r="G13" i="83"/>
  <c r="H12" i="83"/>
  <c r="G12" i="83"/>
  <c r="H27" i="84"/>
  <c r="G27" i="84"/>
  <c r="H26" i="84"/>
  <c r="G26" i="84"/>
  <c r="H25" i="84"/>
  <c r="G25" i="84"/>
  <c r="H24" i="84"/>
  <c r="G24" i="84"/>
  <c r="H23" i="84"/>
  <c r="G23" i="84"/>
  <c r="H22" i="84"/>
  <c r="G22" i="84"/>
  <c r="H21" i="84"/>
  <c r="G21" i="84"/>
  <c r="H20" i="84"/>
  <c r="G20" i="84"/>
  <c r="H19" i="84"/>
  <c r="G19" i="84"/>
  <c r="H18" i="84"/>
  <c r="G18" i="84"/>
  <c r="H17" i="84"/>
  <c r="G17" i="84"/>
  <c r="H16" i="84"/>
  <c r="G16" i="84"/>
  <c r="H15" i="84"/>
  <c r="G15" i="84"/>
  <c r="H14" i="84"/>
  <c r="G14" i="84"/>
  <c r="H13" i="84"/>
  <c r="G13" i="84"/>
  <c r="H12" i="84"/>
  <c r="G12" i="84"/>
  <c r="H27" i="85"/>
  <c r="G27" i="85"/>
  <c r="H26" i="85"/>
  <c r="G26" i="85"/>
  <c r="H25" i="85"/>
  <c r="G25" i="85"/>
  <c r="H24" i="85"/>
  <c r="G24" i="85"/>
  <c r="H23" i="85"/>
  <c r="G23" i="85"/>
  <c r="H22" i="85"/>
  <c r="G22" i="85"/>
  <c r="H21" i="85"/>
  <c r="G21" i="85"/>
  <c r="H20" i="85"/>
  <c r="G20" i="85"/>
  <c r="H19" i="85"/>
  <c r="G19" i="85"/>
  <c r="H18" i="85"/>
  <c r="G18" i="85"/>
  <c r="H17" i="85"/>
  <c r="G17" i="85"/>
  <c r="H16" i="85"/>
  <c r="G16" i="85"/>
  <c r="H15" i="85"/>
  <c r="G15" i="85"/>
  <c r="H14" i="85"/>
  <c r="G14" i="85"/>
  <c r="H13" i="85"/>
  <c r="G13" i="85"/>
  <c r="H12" i="85"/>
  <c r="G12" i="85"/>
  <c r="H27" i="86"/>
  <c r="G27" i="86"/>
  <c r="H26" i="86"/>
  <c r="G26" i="86"/>
  <c r="H25" i="86"/>
  <c r="G25" i="86"/>
  <c r="H24" i="86"/>
  <c r="G24" i="86"/>
  <c r="H23" i="86"/>
  <c r="G23" i="86"/>
  <c r="H22" i="86"/>
  <c r="G22" i="86"/>
  <c r="H21" i="86"/>
  <c r="G21" i="86"/>
  <c r="H20" i="86"/>
  <c r="G20" i="86"/>
  <c r="H19" i="86"/>
  <c r="G19" i="86"/>
  <c r="H18" i="86"/>
  <c r="G18" i="86"/>
  <c r="H17" i="86"/>
  <c r="G17" i="86"/>
  <c r="H16" i="86"/>
  <c r="G16" i="86"/>
  <c r="H15" i="86"/>
  <c r="G15" i="86"/>
  <c r="H14" i="86"/>
  <c r="G14" i="86"/>
  <c r="H13" i="86"/>
  <c r="G13" i="86"/>
  <c r="H12" i="86"/>
  <c r="G12" i="86"/>
  <c r="H27" i="87"/>
  <c r="G27" i="87"/>
  <c r="H26" i="87"/>
  <c r="G26" i="87"/>
  <c r="H25" i="87"/>
  <c r="G25" i="87"/>
  <c r="H24" i="87"/>
  <c r="G24" i="87"/>
  <c r="H23" i="87"/>
  <c r="G23" i="87"/>
  <c r="H22" i="87"/>
  <c r="G22" i="87"/>
  <c r="H21" i="87"/>
  <c r="G21" i="87"/>
  <c r="H20" i="87"/>
  <c r="G20" i="87"/>
  <c r="H19" i="87"/>
  <c r="G19" i="87"/>
  <c r="H18" i="87"/>
  <c r="G18" i="87"/>
  <c r="H17" i="87"/>
  <c r="G17" i="87"/>
  <c r="H16" i="87"/>
  <c r="G16" i="87"/>
  <c r="H15" i="87"/>
  <c r="G15" i="87"/>
  <c r="H14" i="87"/>
  <c r="G14" i="87"/>
  <c r="H13" i="87"/>
  <c r="G13" i="87"/>
  <c r="H12" i="87"/>
  <c r="G12" i="87"/>
  <c r="H27" i="88"/>
  <c r="G27" i="88"/>
  <c r="H26" i="88"/>
  <c r="G26" i="88"/>
  <c r="H25" i="88"/>
  <c r="G25" i="88"/>
  <c r="H24" i="88"/>
  <c r="G24" i="88"/>
  <c r="H23" i="88"/>
  <c r="G23" i="88"/>
  <c r="H22" i="88"/>
  <c r="G22" i="88"/>
  <c r="H21" i="88"/>
  <c r="G21" i="88"/>
  <c r="H20" i="88"/>
  <c r="G20" i="88"/>
  <c r="H19" i="88"/>
  <c r="G19" i="88"/>
  <c r="H18" i="88"/>
  <c r="G18" i="88"/>
  <c r="H17" i="88"/>
  <c r="G17" i="88"/>
  <c r="H16" i="88"/>
  <c r="G16" i="88"/>
  <c r="H15" i="88"/>
  <c r="G15" i="88"/>
  <c r="H14" i="88"/>
  <c r="G14" i="88"/>
  <c r="H13" i="88"/>
  <c r="G13" i="88"/>
  <c r="H12" i="88"/>
  <c r="G12" i="88"/>
  <c r="H27" i="89"/>
  <c r="G27" i="89"/>
  <c r="H26" i="89"/>
  <c r="G26" i="89"/>
  <c r="H25" i="89"/>
  <c r="G25" i="89"/>
  <c r="H24" i="89"/>
  <c r="G24" i="89"/>
  <c r="H23" i="89"/>
  <c r="G23" i="89"/>
  <c r="H22" i="89"/>
  <c r="G22" i="89"/>
  <c r="H21" i="89"/>
  <c r="G21" i="89"/>
  <c r="H20" i="89"/>
  <c r="G20" i="89"/>
  <c r="H19" i="89"/>
  <c r="G19" i="89"/>
  <c r="H18" i="89"/>
  <c r="G18" i="89"/>
  <c r="H17" i="89"/>
  <c r="G17" i="89"/>
  <c r="H16" i="89"/>
  <c r="G16" i="89"/>
  <c r="H15" i="89"/>
  <c r="G15" i="89"/>
  <c r="H14" i="89"/>
  <c r="G14" i="89"/>
  <c r="H13" i="89"/>
  <c r="G13" i="89"/>
  <c r="H12" i="89"/>
  <c r="G12" i="89"/>
  <c r="H27" i="90"/>
  <c r="G27" i="90"/>
  <c r="H26" i="90"/>
  <c r="G26" i="90"/>
  <c r="H25" i="90"/>
  <c r="G25" i="90"/>
  <c r="H24" i="90"/>
  <c r="G24" i="90"/>
  <c r="H23" i="90"/>
  <c r="G23" i="90"/>
  <c r="H22" i="90"/>
  <c r="G22" i="90"/>
  <c r="H21" i="90"/>
  <c r="G21" i="90"/>
  <c r="H20" i="90"/>
  <c r="G20" i="90"/>
  <c r="H19" i="90"/>
  <c r="G19" i="90"/>
  <c r="H18" i="90"/>
  <c r="G18" i="90"/>
  <c r="H17" i="90"/>
  <c r="G17" i="90"/>
  <c r="H16" i="90"/>
  <c r="G16" i="90"/>
  <c r="H15" i="90"/>
  <c r="G15" i="90"/>
  <c r="H14" i="90"/>
  <c r="G14" i="90"/>
  <c r="H13" i="90"/>
  <c r="G13" i="90"/>
  <c r="H12" i="90"/>
  <c r="G12" i="90"/>
  <c r="H27" i="91"/>
  <c r="G27" i="91"/>
  <c r="H26" i="91"/>
  <c r="G26" i="91"/>
  <c r="H25" i="91"/>
  <c r="G25" i="91"/>
  <c r="H24" i="91"/>
  <c r="G24" i="91"/>
  <c r="H23" i="91"/>
  <c r="G23" i="91"/>
  <c r="H22" i="91"/>
  <c r="G22" i="91"/>
  <c r="H21" i="91"/>
  <c r="G21" i="91"/>
  <c r="H20" i="91"/>
  <c r="G20" i="91"/>
  <c r="H19" i="91"/>
  <c r="G19" i="91"/>
  <c r="H18" i="91"/>
  <c r="G18" i="91"/>
  <c r="H17" i="91"/>
  <c r="G17" i="91"/>
  <c r="H16" i="91"/>
  <c r="G16" i="91"/>
  <c r="H15" i="91"/>
  <c r="G15" i="91"/>
  <c r="H14" i="91"/>
  <c r="G14" i="91"/>
  <c r="H13" i="91"/>
  <c r="G13" i="91"/>
  <c r="H12" i="91"/>
  <c r="G12" i="91"/>
  <c r="H27" i="92"/>
  <c r="G27" i="92"/>
  <c r="H26" i="92"/>
  <c r="G26" i="92"/>
  <c r="H25" i="92"/>
  <c r="G25" i="92"/>
  <c r="H24" i="92"/>
  <c r="G24" i="92"/>
  <c r="H23" i="92"/>
  <c r="G23" i="92"/>
  <c r="H22" i="92"/>
  <c r="G22" i="92"/>
  <c r="H21" i="92"/>
  <c r="G21" i="92"/>
  <c r="H20" i="92"/>
  <c r="G20" i="92"/>
  <c r="H19" i="92"/>
  <c r="G19" i="92"/>
  <c r="H18" i="92"/>
  <c r="G18" i="92"/>
  <c r="H17" i="92"/>
  <c r="G17" i="92"/>
  <c r="H16" i="92"/>
  <c r="G16" i="92"/>
  <c r="H15" i="92"/>
  <c r="G15" i="92"/>
  <c r="H14" i="92"/>
  <c r="G14" i="92"/>
  <c r="H13" i="92"/>
  <c r="G13" i="92"/>
  <c r="H12" i="92"/>
  <c r="G12" i="92"/>
  <c r="H27" i="93"/>
  <c r="G27" i="93"/>
  <c r="H26" i="93"/>
  <c r="G26" i="93"/>
  <c r="H25" i="93"/>
  <c r="G25" i="93"/>
  <c r="H24" i="93"/>
  <c r="G24" i="93"/>
  <c r="H23" i="93"/>
  <c r="G23" i="93"/>
  <c r="H22" i="93"/>
  <c r="G22" i="93"/>
  <c r="H21" i="93"/>
  <c r="G21" i="93"/>
  <c r="H20" i="93"/>
  <c r="G20" i="93"/>
  <c r="H19" i="93"/>
  <c r="G19" i="93"/>
  <c r="H18" i="93"/>
  <c r="G18" i="93"/>
  <c r="H17" i="93"/>
  <c r="G17" i="93"/>
  <c r="H16" i="93"/>
  <c r="G16" i="93"/>
  <c r="H15" i="93"/>
  <c r="G15" i="93"/>
  <c r="H14" i="93"/>
  <c r="G14" i="93"/>
  <c r="H13" i="93"/>
  <c r="G13" i="93"/>
  <c r="H12" i="93"/>
  <c r="G12" i="93"/>
  <c r="H27" i="94"/>
  <c r="G27" i="94"/>
  <c r="H26" i="94"/>
  <c r="G26" i="94"/>
  <c r="H25" i="94"/>
  <c r="G25" i="94"/>
  <c r="H24" i="94"/>
  <c r="G24" i="94"/>
  <c r="H23" i="94"/>
  <c r="G23" i="94"/>
  <c r="H22" i="94"/>
  <c r="G22" i="94"/>
  <c r="H21" i="94"/>
  <c r="G21" i="94"/>
  <c r="H20" i="94"/>
  <c r="G20" i="94"/>
  <c r="H19" i="94"/>
  <c r="G19" i="94"/>
  <c r="H18" i="94"/>
  <c r="G18" i="94"/>
  <c r="H17" i="94"/>
  <c r="G17" i="94"/>
  <c r="H16" i="94"/>
  <c r="G16" i="94"/>
  <c r="H15" i="94"/>
  <c r="G15" i="94"/>
  <c r="H14" i="94"/>
  <c r="G14" i="94"/>
  <c r="H13" i="94"/>
  <c r="G13" i="94"/>
  <c r="H12" i="94"/>
  <c r="G12" i="94"/>
  <c r="H27" i="95"/>
  <c r="G27" i="95"/>
  <c r="H26" i="95"/>
  <c r="G26" i="95"/>
  <c r="H25" i="95"/>
  <c r="G25" i="95"/>
  <c r="H24" i="95"/>
  <c r="G24" i="95"/>
  <c r="H23" i="95"/>
  <c r="G23" i="95"/>
  <c r="H22" i="95"/>
  <c r="G22" i="95"/>
  <c r="H21" i="95"/>
  <c r="G21" i="95"/>
  <c r="H20" i="95"/>
  <c r="G20" i="95"/>
  <c r="H19" i="95"/>
  <c r="G19" i="95"/>
  <c r="H18" i="95"/>
  <c r="G18" i="95"/>
  <c r="H17" i="95"/>
  <c r="G17" i="95"/>
  <c r="H16" i="95"/>
  <c r="G16" i="95"/>
  <c r="H15" i="95"/>
  <c r="G15" i="95"/>
  <c r="H14" i="95"/>
  <c r="G14" i="95"/>
  <c r="H13" i="95"/>
  <c r="G13" i="95"/>
  <c r="H12" i="95"/>
  <c r="G12" i="95"/>
  <c r="H27" i="96"/>
  <c r="G27" i="96"/>
  <c r="H26" i="96"/>
  <c r="G26" i="96"/>
  <c r="H25" i="96"/>
  <c r="G25" i="96"/>
  <c r="H24" i="96"/>
  <c r="G24" i="96"/>
  <c r="H23" i="96"/>
  <c r="G23" i="96"/>
  <c r="H22" i="96"/>
  <c r="G22" i="96"/>
  <c r="H21" i="96"/>
  <c r="G21" i="96"/>
  <c r="H20" i="96"/>
  <c r="G20" i="96"/>
  <c r="H19" i="96"/>
  <c r="G19" i="96"/>
  <c r="H18" i="96"/>
  <c r="G18" i="96"/>
  <c r="H17" i="96"/>
  <c r="G17" i="96"/>
  <c r="H16" i="96"/>
  <c r="G16" i="96"/>
  <c r="H15" i="96"/>
  <c r="G15" i="96"/>
  <c r="H14" i="96"/>
  <c r="G14" i="96"/>
  <c r="H13" i="96"/>
  <c r="G13" i="96"/>
  <c r="H12" i="96"/>
  <c r="G12" i="96"/>
  <c r="H27" i="97"/>
  <c r="G27" i="97"/>
  <c r="H26" i="97"/>
  <c r="G26" i="97"/>
  <c r="H25" i="97"/>
  <c r="G25" i="97"/>
  <c r="H24" i="97"/>
  <c r="G24" i="97"/>
  <c r="H23" i="97"/>
  <c r="G23" i="97"/>
  <c r="H22" i="97"/>
  <c r="G22" i="97"/>
  <c r="H21" i="97"/>
  <c r="G21" i="97"/>
  <c r="H20" i="97"/>
  <c r="G20" i="97"/>
  <c r="H19" i="97"/>
  <c r="G19" i="97"/>
  <c r="H18" i="97"/>
  <c r="G18" i="97"/>
  <c r="H17" i="97"/>
  <c r="G17" i="97"/>
  <c r="H16" i="97"/>
  <c r="G16" i="97"/>
  <c r="H15" i="97"/>
  <c r="G15" i="97"/>
  <c r="H14" i="97"/>
  <c r="G14" i="97"/>
  <c r="H13" i="97"/>
  <c r="G13" i="97"/>
  <c r="H12" i="97"/>
  <c r="G12" i="97"/>
  <c r="H27" i="98"/>
  <c r="G27" i="98"/>
  <c r="H26" i="98"/>
  <c r="G26" i="98"/>
  <c r="H25" i="98"/>
  <c r="G25" i="98"/>
  <c r="H24" i="98"/>
  <c r="G24" i="98"/>
  <c r="H23" i="98"/>
  <c r="G23" i="98"/>
  <c r="H22" i="98"/>
  <c r="G22" i="98"/>
  <c r="H21" i="98"/>
  <c r="G21" i="98"/>
  <c r="H20" i="98"/>
  <c r="G20" i="98"/>
  <c r="H19" i="98"/>
  <c r="G19" i="98"/>
  <c r="H18" i="98"/>
  <c r="G18" i="98"/>
  <c r="H17" i="98"/>
  <c r="G17" i="98"/>
  <c r="H16" i="98"/>
  <c r="G16" i="98"/>
  <c r="H15" i="98"/>
  <c r="G15" i="98"/>
  <c r="H14" i="98"/>
  <c r="G14" i="98"/>
  <c r="H13" i="98"/>
  <c r="G13" i="98"/>
  <c r="H12" i="98"/>
  <c r="G12" i="98"/>
  <c r="H27" i="99"/>
  <c r="G27" i="99"/>
  <c r="H26" i="99"/>
  <c r="G26" i="99"/>
  <c r="H25" i="99"/>
  <c r="G25" i="99"/>
  <c r="H24" i="99"/>
  <c r="G24" i="99"/>
  <c r="H23" i="99"/>
  <c r="G23" i="99"/>
  <c r="H22" i="99"/>
  <c r="G22" i="99"/>
  <c r="H21" i="99"/>
  <c r="G21" i="99"/>
  <c r="H20" i="99"/>
  <c r="G20" i="99"/>
  <c r="H19" i="99"/>
  <c r="G19" i="99"/>
  <c r="H18" i="99"/>
  <c r="G18" i="99"/>
  <c r="H17" i="99"/>
  <c r="G17" i="99"/>
  <c r="H16" i="99"/>
  <c r="G16" i="99"/>
  <c r="H15" i="99"/>
  <c r="G15" i="99"/>
  <c r="H14" i="99"/>
  <c r="G14" i="99"/>
  <c r="H13" i="99"/>
  <c r="G13" i="99"/>
  <c r="H12" i="99"/>
  <c r="G12" i="99"/>
  <c r="H27" i="100"/>
  <c r="G27" i="100"/>
  <c r="H26" i="100"/>
  <c r="G26" i="100"/>
  <c r="H25" i="100"/>
  <c r="G25" i="100"/>
  <c r="H24" i="100"/>
  <c r="G24" i="100"/>
  <c r="H23" i="100"/>
  <c r="G23" i="100"/>
  <c r="H22" i="100"/>
  <c r="G22" i="100"/>
  <c r="H21" i="100"/>
  <c r="G21" i="100"/>
  <c r="H20" i="100"/>
  <c r="G20" i="100"/>
  <c r="H19" i="100"/>
  <c r="G19" i="100"/>
  <c r="H18" i="100"/>
  <c r="G18" i="100"/>
  <c r="H17" i="100"/>
  <c r="G17" i="100"/>
  <c r="H16" i="100"/>
  <c r="G16" i="100"/>
  <c r="H15" i="100"/>
  <c r="G15" i="100"/>
  <c r="H14" i="100"/>
  <c r="G14" i="100"/>
  <c r="H13" i="100"/>
  <c r="G13" i="100"/>
  <c r="H12" i="100"/>
  <c r="G12" i="100"/>
  <c r="H27" i="101"/>
  <c r="G27" i="101"/>
  <c r="H26" i="101"/>
  <c r="G26" i="101"/>
  <c r="H25" i="101"/>
  <c r="G25" i="101"/>
  <c r="H24" i="101"/>
  <c r="G24" i="101"/>
  <c r="H23" i="101"/>
  <c r="G23" i="101"/>
  <c r="H22" i="101"/>
  <c r="G22" i="101"/>
  <c r="H21" i="101"/>
  <c r="G21" i="101"/>
  <c r="H20" i="101"/>
  <c r="G20" i="101"/>
  <c r="H19" i="101"/>
  <c r="G19" i="101"/>
  <c r="H18" i="101"/>
  <c r="G18" i="101"/>
  <c r="H17" i="101"/>
  <c r="G17" i="101"/>
  <c r="H16" i="101"/>
  <c r="G16" i="101"/>
  <c r="H15" i="101"/>
  <c r="G15" i="101"/>
  <c r="H14" i="101"/>
  <c r="G14" i="101"/>
  <c r="H13" i="101"/>
  <c r="G13" i="101"/>
  <c r="H12" i="101"/>
  <c r="G12" i="101"/>
  <c r="H27" i="102"/>
  <c r="G27" i="102"/>
  <c r="H26" i="102"/>
  <c r="G26" i="102"/>
  <c r="H25" i="102"/>
  <c r="G25" i="102"/>
  <c r="H24" i="102"/>
  <c r="G24" i="102"/>
  <c r="H23" i="102"/>
  <c r="G23" i="102"/>
  <c r="H22" i="102"/>
  <c r="G22" i="102"/>
  <c r="H21" i="102"/>
  <c r="G21" i="102"/>
  <c r="H20" i="102"/>
  <c r="G20" i="102"/>
  <c r="H19" i="102"/>
  <c r="G19" i="102"/>
  <c r="H18" i="102"/>
  <c r="G18" i="102"/>
  <c r="H17" i="102"/>
  <c r="G17" i="102"/>
  <c r="H16" i="102"/>
  <c r="G16" i="102"/>
  <c r="H15" i="102"/>
  <c r="G15" i="102"/>
  <c r="H14" i="102"/>
  <c r="G14" i="102"/>
  <c r="H13" i="102"/>
  <c r="G13" i="102"/>
  <c r="H12" i="102"/>
  <c r="G12" i="102"/>
  <c r="H27" i="103"/>
  <c r="G27" i="103"/>
  <c r="H26" i="103"/>
  <c r="G26" i="103"/>
  <c r="H25" i="103"/>
  <c r="G25" i="103"/>
  <c r="H24" i="103"/>
  <c r="G24" i="103"/>
  <c r="H23" i="103"/>
  <c r="G23" i="103"/>
  <c r="H22" i="103"/>
  <c r="G22" i="103"/>
  <c r="H21" i="103"/>
  <c r="G21" i="103"/>
  <c r="H20" i="103"/>
  <c r="G20" i="103"/>
  <c r="H19" i="103"/>
  <c r="G19" i="103"/>
  <c r="H18" i="103"/>
  <c r="G18" i="103"/>
  <c r="H17" i="103"/>
  <c r="G17" i="103"/>
  <c r="H16" i="103"/>
  <c r="G16" i="103"/>
  <c r="H15" i="103"/>
  <c r="G15" i="103"/>
  <c r="H14" i="103"/>
  <c r="G14" i="103"/>
  <c r="H13" i="103"/>
  <c r="G13" i="103"/>
  <c r="H12" i="103"/>
  <c r="G12" i="103"/>
  <c r="H27" i="104"/>
  <c r="G27" i="104"/>
  <c r="H26" i="104"/>
  <c r="G26" i="104"/>
  <c r="H25" i="104"/>
  <c r="G25" i="104"/>
  <c r="H24" i="104"/>
  <c r="G24" i="104"/>
  <c r="H23" i="104"/>
  <c r="G23" i="104"/>
  <c r="H22" i="104"/>
  <c r="G22" i="104"/>
  <c r="H21" i="104"/>
  <c r="G21" i="104"/>
  <c r="H20" i="104"/>
  <c r="G20" i="104"/>
  <c r="H19" i="104"/>
  <c r="G19" i="104"/>
  <c r="H18" i="104"/>
  <c r="G18" i="104"/>
  <c r="H17" i="104"/>
  <c r="G17" i="104"/>
  <c r="H16" i="104"/>
  <c r="G16" i="104"/>
  <c r="H15" i="104"/>
  <c r="G15" i="104"/>
  <c r="H14" i="104"/>
  <c r="G14" i="104"/>
  <c r="H13" i="104"/>
  <c r="G13" i="104"/>
  <c r="H12" i="104"/>
  <c r="G12" i="104"/>
  <c r="H27" i="105"/>
  <c r="G27" i="105"/>
  <c r="H26" i="105"/>
  <c r="G26" i="105"/>
  <c r="H25" i="105"/>
  <c r="G25" i="105"/>
  <c r="H24" i="105"/>
  <c r="G24" i="105"/>
  <c r="H23" i="105"/>
  <c r="G23" i="105"/>
  <c r="H22" i="105"/>
  <c r="G22" i="105"/>
  <c r="H21" i="105"/>
  <c r="G21" i="105"/>
  <c r="H20" i="105"/>
  <c r="G20" i="105"/>
  <c r="H19" i="105"/>
  <c r="G19" i="105"/>
  <c r="H18" i="105"/>
  <c r="G18" i="105"/>
  <c r="H17" i="105"/>
  <c r="G17" i="105"/>
  <c r="H16" i="105"/>
  <c r="G16" i="105"/>
  <c r="H15" i="105"/>
  <c r="G15" i="105"/>
  <c r="H14" i="105"/>
  <c r="G14" i="105"/>
  <c r="H13" i="105"/>
  <c r="G13" i="105"/>
  <c r="H12" i="105"/>
  <c r="G12" i="105"/>
  <c r="H27" i="107"/>
  <c r="G27" i="107"/>
  <c r="H26" i="107"/>
  <c r="G26" i="107"/>
  <c r="H25" i="107"/>
  <c r="G25" i="107"/>
  <c r="H24" i="107"/>
  <c r="G24" i="107"/>
  <c r="H23" i="107"/>
  <c r="G23" i="107"/>
  <c r="H22" i="107"/>
  <c r="G22" i="107"/>
  <c r="H21" i="107"/>
  <c r="G21" i="107"/>
  <c r="H20" i="107"/>
  <c r="G20" i="107"/>
  <c r="H19" i="107"/>
  <c r="G19" i="107"/>
  <c r="H18" i="107"/>
  <c r="G18" i="107"/>
  <c r="H17" i="107"/>
  <c r="G17" i="107"/>
  <c r="H16" i="107"/>
  <c r="G16" i="107"/>
  <c r="H15" i="107"/>
  <c r="G15" i="107"/>
  <c r="H14" i="107"/>
  <c r="G14" i="107"/>
  <c r="H13" i="107"/>
  <c r="G13" i="107"/>
  <c r="H12" i="107"/>
  <c r="G12" i="107"/>
  <c r="I7" i="58"/>
  <c r="I6" i="58"/>
  <c r="I7" i="59"/>
  <c r="I6" i="59"/>
  <c r="I7" i="60"/>
  <c r="I6" i="60"/>
  <c r="I7" i="61"/>
  <c r="I6" i="61"/>
  <c r="I7" i="62"/>
  <c r="I6" i="62"/>
  <c r="I7" i="63"/>
  <c r="I6" i="63"/>
  <c r="I7" i="64"/>
  <c r="I6" i="64"/>
  <c r="I7" i="65"/>
  <c r="I6" i="65"/>
  <c r="I7" i="66"/>
  <c r="I6" i="66"/>
  <c r="I7" i="67"/>
  <c r="I6" i="67"/>
  <c r="I7" i="68"/>
  <c r="I6" i="68"/>
  <c r="I7" i="108"/>
  <c r="I6" i="108"/>
  <c r="I7" i="69"/>
  <c r="I6" i="69"/>
  <c r="I7" i="70"/>
  <c r="I6" i="70"/>
  <c r="I7" i="71"/>
  <c r="I6" i="71"/>
  <c r="I7" i="72"/>
  <c r="I6" i="72"/>
  <c r="I7" i="73"/>
  <c r="I6" i="73"/>
  <c r="I7" i="74"/>
  <c r="I6" i="74"/>
  <c r="I7" i="75"/>
  <c r="I6" i="75"/>
  <c r="I7" i="76"/>
  <c r="I6" i="76"/>
  <c r="I7" i="77"/>
  <c r="I6" i="77"/>
  <c r="I7" i="78"/>
  <c r="I6" i="78"/>
  <c r="I7" i="79"/>
  <c r="I6" i="79"/>
  <c r="I7" i="80"/>
  <c r="I6" i="80"/>
  <c r="I7" i="81"/>
  <c r="I6" i="81"/>
  <c r="I7" i="82"/>
  <c r="I6" i="82"/>
  <c r="I7" i="83"/>
  <c r="I6" i="83"/>
  <c r="I7" i="84"/>
  <c r="I6" i="84"/>
  <c r="I7" i="85"/>
  <c r="I6" i="85"/>
  <c r="I7" i="86"/>
  <c r="I6" i="86"/>
  <c r="I7" i="87"/>
  <c r="I6" i="87"/>
  <c r="I7" i="88"/>
  <c r="I6" i="88"/>
  <c r="I7" i="89"/>
  <c r="I6" i="89"/>
  <c r="I7" i="90"/>
  <c r="I6" i="90"/>
  <c r="I7" i="91"/>
  <c r="I6" i="91"/>
  <c r="I7" i="92"/>
  <c r="I6" i="92"/>
  <c r="I7" i="93"/>
  <c r="I6" i="93"/>
  <c r="I7" i="94"/>
  <c r="I6" i="94"/>
  <c r="I7" i="95"/>
  <c r="I6" i="95"/>
  <c r="I7" i="96"/>
  <c r="I6" i="96"/>
  <c r="I7" i="97"/>
  <c r="I6" i="97"/>
  <c r="I7" i="98"/>
  <c r="I6" i="98"/>
  <c r="I7" i="99"/>
  <c r="I6" i="99"/>
  <c r="I7" i="100"/>
  <c r="I6" i="100"/>
  <c r="I7" i="101"/>
  <c r="I6" i="101"/>
  <c r="I7" i="102"/>
  <c r="I6" i="102"/>
  <c r="I7" i="103"/>
  <c r="I6" i="103"/>
  <c r="I7" i="104"/>
  <c r="I6" i="104"/>
  <c r="I7" i="105"/>
  <c r="I6" i="105"/>
  <c r="I7" i="107"/>
  <c r="I6" i="107"/>
  <c r="E6" i="58"/>
  <c r="E6" i="59"/>
  <c r="E6" i="60"/>
  <c r="E6" i="61"/>
  <c r="E6" i="62"/>
  <c r="E6" i="63"/>
  <c r="E6" i="64"/>
  <c r="E6" i="65"/>
  <c r="E6" i="66"/>
  <c r="E6" i="67"/>
  <c r="E6" i="68"/>
  <c r="E6" i="108"/>
  <c r="E6" i="69"/>
  <c r="E6" i="70"/>
  <c r="E6" i="71"/>
  <c r="E6" i="72"/>
  <c r="E6" i="73"/>
  <c r="E6" i="74"/>
  <c r="E6" i="75"/>
  <c r="E6" i="76"/>
  <c r="E6" i="77"/>
  <c r="E6" i="78"/>
  <c r="E6" i="79"/>
  <c r="E6" i="80"/>
  <c r="E6" i="81"/>
  <c r="E6" i="82"/>
  <c r="E6" i="83"/>
  <c r="E6" i="84"/>
  <c r="E6" i="85"/>
  <c r="E6" i="86"/>
  <c r="E6" i="87"/>
  <c r="E6" i="88"/>
  <c r="E6" i="89"/>
  <c r="E6" i="90"/>
  <c r="E6" i="91"/>
  <c r="E6" i="92"/>
  <c r="E6" i="93"/>
  <c r="E6" i="94"/>
  <c r="E6" i="95"/>
  <c r="E6" i="96"/>
  <c r="E6" i="97"/>
  <c r="E6" i="98"/>
  <c r="E6" i="99"/>
  <c r="E6" i="100"/>
  <c r="E6" i="101"/>
  <c r="E6" i="102"/>
  <c r="E6" i="103"/>
  <c r="E6" i="104"/>
  <c r="E6" i="105"/>
  <c r="E6" i="107"/>
  <c r="H27" i="2"/>
  <c r="G27" i="2"/>
  <c r="H26" i="2"/>
  <c r="G26" i="2"/>
  <c r="H25" i="2"/>
  <c r="G25" i="2"/>
  <c r="H24" i="2"/>
  <c r="G24" i="2"/>
  <c r="H23" i="2"/>
  <c r="G23" i="2"/>
  <c r="H22" i="2"/>
  <c r="G22" i="2"/>
  <c r="H21" i="2"/>
  <c r="G21" i="2"/>
  <c r="H20" i="2"/>
  <c r="G20" i="2"/>
  <c r="H19" i="2"/>
  <c r="G19" i="2"/>
  <c r="H18" i="2"/>
  <c r="G18" i="2"/>
  <c r="H17" i="2"/>
  <c r="G17" i="2"/>
  <c r="H16" i="2"/>
  <c r="G16" i="2"/>
  <c r="H15" i="2"/>
  <c r="G15" i="2"/>
  <c r="H14" i="2"/>
  <c r="G14" i="2"/>
  <c r="H13" i="2"/>
  <c r="G13" i="2"/>
  <c r="G12" i="2"/>
  <c r="H12" i="2"/>
  <c r="I7" i="2"/>
  <c r="I6" i="2"/>
  <c r="E6" i="2"/>
  <c r="D14" i="106"/>
  <c r="D74" i="106" s="1"/>
  <c r="Q72" i="57"/>
  <c r="M126" i="57"/>
  <c r="M57" i="57"/>
  <c r="O26" i="72" l="1"/>
  <c r="O18" i="67"/>
  <c r="O20" i="81"/>
  <c r="D20" i="81" s="1"/>
  <c r="C20" i="72"/>
  <c r="D18" i="82"/>
  <c r="O24" i="74"/>
  <c r="O18" i="74"/>
  <c r="C18" i="74" s="1"/>
  <c r="O25" i="94"/>
  <c r="O22" i="91"/>
  <c r="C22" i="91" s="1"/>
  <c r="D19" i="103"/>
  <c r="O23" i="81"/>
  <c r="D23" i="81" s="1"/>
  <c r="O23" i="58"/>
  <c r="D23" i="58" s="1"/>
  <c r="O20" i="70"/>
  <c r="C20" i="70" s="1"/>
  <c r="O19" i="94"/>
  <c r="O19" i="61"/>
  <c r="C19" i="61" s="1"/>
  <c r="D19" i="66"/>
  <c r="O20" i="58"/>
  <c r="O19" i="107"/>
  <c r="O25" i="96"/>
  <c r="O25" i="61"/>
  <c r="C25" i="61" s="1"/>
  <c r="O21" i="76"/>
  <c r="D21" i="76" s="1"/>
  <c r="O25" i="91"/>
  <c r="C25" i="91" s="1"/>
  <c r="D24" i="65"/>
  <c r="O19" i="96"/>
  <c r="D19" i="96" s="1"/>
  <c r="O18" i="80"/>
  <c r="O25" i="102"/>
  <c r="O18" i="93"/>
  <c r="C20" i="90"/>
  <c r="O19" i="104"/>
  <c r="C19" i="104" s="1"/>
  <c r="O25" i="97"/>
  <c r="O23" i="99"/>
  <c r="D23" i="99" s="1"/>
  <c r="O18" i="78"/>
  <c r="O24" i="78"/>
  <c r="C22" i="101"/>
  <c r="O26" i="62"/>
  <c r="O20" i="62"/>
  <c r="O23" i="62"/>
  <c r="O24" i="76"/>
  <c r="C24" i="76" s="1"/>
  <c r="D23" i="77"/>
  <c r="D26" i="90"/>
  <c r="C26" i="105"/>
  <c r="C23" i="68"/>
  <c r="O19" i="97"/>
  <c r="D19" i="97" s="1"/>
  <c r="O20" i="84"/>
  <c r="D20" i="84" s="1"/>
  <c r="O26" i="99"/>
  <c r="C26" i="99" s="1"/>
  <c r="O23" i="72"/>
  <c r="D23" i="72" s="1"/>
  <c r="O24" i="80"/>
  <c r="D24" i="80" s="1"/>
  <c r="O24" i="93"/>
  <c r="D24" i="93" s="1"/>
  <c r="O22" i="104"/>
  <c r="O23" i="84"/>
  <c r="O19" i="102"/>
  <c r="C21" i="74"/>
  <c r="C21" i="93"/>
  <c r="C24" i="86"/>
  <c r="D26" i="98"/>
  <c r="O18" i="95"/>
  <c r="O26" i="69"/>
  <c r="O23" i="69"/>
  <c r="O20" i="69"/>
  <c r="O25" i="60"/>
  <c r="O19" i="60"/>
  <c r="O22" i="60"/>
  <c r="O19" i="64"/>
  <c r="O22" i="64"/>
  <c r="O25" i="64"/>
  <c r="O18" i="73"/>
  <c r="O24" i="73"/>
  <c r="O21" i="73"/>
  <c r="C21" i="67"/>
  <c r="D21" i="67"/>
  <c r="C26" i="100"/>
  <c r="D26" i="100"/>
  <c r="O20" i="60"/>
  <c r="O26" i="60"/>
  <c r="O23" i="60"/>
  <c r="D25" i="59"/>
  <c r="C25" i="59"/>
  <c r="D25" i="83"/>
  <c r="C25" i="83"/>
  <c r="D21" i="78"/>
  <c r="O26" i="96"/>
  <c r="O20" i="96"/>
  <c r="O23" i="96"/>
  <c r="O25" i="89"/>
  <c r="O19" i="89"/>
  <c r="O22" i="89"/>
  <c r="D26" i="81"/>
  <c r="C26" i="81"/>
  <c r="D18" i="80"/>
  <c r="C18" i="80"/>
  <c r="O18" i="58"/>
  <c r="O24" i="58"/>
  <c r="O21" i="58"/>
  <c r="O24" i="84"/>
  <c r="O21" i="84"/>
  <c r="O18" i="84"/>
  <c r="O24" i="77"/>
  <c r="O21" i="77"/>
  <c r="O18" i="77"/>
  <c r="O26" i="75"/>
  <c r="O23" i="75"/>
  <c r="O20" i="75"/>
  <c r="D21" i="80"/>
  <c r="C21" i="80"/>
  <c r="O22" i="93"/>
  <c r="O19" i="93"/>
  <c r="O25" i="93"/>
  <c r="O18" i="64"/>
  <c r="O21" i="64"/>
  <c r="O24" i="64"/>
  <c r="C25" i="66"/>
  <c r="O18" i="69"/>
  <c r="O24" i="69"/>
  <c r="O21" i="69"/>
  <c r="O24" i="61"/>
  <c r="O21" i="61"/>
  <c r="O18" i="61"/>
  <c r="C21" i="60"/>
  <c r="D21" i="60"/>
  <c r="D26" i="77"/>
  <c r="C26" i="77"/>
  <c r="D19" i="91"/>
  <c r="C19" i="91"/>
  <c r="O26" i="87"/>
  <c r="O20" i="87"/>
  <c r="O23" i="87"/>
  <c r="O21" i="104"/>
  <c r="O24" i="104"/>
  <c r="O18" i="104"/>
  <c r="O20" i="86"/>
  <c r="O26" i="86"/>
  <c r="O23" i="86"/>
  <c r="O21" i="81"/>
  <c r="O24" i="81"/>
  <c r="O18" i="81"/>
  <c r="C23" i="58"/>
  <c r="C18" i="85"/>
  <c r="C21" i="95"/>
  <c r="C20" i="81"/>
  <c r="D23" i="100"/>
  <c r="O18" i="63"/>
  <c r="O21" i="63"/>
  <c r="O24" i="63"/>
  <c r="D24" i="74"/>
  <c r="C24" i="74"/>
  <c r="O26" i="76"/>
  <c r="O23" i="76"/>
  <c r="O20" i="76"/>
  <c r="D21" i="82"/>
  <c r="C21" i="82"/>
  <c r="D18" i="93"/>
  <c r="C18" i="93"/>
  <c r="O18" i="91"/>
  <c r="O21" i="91"/>
  <c r="O24" i="91"/>
  <c r="O24" i="101"/>
  <c r="O21" i="101"/>
  <c r="O18" i="101"/>
  <c r="C22" i="107"/>
  <c r="D22" i="107"/>
  <c r="O23" i="66"/>
  <c r="O20" i="66"/>
  <c r="O26" i="66"/>
  <c r="D19" i="59"/>
  <c r="C19" i="59"/>
  <c r="D20" i="105"/>
  <c r="C20" i="105"/>
  <c r="C22" i="83"/>
  <c r="D22" i="83"/>
  <c r="O23" i="65"/>
  <c r="O20" i="65"/>
  <c r="O26" i="65"/>
  <c r="O18" i="103"/>
  <c r="O24" i="103"/>
  <c r="O21" i="103"/>
  <c r="O23" i="95"/>
  <c r="O26" i="95"/>
  <c r="O20" i="95"/>
  <c r="O19" i="69"/>
  <c r="O25" i="69"/>
  <c r="O22" i="69"/>
  <c r="O26" i="97"/>
  <c r="O20" i="97"/>
  <c r="O23" i="97"/>
  <c r="O24" i="108"/>
  <c r="O21" i="108"/>
  <c r="O18" i="108"/>
  <c r="O26" i="59"/>
  <c r="O20" i="59"/>
  <c r="O23" i="59"/>
  <c r="O26" i="78"/>
  <c r="O20" i="78"/>
  <c r="O23" i="78"/>
  <c r="O26" i="74"/>
  <c r="O23" i="74"/>
  <c r="O20" i="74"/>
  <c r="O19" i="81"/>
  <c r="O22" i="81"/>
  <c r="O25" i="81"/>
  <c r="O18" i="79"/>
  <c r="O21" i="79"/>
  <c r="O24" i="79"/>
  <c r="O22" i="65"/>
  <c r="O25" i="65"/>
  <c r="O19" i="65"/>
  <c r="D21" i="86"/>
  <c r="C21" i="86"/>
  <c r="O26" i="94"/>
  <c r="O20" i="94"/>
  <c r="O23" i="94"/>
  <c r="O22" i="62"/>
  <c r="O19" i="62"/>
  <c r="O25" i="62"/>
  <c r="C18" i="60"/>
  <c r="D18" i="60"/>
  <c r="O26" i="63"/>
  <c r="O23" i="63"/>
  <c r="O20" i="63"/>
  <c r="O19" i="68"/>
  <c r="O25" i="68"/>
  <c r="O22" i="68"/>
  <c r="C20" i="98"/>
  <c r="D20" i="98"/>
  <c r="O19" i="99"/>
  <c r="O25" i="99"/>
  <c r="O22" i="99"/>
  <c r="D24" i="60"/>
  <c r="C24" i="60"/>
  <c r="D22" i="91"/>
  <c r="D25" i="102"/>
  <c r="C25" i="102"/>
  <c r="O19" i="108"/>
  <c r="O25" i="108"/>
  <c r="O22" i="108"/>
  <c r="D18" i="74"/>
  <c r="O24" i="96"/>
  <c r="O18" i="96"/>
  <c r="O21" i="96"/>
  <c r="C24" i="82"/>
  <c r="D24" i="82"/>
  <c r="D20" i="68"/>
  <c r="C20" i="68"/>
  <c r="D25" i="94"/>
  <c r="C25" i="94"/>
  <c r="D22" i="61"/>
  <c r="C22" i="61"/>
  <c r="O20" i="91"/>
  <c r="O26" i="91"/>
  <c r="O23" i="91"/>
  <c r="C25" i="96"/>
  <c r="D25" i="96"/>
  <c r="O24" i="68"/>
  <c r="O21" i="68"/>
  <c r="O18" i="68"/>
  <c r="O25" i="86"/>
  <c r="O22" i="86"/>
  <c r="O19" i="86"/>
  <c r="O26" i="73"/>
  <c r="O23" i="73"/>
  <c r="O20" i="73"/>
  <c r="D25" i="104"/>
  <c r="C25" i="104"/>
  <c r="O20" i="88"/>
  <c r="O26" i="88"/>
  <c r="O23" i="88"/>
  <c r="C26" i="84"/>
  <c r="D26" i="84"/>
  <c r="D21" i="88"/>
  <c r="C21" i="88"/>
  <c r="O23" i="92"/>
  <c r="O26" i="92"/>
  <c r="O20" i="92"/>
  <c r="O24" i="97"/>
  <c r="O21" i="97"/>
  <c r="O18" i="97"/>
  <c r="D25" i="79"/>
  <c r="C25" i="79"/>
  <c r="O23" i="82"/>
  <c r="O26" i="82"/>
  <c r="O20" i="82"/>
  <c r="C24" i="88"/>
  <c r="D18" i="86"/>
  <c r="C23" i="99"/>
  <c r="O26" i="93"/>
  <c r="O20" i="93"/>
  <c r="O23" i="93"/>
  <c r="O26" i="103"/>
  <c r="O23" i="103"/>
  <c r="O20" i="103"/>
  <c r="O19" i="70"/>
  <c r="O22" i="70"/>
  <c r="O25" i="70"/>
  <c r="O18" i="90"/>
  <c r="O24" i="90"/>
  <c r="O21" i="90"/>
  <c r="D23" i="108"/>
  <c r="C18" i="76"/>
  <c r="O18" i="70"/>
  <c r="O24" i="70"/>
  <c r="O21" i="70"/>
  <c r="C18" i="89"/>
  <c r="D18" i="89"/>
  <c r="O19" i="80"/>
  <c r="O22" i="80"/>
  <c r="O25" i="80"/>
  <c r="C22" i="71"/>
  <c r="D22" i="71"/>
  <c r="O26" i="80"/>
  <c r="O23" i="80"/>
  <c r="O20" i="80"/>
  <c r="O26" i="79"/>
  <c r="O23" i="79"/>
  <c r="O20" i="79"/>
  <c r="O18" i="72"/>
  <c r="O21" i="72"/>
  <c r="O24" i="72"/>
  <c r="C22" i="103"/>
  <c r="D22" i="103"/>
  <c r="O18" i="75"/>
  <c r="O24" i="75"/>
  <c r="O21" i="75"/>
  <c r="D19" i="71"/>
  <c r="C19" i="71"/>
  <c r="C21" i="89"/>
  <c r="D21" i="89"/>
  <c r="D25" i="101"/>
  <c r="C25" i="101"/>
  <c r="O25" i="77"/>
  <c r="O19" i="77"/>
  <c r="O22" i="77"/>
  <c r="D19" i="107"/>
  <c r="C19" i="107"/>
  <c r="O26" i="104"/>
  <c r="O20" i="104"/>
  <c r="O23" i="104"/>
  <c r="O18" i="94"/>
  <c r="O24" i="94"/>
  <c r="O21" i="94"/>
  <c r="C26" i="58"/>
  <c r="D26" i="58"/>
  <c r="O18" i="66"/>
  <c r="O24" i="66"/>
  <c r="O21" i="66"/>
  <c r="C19" i="92"/>
  <c r="D19" i="92"/>
  <c r="O19" i="98"/>
  <c r="O25" i="98"/>
  <c r="O22" i="98"/>
  <c r="O25" i="105"/>
  <c r="O22" i="105"/>
  <c r="O19" i="105"/>
  <c r="D25" i="75"/>
  <c r="C25" i="75"/>
  <c r="O20" i="89"/>
  <c r="O23" i="89"/>
  <c r="O26" i="89"/>
  <c r="O24" i="98"/>
  <c r="O18" i="98"/>
  <c r="O21" i="98"/>
  <c r="O24" i="99"/>
  <c r="O18" i="99"/>
  <c r="O21" i="99"/>
  <c r="O23" i="85"/>
  <c r="O26" i="85"/>
  <c r="O20" i="85"/>
  <c r="O24" i="100"/>
  <c r="O21" i="100"/>
  <c r="O18" i="100"/>
  <c r="O24" i="107"/>
  <c r="O21" i="107"/>
  <c r="O18" i="107"/>
  <c r="D21" i="87"/>
  <c r="C21" i="87"/>
  <c r="D25" i="71"/>
  <c r="C25" i="71"/>
  <c r="C24" i="95"/>
  <c r="D24" i="95"/>
  <c r="O19" i="88"/>
  <c r="O22" i="88"/>
  <c r="O25" i="88"/>
  <c r="O25" i="67"/>
  <c r="O19" i="67"/>
  <c r="O22" i="67"/>
  <c r="D24" i="85"/>
  <c r="C24" i="85"/>
  <c r="C25" i="103"/>
  <c r="O18" i="102"/>
  <c r="O21" i="102"/>
  <c r="O24" i="102"/>
  <c r="O24" i="83"/>
  <c r="O21" i="83"/>
  <c r="O18" i="83"/>
  <c r="O23" i="67"/>
  <c r="O20" i="67"/>
  <c r="O26" i="67"/>
  <c r="O25" i="74"/>
  <c r="O22" i="74"/>
  <c r="O19" i="74"/>
  <c r="O22" i="58"/>
  <c r="O25" i="58"/>
  <c r="O19" i="58"/>
  <c r="O25" i="100"/>
  <c r="O22" i="100"/>
  <c r="O19" i="100"/>
  <c r="O19" i="95"/>
  <c r="O25" i="95"/>
  <c r="O22" i="95"/>
  <c r="D19" i="94"/>
  <c r="C19" i="94"/>
  <c r="O25" i="87"/>
  <c r="O19" i="87"/>
  <c r="O22" i="87"/>
  <c r="O26" i="101"/>
  <c r="O23" i="101"/>
  <c r="O20" i="101"/>
  <c r="O23" i="107"/>
  <c r="O26" i="107"/>
  <c r="O20" i="107"/>
  <c r="D26" i="70"/>
  <c r="C26" i="70"/>
  <c r="O26" i="71"/>
  <c r="O23" i="71"/>
  <c r="O20" i="71"/>
  <c r="O18" i="62"/>
  <c r="O21" i="62"/>
  <c r="O24" i="62"/>
  <c r="O24" i="92"/>
  <c r="O18" i="92"/>
  <c r="O21" i="92"/>
  <c r="C25" i="97"/>
  <c r="D25" i="97"/>
  <c r="D22" i="92"/>
  <c r="C22" i="92"/>
  <c r="O21" i="59"/>
  <c r="O18" i="59"/>
  <c r="O24" i="59"/>
  <c r="O25" i="76"/>
  <c r="O22" i="76"/>
  <c r="O19" i="76"/>
  <c r="O26" i="102"/>
  <c r="O20" i="102"/>
  <c r="O23" i="102"/>
  <c r="C22" i="104"/>
  <c r="D22" i="104"/>
  <c r="O25" i="82"/>
  <c r="O22" i="82"/>
  <c r="O19" i="82"/>
  <c r="O20" i="61"/>
  <c r="O23" i="61"/>
  <c r="O26" i="61"/>
  <c r="C23" i="84"/>
  <c r="D23" i="84"/>
  <c r="C22" i="66"/>
  <c r="D22" i="66"/>
  <c r="O26" i="83"/>
  <c r="O23" i="83"/>
  <c r="O20" i="83"/>
  <c r="O24" i="71"/>
  <c r="O18" i="71"/>
  <c r="O21" i="71"/>
  <c r="O21" i="105"/>
  <c r="O24" i="105"/>
  <c r="O18" i="105"/>
  <c r="O19" i="84"/>
  <c r="O22" i="84"/>
  <c r="O25" i="84"/>
  <c r="C21" i="85"/>
  <c r="D21" i="85"/>
  <c r="O19" i="85"/>
  <c r="O22" i="85"/>
  <c r="O25" i="85"/>
  <c r="C24" i="89"/>
  <c r="D24" i="89"/>
  <c r="O19" i="72"/>
  <c r="O25" i="72"/>
  <c r="O22" i="72"/>
  <c r="O22" i="90"/>
  <c r="O19" i="90"/>
  <c r="O25" i="90"/>
  <c r="D22" i="59"/>
  <c r="C22" i="59"/>
  <c r="O25" i="78"/>
  <c r="O19" i="78"/>
  <c r="O22" i="78"/>
  <c r="C23" i="105"/>
  <c r="D23" i="105"/>
  <c r="D26" i="72"/>
  <c r="C26" i="72"/>
  <c r="C18" i="67"/>
  <c r="D18" i="67"/>
  <c r="C20" i="108"/>
  <c r="D20" i="108"/>
  <c r="O8" i="2"/>
  <c r="Q6" i="57"/>
  <c r="Y78" i="61"/>
  <c r="D25" i="91" l="1"/>
  <c r="C24" i="80"/>
  <c r="D19" i="61"/>
  <c r="D20" i="70"/>
  <c r="D20" i="69"/>
  <c r="C20" i="69"/>
  <c r="D26" i="62"/>
  <c r="C26" i="62"/>
  <c r="C20" i="84"/>
  <c r="D25" i="61"/>
  <c r="C23" i="72"/>
  <c r="D19" i="104"/>
  <c r="D23" i="69"/>
  <c r="C23" i="69"/>
  <c r="C19" i="97"/>
  <c r="C23" i="81"/>
  <c r="D24" i="76"/>
  <c r="C26" i="69"/>
  <c r="D26" i="69"/>
  <c r="C24" i="78"/>
  <c r="D24" i="78"/>
  <c r="D26" i="99"/>
  <c r="D18" i="95"/>
  <c r="C18" i="95"/>
  <c r="D18" i="78"/>
  <c r="C18" i="78"/>
  <c r="C24" i="93"/>
  <c r="D20" i="58"/>
  <c r="C20" i="58"/>
  <c r="C23" i="62"/>
  <c r="D23" i="62"/>
  <c r="D20" i="62"/>
  <c r="C20" i="62"/>
  <c r="C19" i="96"/>
  <c r="C19" i="102"/>
  <c r="D19" i="102"/>
  <c r="C21" i="76"/>
  <c r="C19" i="85"/>
  <c r="D19" i="85"/>
  <c r="C22" i="82"/>
  <c r="D22" i="82"/>
  <c r="C24" i="62"/>
  <c r="D24" i="62"/>
  <c r="D25" i="95"/>
  <c r="C25" i="95"/>
  <c r="C18" i="99"/>
  <c r="D18" i="99"/>
  <c r="D23" i="94"/>
  <c r="C23" i="94"/>
  <c r="D20" i="59"/>
  <c r="C20" i="59"/>
  <c r="D21" i="62"/>
  <c r="C21" i="62"/>
  <c r="C21" i="63"/>
  <c r="D21" i="63"/>
  <c r="C23" i="75"/>
  <c r="D23" i="75"/>
  <c r="C18" i="62"/>
  <c r="D18" i="62"/>
  <c r="C19" i="100"/>
  <c r="D19" i="100"/>
  <c r="C22" i="67"/>
  <c r="D22" i="67"/>
  <c r="D21" i="98"/>
  <c r="C21" i="98"/>
  <c r="C18" i="94"/>
  <c r="D18" i="94"/>
  <c r="C21" i="72"/>
  <c r="D21" i="72"/>
  <c r="D25" i="70"/>
  <c r="C25" i="70"/>
  <c r="C23" i="91"/>
  <c r="D23" i="91"/>
  <c r="D26" i="94"/>
  <c r="C26" i="94"/>
  <c r="D18" i="108"/>
  <c r="C18" i="108"/>
  <c r="D18" i="63"/>
  <c r="C18" i="63"/>
  <c r="C26" i="75"/>
  <c r="D26" i="75"/>
  <c r="D25" i="84"/>
  <c r="C25" i="84"/>
  <c r="D22" i="100"/>
  <c r="C22" i="100"/>
  <c r="C19" i="67"/>
  <c r="C28" i="67" s="1"/>
  <c r="D19" i="67"/>
  <c r="C18" i="98"/>
  <c r="D18" i="98"/>
  <c r="D23" i="104"/>
  <c r="C23" i="104"/>
  <c r="C18" i="72"/>
  <c r="D18" i="72"/>
  <c r="D22" i="70"/>
  <c r="C22" i="70"/>
  <c r="C26" i="91"/>
  <c r="D26" i="91"/>
  <c r="D21" i="108"/>
  <c r="C21" i="108"/>
  <c r="D26" i="66"/>
  <c r="C26" i="66"/>
  <c r="C18" i="77"/>
  <c r="D18" i="77"/>
  <c r="C22" i="84"/>
  <c r="D22" i="84"/>
  <c r="C23" i="102"/>
  <c r="D23" i="102"/>
  <c r="C25" i="100"/>
  <c r="D25" i="100"/>
  <c r="D25" i="67"/>
  <c r="C25" i="67"/>
  <c r="D24" i="98"/>
  <c r="C24" i="98"/>
  <c r="C20" i="104"/>
  <c r="D20" i="104"/>
  <c r="D20" i="79"/>
  <c r="C20" i="79"/>
  <c r="D19" i="70"/>
  <c r="D28" i="70" s="1"/>
  <c r="C19" i="70"/>
  <c r="D20" i="91"/>
  <c r="C20" i="91"/>
  <c r="C22" i="99"/>
  <c r="D22" i="99"/>
  <c r="D24" i="108"/>
  <c r="C24" i="108"/>
  <c r="C20" i="66"/>
  <c r="D20" i="66"/>
  <c r="D21" i="77"/>
  <c r="C21" i="77"/>
  <c r="D23" i="60"/>
  <c r="C23" i="60"/>
  <c r="D19" i="84"/>
  <c r="C19" i="84"/>
  <c r="C20" i="102"/>
  <c r="D20" i="102"/>
  <c r="C20" i="71"/>
  <c r="D20" i="71"/>
  <c r="D25" i="88"/>
  <c r="C25" i="88"/>
  <c r="D26" i="89"/>
  <c r="C26" i="89"/>
  <c r="D26" i="104"/>
  <c r="C26" i="104"/>
  <c r="C23" i="79"/>
  <c r="D23" i="79"/>
  <c r="D20" i="103"/>
  <c r="C20" i="103"/>
  <c r="C23" i="88"/>
  <c r="D23" i="88"/>
  <c r="D25" i="99"/>
  <c r="C25" i="99"/>
  <c r="C23" i="66"/>
  <c r="D23" i="66"/>
  <c r="D24" i="77"/>
  <c r="C24" i="77"/>
  <c r="C26" i="60"/>
  <c r="D26" i="60"/>
  <c r="D18" i="105"/>
  <c r="C18" i="105"/>
  <c r="C26" i="102"/>
  <c r="D26" i="102"/>
  <c r="D23" i="71"/>
  <c r="C23" i="71"/>
  <c r="D19" i="58"/>
  <c r="C19" i="58"/>
  <c r="D22" i="88"/>
  <c r="C22" i="88"/>
  <c r="D23" i="89"/>
  <c r="C23" i="89"/>
  <c r="C26" i="79"/>
  <c r="D26" i="79"/>
  <c r="D23" i="103"/>
  <c r="C23" i="103"/>
  <c r="D26" i="88"/>
  <c r="C26" i="88"/>
  <c r="D19" i="99"/>
  <c r="C19" i="99"/>
  <c r="D23" i="97"/>
  <c r="C23" i="97"/>
  <c r="C18" i="61"/>
  <c r="D18" i="61"/>
  <c r="C18" i="84"/>
  <c r="D18" i="84"/>
  <c r="D20" i="60"/>
  <c r="C20" i="60"/>
  <c r="D24" i="105"/>
  <c r="C24" i="105"/>
  <c r="C26" i="71"/>
  <c r="D26" i="71"/>
  <c r="C25" i="58"/>
  <c r="D25" i="58"/>
  <c r="D19" i="88"/>
  <c r="C19" i="88"/>
  <c r="D20" i="89"/>
  <c r="C20" i="89"/>
  <c r="C20" i="80"/>
  <c r="D20" i="80"/>
  <c r="C26" i="103"/>
  <c r="D26" i="103"/>
  <c r="C20" i="88"/>
  <c r="D20" i="88"/>
  <c r="D20" i="97"/>
  <c r="C20" i="97"/>
  <c r="C21" i="61"/>
  <c r="D21" i="61"/>
  <c r="D21" i="84"/>
  <c r="C21" i="84"/>
  <c r="C21" i="105"/>
  <c r="D21" i="105"/>
  <c r="C22" i="58"/>
  <c r="D22" i="58"/>
  <c r="D23" i="80"/>
  <c r="C23" i="80"/>
  <c r="D23" i="93"/>
  <c r="C23" i="93"/>
  <c r="C19" i="65"/>
  <c r="D19" i="65"/>
  <c r="D26" i="97"/>
  <c r="C26" i="97"/>
  <c r="C24" i="61"/>
  <c r="D24" i="61"/>
  <c r="D24" i="84"/>
  <c r="C24" i="84"/>
  <c r="D26" i="80"/>
  <c r="C26" i="80"/>
  <c r="D20" i="93"/>
  <c r="C20" i="93"/>
  <c r="D25" i="65"/>
  <c r="C25" i="65"/>
  <c r="D22" i="69"/>
  <c r="C22" i="69"/>
  <c r="C18" i="101"/>
  <c r="D18" i="101"/>
  <c r="D21" i="94"/>
  <c r="C21" i="94"/>
  <c r="D24" i="90"/>
  <c r="C24" i="90"/>
  <c r="D18" i="90"/>
  <c r="C18" i="90"/>
  <c r="D23" i="92"/>
  <c r="C23" i="92"/>
  <c r="D24" i="63"/>
  <c r="C24" i="63"/>
  <c r="D20" i="75"/>
  <c r="C20" i="75"/>
  <c r="C24" i="94"/>
  <c r="D24" i="94"/>
  <c r="C24" i="72"/>
  <c r="D24" i="72"/>
  <c r="C20" i="94"/>
  <c r="D20" i="94"/>
  <c r="D26" i="59"/>
  <c r="C26" i="59"/>
  <c r="D22" i="78"/>
  <c r="C22" i="78"/>
  <c r="D21" i="71"/>
  <c r="C21" i="71"/>
  <c r="C19" i="105"/>
  <c r="D19" i="105"/>
  <c r="D26" i="93"/>
  <c r="C26" i="93"/>
  <c r="D20" i="73"/>
  <c r="C20" i="73"/>
  <c r="C21" i="58"/>
  <c r="D21" i="58"/>
  <c r="D19" i="74"/>
  <c r="C19" i="74"/>
  <c r="D25" i="68"/>
  <c r="C25" i="68"/>
  <c r="C24" i="79"/>
  <c r="D24" i="79"/>
  <c r="C19" i="69"/>
  <c r="D19" i="69"/>
  <c r="D24" i="101"/>
  <c r="C24" i="101"/>
  <c r="C24" i="81"/>
  <c r="D24" i="81"/>
  <c r="D19" i="77"/>
  <c r="C19" i="77"/>
  <c r="D25" i="80"/>
  <c r="C25" i="80"/>
  <c r="D19" i="68"/>
  <c r="C19" i="68"/>
  <c r="D21" i="79"/>
  <c r="C21" i="79"/>
  <c r="D24" i="91"/>
  <c r="C24" i="91"/>
  <c r="D21" i="81"/>
  <c r="C21" i="81"/>
  <c r="C21" i="69"/>
  <c r="D21" i="69"/>
  <c r="D18" i="58"/>
  <c r="C18" i="58"/>
  <c r="D21" i="73"/>
  <c r="C21" i="73"/>
  <c r="C25" i="76"/>
  <c r="D25" i="76"/>
  <c r="D22" i="98"/>
  <c r="C22" i="98"/>
  <c r="D25" i="77"/>
  <c r="C25" i="77"/>
  <c r="C22" i="80"/>
  <c r="D22" i="80"/>
  <c r="C21" i="96"/>
  <c r="D21" i="96"/>
  <c r="C18" i="79"/>
  <c r="D18" i="79"/>
  <c r="D21" i="91"/>
  <c r="C21" i="91"/>
  <c r="D23" i="83"/>
  <c r="C23" i="83"/>
  <c r="D23" i="107"/>
  <c r="C23" i="107"/>
  <c r="D18" i="107"/>
  <c r="C18" i="107"/>
  <c r="D19" i="80"/>
  <c r="C19" i="80"/>
  <c r="D20" i="82"/>
  <c r="C20" i="82"/>
  <c r="D18" i="96"/>
  <c r="C18" i="96"/>
  <c r="C23" i="63"/>
  <c r="D23" i="63"/>
  <c r="D23" i="95"/>
  <c r="C23" i="95"/>
  <c r="D18" i="91"/>
  <c r="C18" i="91"/>
  <c r="C18" i="69"/>
  <c r="D18" i="69"/>
  <c r="D18" i="73"/>
  <c r="C18" i="73"/>
  <c r="D19" i="90"/>
  <c r="C19" i="90"/>
  <c r="D26" i="83"/>
  <c r="C26" i="83"/>
  <c r="D18" i="59"/>
  <c r="C18" i="59"/>
  <c r="D20" i="101"/>
  <c r="C20" i="101"/>
  <c r="C20" i="67"/>
  <c r="D20" i="67"/>
  <c r="D21" i="107"/>
  <c r="C21" i="107"/>
  <c r="C19" i="98"/>
  <c r="D19" i="98"/>
  <c r="C23" i="86"/>
  <c r="D23" i="86"/>
  <c r="D25" i="64"/>
  <c r="C25" i="64"/>
  <c r="C22" i="90"/>
  <c r="D22" i="90"/>
  <c r="D19" i="81"/>
  <c r="C19" i="81"/>
  <c r="C24" i="103"/>
  <c r="D24" i="103"/>
  <c r="D26" i="86"/>
  <c r="C26" i="86"/>
  <c r="D24" i="64"/>
  <c r="C24" i="64"/>
  <c r="C22" i="64"/>
  <c r="D22" i="64"/>
  <c r="C22" i="72"/>
  <c r="D22" i="72"/>
  <c r="D26" i="101"/>
  <c r="C26" i="101"/>
  <c r="C18" i="83"/>
  <c r="D18" i="83"/>
  <c r="D18" i="100"/>
  <c r="C18" i="100"/>
  <c r="C20" i="86"/>
  <c r="D20" i="86"/>
  <c r="C21" i="64"/>
  <c r="D21" i="64"/>
  <c r="D19" i="64"/>
  <c r="C19" i="64"/>
  <c r="D25" i="72"/>
  <c r="C25" i="72"/>
  <c r="D22" i="87"/>
  <c r="C22" i="87"/>
  <c r="D21" i="83"/>
  <c r="C21" i="83"/>
  <c r="D21" i="100"/>
  <c r="C21" i="100"/>
  <c r="D21" i="70"/>
  <c r="C21" i="70"/>
  <c r="D19" i="86"/>
  <c r="C19" i="86"/>
  <c r="D23" i="74"/>
  <c r="C23" i="74"/>
  <c r="C26" i="65"/>
  <c r="D26" i="65"/>
  <c r="D18" i="104"/>
  <c r="C18" i="104"/>
  <c r="C22" i="60"/>
  <c r="D22" i="60"/>
  <c r="C19" i="87"/>
  <c r="D19" i="87"/>
  <c r="C24" i="83"/>
  <c r="D24" i="83"/>
  <c r="D21" i="66"/>
  <c r="C21" i="66"/>
  <c r="C24" i="70"/>
  <c r="D24" i="70"/>
  <c r="C18" i="97"/>
  <c r="D18" i="97"/>
  <c r="D22" i="86"/>
  <c r="C22" i="86"/>
  <c r="C25" i="108"/>
  <c r="D25" i="108"/>
  <c r="C26" i="74"/>
  <c r="D26" i="74"/>
  <c r="C25" i="89"/>
  <c r="D25" i="89"/>
  <c r="D26" i="61"/>
  <c r="C26" i="61"/>
  <c r="D25" i="87"/>
  <c r="C25" i="87"/>
  <c r="D24" i="102"/>
  <c r="C24" i="102"/>
  <c r="C20" i="85"/>
  <c r="D20" i="85"/>
  <c r="C24" i="66"/>
  <c r="D24" i="66"/>
  <c r="D21" i="75"/>
  <c r="C21" i="75"/>
  <c r="C18" i="70"/>
  <c r="D18" i="70"/>
  <c r="C21" i="97"/>
  <c r="D21" i="97"/>
  <c r="D25" i="86"/>
  <c r="C25" i="86"/>
  <c r="D19" i="108"/>
  <c r="C19" i="108"/>
  <c r="D23" i="78"/>
  <c r="C23" i="78"/>
  <c r="C23" i="65"/>
  <c r="D23" i="65"/>
  <c r="C23" i="76"/>
  <c r="D23" i="76"/>
  <c r="D21" i="104"/>
  <c r="C21" i="104"/>
  <c r="C19" i="93"/>
  <c r="D19" i="93"/>
  <c r="D23" i="96"/>
  <c r="C23" i="96"/>
  <c r="C25" i="60"/>
  <c r="D25" i="60"/>
  <c r="D23" i="61"/>
  <c r="C23" i="61"/>
  <c r="D21" i="92"/>
  <c r="C21" i="92"/>
  <c r="C21" i="102"/>
  <c r="D21" i="102"/>
  <c r="C26" i="85"/>
  <c r="D26" i="85"/>
  <c r="D18" i="66"/>
  <c r="C18" i="66"/>
  <c r="D24" i="75"/>
  <c r="C24" i="75"/>
  <c r="D24" i="97"/>
  <c r="C24" i="97"/>
  <c r="D18" i="68"/>
  <c r="C18" i="68"/>
  <c r="D25" i="62"/>
  <c r="C25" i="62"/>
  <c r="D20" i="78"/>
  <c r="C20" i="78"/>
  <c r="C26" i="76"/>
  <c r="D26" i="76"/>
  <c r="C23" i="87"/>
  <c r="D23" i="87"/>
  <c r="D22" i="93"/>
  <c r="C22" i="93"/>
  <c r="D20" i="96"/>
  <c r="C20" i="96"/>
  <c r="C25" i="85"/>
  <c r="D25" i="85"/>
  <c r="C20" i="61"/>
  <c r="D20" i="61"/>
  <c r="D18" i="92"/>
  <c r="C18" i="92"/>
  <c r="D18" i="102"/>
  <c r="C18" i="102"/>
  <c r="D23" i="85"/>
  <c r="C23" i="85"/>
  <c r="C18" i="75"/>
  <c r="D18" i="75"/>
  <c r="D20" i="92"/>
  <c r="C20" i="92"/>
  <c r="D21" i="68"/>
  <c r="C21" i="68"/>
  <c r="C19" i="62"/>
  <c r="D19" i="62"/>
  <c r="C26" i="78"/>
  <c r="D26" i="78"/>
  <c r="C20" i="87"/>
  <c r="D20" i="87"/>
  <c r="D26" i="96"/>
  <c r="C26" i="96"/>
  <c r="D25" i="82"/>
  <c r="C25" i="82"/>
  <c r="C19" i="95"/>
  <c r="D19" i="95"/>
  <c r="D24" i="99"/>
  <c r="C24" i="99"/>
  <c r="C19" i="78"/>
  <c r="D19" i="78"/>
  <c r="C18" i="71"/>
  <c r="D18" i="71"/>
  <c r="D22" i="68"/>
  <c r="C22" i="68"/>
  <c r="C22" i="65"/>
  <c r="D22" i="65"/>
  <c r="D25" i="69"/>
  <c r="C25" i="69"/>
  <c r="D21" i="101"/>
  <c r="C21" i="101"/>
  <c r="D18" i="81"/>
  <c r="C18" i="81"/>
  <c r="C25" i="78"/>
  <c r="D25" i="78"/>
  <c r="D24" i="71"/>
  <c r="C24" i="71"/>
  <c r="D19" i="76"/>
  <c r="C19" i="76"/>
  <c r="D22" i="105"/>
  <c r="C22" i="105"/>
  <c r="D22" i="77"/>
  <c r="C22" i="77"/>
  <c r="D23" i="73"/>
  <c r="C23" i="73"/>
  <c r="C24" i="58"/>
  <c r="D24" i="58"/>
  <c r="D22" i="76"/>
  <c r="C22" i="76"/>
  <c r="D20" i="107"/>
  <c r="C20" i="107"/>
  <c r="D22" i="74"/>
  <c r="C22" i="74"/>
  <c r="D25" i="105"/>
  <c r="C25" i="105"/>
  <c r="C26" i="73"/>
  <c r="D26" i="73"/>
  <c r="C20" i="95"/>
  <c r="D20" i="95"/>
  <c r="C20" i="83"/>
  <c r="D20" i="83"/>
  <c r="C26" i="107"/>
  <c r="D26" i="107"/>
  <c r="D25" i="74"/>
  <c r="C25" i="74"/>
  <c r="D20" i="63"/>
  <c r="C20" i="63"/>
  <c r="C26" i="95"/>
  <c r="D26" i="95"/>
  <c r="C24" i="69"/>
  <c r="D24" i="69"/>
  <c r="D24" i="73"/>
  <c r="C24" i="73"/>
  <c r="C25" i="90"/>
  <c r="D25" i="90"/>
  <c r="C24" i="59"/>
  <c r="D24" i="59"/>
  <c r="C26" i="67"/>
  <c r="D26" i="67"/>
  <c r="C25" i="98"/>
  <c r="D25" i="98"/>
  <c r="D25" i="81"/>
  <c r="C25" i="81"/>
  <c r="D26" i="82"/>
  <c r="C26" i="82"/>
  <c r="C24" i="96"/>
  <c r="D24" i="96"/>
  <c r="C26" i="63"/>
  <c r="D26" i="63"/>
  <c r="C22" i="81"/>
  <c r="D22" i="81"/>
  <c r="D21" i="103"/>
  <c r="C21" i="103"/>
  <c r="C21" i="59"/>
  <c r="D21" i="59"/>
  <c r="C23" i="101"/>
  <c r="D23" i="101"/>
  <c r="D23" i="67"/>
  <c r="C23" i="67"/>
  <c r="D24" i="107"/>
  <c r="C24" i="107"/>
  <c r="D23" i="82"/>
  <c r="C23" i="82"/>
  <c r="D20" i="74"/>
  <c r="C20" i="74"/>
  <c r="C18" i="103"/>
  <c r="D18" i="103"/>
  <c r="C22" i="89"/>
  <c r="D22" i="89"/>
  <c r="D22" i="108"/>
  <c r="C22" i="108"/>
  <c r="C18" i="64"/>
  <c r="C28" i="64" s="1"/>
  <c r="D18" i="64"/>
  <c r="C19" i="89"/>
  <c r="D19" i="89"/>
  <c r="C19" i="72"/>
  <c r="D19" i="72"/>
  <c r="D24" i="100"/>
  <c r="C24" i="100"/>
  <c r="C20" i="65"/>
  <c r="D20" i="65"/>
  <c r="C20" i="76"/>
  <c r="D20" i="76"/>
  <c r="D24" i="104"/>
  <c r="C24" i="104"/>
  <c r="C25" i="93"/>
  <c r="D25" i="93"/>
  <c r="D19" i="60"/>
  <c r="D28" i="60" s="1"/>
  <c r="C19" i="60"/>
  <c r="D22" i="85"/>
  <c r="C22" i="85"/>
  <c r="C19" i="82"/>
  <c r="D19" i="82"/>
  <c r="C24" i="92"/>
  <c r="D24" i="92"/>
  <c r="C22" i="95"/>
  <c r="D22" i="95"/>
  <c r="C21" i="99"/>
  <c r="D21" i="99"/>
  <c r="C21" i="90"/>
  <c r="D21" i="90"/>
  <c r="D26" i="92"/>
  <c r="C26" i="92"/>
  <c r="D24" i="68"/>
  <c r="C24" i="68"/>
  <c r="C22" i="62"/>
  <c r="D22" i="62"/>
  <c r="C23" i="59"/>
  <c r="D23" i="59"/>
  <c r="C26" i="87"/>
  <c r="D26" i="87"/>
  <c r="O9" i="2"/>
  <c r="O7" i="2"/>
  <c r="E97" i="60"/>
  <c r="E128" i="56"/>
  <c r="E97" i="101"/>
  <c r="E97" i="98"/>
  <c r="E97" i="96"/>
  <c r="E97" i="90"/>
  <c r="E97" i="89"/>
  <c r="E97" i="88"/>
  <c r="E97" i="86"/>
  <c r="E97" i="85"/>
  <c r="E97" i="82"/>
  <c r="E97" i="81"/>
  <c r="E97" i="80"/>
  <c r="E97" i="79"/>
  <c r="E97" i="77"/>
  <c r="E97" i="76"/>
  <c r="E97" i="75"/>
  <c r="E97" i="74"/>
  <c r="E97" i="73"/>
  <c r="E97" i="72"/>
  <c r="E97" i="70"/>
  <c r="E97" i="69"/>
  <c r="E97" i="68"/>
  <c r="E98" i="67"/>
  <c r="E97" i="67"/>
  <c r="E98" i="66"/>
  <c r="E97" i="66"/>
  <c r="E97" i="64"/>
  <c r="E97" i="62"/>
  <c r="E97" i="61"/>
  <c r="E97" i="59"/>
  <c r="E97" i="107"/>
  <c r="E97" i="2"/>
  <c r="C28" i="104" l="1"/>
  <c r="C28" i="62"/>
  <c r="D28" i="96"/>
  <c r="C28" i="93"/>
  <c r="C28" i="96"/>
  <c r="D28" i="104"/>
  <c r="D28" i="83"/>
  <c r="C28" i="83"/>
  <c r="C28" i="100"/>
  <c r="D28" i="75"/>
  <c r="C28" i="60"/>
  <c r="C28" i="74"/>
  <c r="D28" i="86"/>
  <c r="D28" i="105"/>
  <c r="D28" i="100"/>
  <c r="C28" i="102"/>
  <c r="D28" i="66"/>
  <c r="C28" i="66"/>
  <c r="C28" i="78"/>
  <c r="D28" i="80"/>
  <c r="C28" i="107"/>
  <c r="D28" i="108"/>
  <c r="C28" i="95"/>
  <c r="D28" i="107"/>
  <c r="C28" i="89"/>
  <c r="D28" i="82"/>
  <c r="C28" i="88"/>
  <c r="D28" i="97"/>
  <c r="D28" i="68"/>
  <c r="C28" i="86"/>
  <c r="C28" i="77"/>
  <c r="C28" i="108"/>
  <c r="D28" i="65"/>
  <c r="C28" i="82"/>
  <c r="D28" i="88"/>
  <c r="C28" i="103"/>
  <c r="D28" i="90"/>
  <c r="D28" i="72"/>
  <c r="C28" i="80"/>
  <c r="C28" i="63"/>
  <c r="C28" i="75"/>
  <c r="D28" i="63"/>
  <c r="C28" i="59"/>
  <c r="D28" i="89"/>
  <c r="C28" i="90"/>
  <c r="D28" i="103"/>
  <c r="C28" i="97"/>
  <c r="C28" i="99"/>
  <c r="C28" i="94"/>
  <c r="C28" i="69"/>
  <c r="C28" i="101"/>
  <c r="D28" i="98"/>
  <c r="D28" i="87"/>
  <c r="D28" i="64"/>
  <c r="D28" i="84"/>
  <c r="C28" i="105"/>
  <c r="D28" i="102"/>
  <c r="C28" i="98"/>
  <c r="D28" i="73"/>
  <c r="C28" i="70"/>
  <c r="D28" i="81"/>
  <c r="C28" i="71"/>
  <c r="D28" i="93"/>
  <c r="C28" i="87"/>
  <c r="D28" i="91"/>
  <c r="C28" i="84"/>
  <c r="D28" i="67"/>
  <c r="D28" i="85"/>
  <c r="D28" i="62"/>
  <c r="D28" i="76"/>
  <c r="D28" i="59"/>
  <c r="C28" i="91"/>
  <c r="D28" i="99"/>
  <c r="C28" i="81"/>
  <c r="C28" i="79"/>
  <c r="D28" i="101"/>
  <c r="C28" i="92"/>
  <c r="D28" i="61"/>
  <c r="C28" i="85"/>
  <c r="C28" i="68"/>
  <c r="D28" i="77"/>
  <c r="E26" i="77" s="1"/>
  <c r="D28" i="78"/>
  <c r="D28" i="95"/>
  <c r="C28" i="76"/>
  <c r="D28" i="79"/>
  <c r="D28" i="74"/>
  <c r="C28" i="73"/>
  <c r="C28" i="72"/>
  <c r="D28" i="94"/>
  <c r="D28" i="69"/>
  <c r="D28" i="71"/>
  <c r="C28" i="65"/>
  <c r="D28" i="92"/>
  <c r="C28" i="61"/>
  <c r="C50" i="76"/>
  <c r="C50" i="64"/>
  <c r="K57" i="57" l="1"/>
  <c r="V32" i="101"/>
  <c r="T55" i="100"/>
  <c r="T97" i="62" l="1"/>
  <c r="E98" i="62"/>
  <c r="T97" i="68"/>
  <c r="T97" i="67"/>
  <c r="T97" i="66"/>
  <c r="F483" i="106" l="1"/>
  <c r="E58" i="54"/>
  <c r="D58" i="54"/>
  <c r="Y37" i="101"/>
  <c r="Y36" i="101"/>
  <c r="Y37" i="76" l="1"/>
  <c r="Y36" i="76"/>
  <c r="Y37" i="68"/>
  <c r="Y36" i="68"/>
  <c r="Y37" i="67"/>
  <c r="Y36" i="67"/>
  <c r="Y37" i="66"/>
  <c r="Y36" i="66"/>
  <c r="Y37" i="63"/>
  <c r="Y36" i="63"/>
  <c r="Y37" i="62"/>
  <c r="Y36" i="62"/>
  <c r="Y37" i="61"/>
  <c r="Y36" i="61"/>
  <c r="Y37" i="58"/>
  <c r="Y36" i="58"/>
  <c r="T50" i="2" l="1"/>
  <c r="J57" i="57"/>
  <c r="J118" i="2" l="1"/>
  <c r="Q5" i="57"/>
  <c r="F491" i="106"/>
  <c r="G32" i="2" l="1"/>
  <c r="J118" i="108"/>
  <c r="Q85" i="57"/>
  <c r="I57" i="57" l="1"/>
  <c r="H118" i="57" l="1"/>
  <c r="Q18" i="57"/>
  <c r="H57" i="57"/>
  <c r="Q73" i="57" l="1"/>
  <c r="J118" i="107" s="1"/>
  <c r="H126" i="57"/>
  <c r="G57" i="57" l="1"/>
  <c r="V86" i="85" l="1"/>
  <c r="T12" i="77"/>
  <c r="G126" i="57" l="1"/>
  <c r="C50" i="103"/>
  <c r="V19" i="54"/>
  <c r="U19" i="54"/>
  <c r="D146" i="106"/>
  <c r="D8" i="106"/>
  <c r="V7" i="54"/>
  <c r="U7" i="54"/>
  <c r="Y104" i="108"/>
  <c r="V103" i="108"/>
  <c r="J104" i="108"/>
  <c r="G103" i="108"/>
  <c r="J98" i="108"/>
  <c r="E98" i="108"/>
  <c r="T97" i="108"/>
  <c r="J97" i="108"/>
  <c r="E97" i="108"/>
  <c r="T96" i="108"/>
  <c r="T92" i="108"/>
  <c r="V92" i="108"/>
  <c r="T91" i="108"/>
  <c r="V91" i="108"/>
  <c r="T90" i="108"/>
  <c r="V90" i="108"/>
  <c r="V85" i="108"/>
  <c r="V83" i="108"/>
  <c r="I84" i="108"/>
  <c r="J81" i="108"/>
  <c r="Y80" i="108"/>
  <c r="V71" i="108"/>
  <c r="V70" i="108"/>
  <c r="V67" i="108"/>
  <c r="X64" i="108"/>
  <c r="X61" i="108"/>
  <c r="X58" i="108"/>
  <c r="X55" i="108"/>
  <c r="X52" i="108"/>
  <c r="T50" i="108"/>
  <c r="D50" i="108"/>
  <c r="C50" i="108"/>
  <c r="Y49" i="108"/>
  <c r="E49" i="108"/>
  <c r="Y48" i="108"/>
  <c r="E48" i="108"/>
  <c r="Y47" i="108"/>
  <c r="E47" i="108"/>
  <c r="E46" i="108"/>
  <c r="Y45" i="108"/>
  <c r="E45" i="108"/>
  <c r="Y44" i="108"/>
  <c r="E44" i="108"/>
  <c r="Y43" i="108"/>
  <c r="E43" i="108"/>
  <c r="E42" i="108"/>
  <c r="Y41" i="108"/>
  <c r="E41" i="108"/>
  <c r="Y37" i="108"/>
  <c r="J37" i="108"/>
  <c r="Y36" i="108"/>
  <c r="Y38" i="108" s="1"/>
  <c r="J36" i="108"/>
  <c r="J38" i="108" s="1"/>
  <c r="G32" i="108"/>
  <c r="V32" i="108"/>
  <c r="E23" i="108"/>
  <c r="T6" i="108"/>
  <c r="R2" i="108"/>
  <c r="G103" i="107"/>
  <c r="X97" i="107"/>
  <c r="Y97" i="107" s="1"/>
  <c r="E98" i="107"/>
  <c r="T97" i="107"/>
  <c r="T96" i="107"/>
  <c r="T92" i="107"/>
  <c r="V92" i="107"/>
  <c r="T91" i="107"/>
  <c r="V91" i="107"/>
  <c r="T90" i="107"/>
  <c r="V90" i="107"/>
  <c r="V87" i="107"/>
  <c r="V86" i="107"/>
  <c r="V85" i="107"/>
  <c r="V83" i="107"/>
  <c r="Y81" i="107"/>
  <c r="X83" i="107" s="1"/>
  <c r="J81" i="107"/>
  <c r="Y80" i="107"/>
  <c r="V71" i="107"/>
  <c r="V67" i="107"/>
  <c r="X64" i="107"/>
  <c r="X61" i="107"/>
  <c r="X58" i="107"/>
  <c r="X55" i="107"/>
  <c r="X52" i="107"/>
  <c r="T50" i="107"/>
  <c r="D50" i="107"/>
  <c r="C50" i="107"/>
  <c r="Y49" i="107"/>
  <c r="E49" i="107"/>
  <c r="Y48" i="107"/>
  <c r="E48" i="107"/>
  <c r="Y47" i="107"/>
  <c r="E47" i="107"/>
  <c r="Y46" i="107"/>
  <c r="E46" i="107"/>
  <c r="Y45" i="107"/>
  <c r="E45" i="107"/>
  <c r="Y44" i="107"/>
  <c r="E44" i="107"/>
  <c r="Y43" i="107"/>
  <c r="E43" i="107"/>
  <c r="Y42" i="107"/>
  <c r="E42" i="107"/>
  <c r="Y41" i="107"/>
  <c r="E41" i="107"/>
  <c r="Y37" i="107"/>
  <c r="J37" i="107"/>
  <c r="Y36" i="107"/>
  <c r="J36" i="107"/>
  <c r="G32" i="107"/>
  <c r="V32" i="107"/>
  <c r="E24" i="107"/>
  <c r="T6" i="107"/>
  <c r="D90" i="107"/>
  <c r="R2" i="107"/>
  <c r="J81" i="105"/>
  <c r="J81" i="104"/>
  <c r="J81" i="103"/>
  <c r="J81" i="89"/>
  <c r="J81" i="88"/>
  <c r="J81" i="85"/>
  <c r="J81" i="82"/>
  <c r="J81" i="81"/>
  <c r="J81" i="79"/>
  <c r="J81" i="77"/>
  <c r="J37" i="76"/>
  <c r="J81" i="74"/>
  <c r="J97" i="107" l="1"/>
  <c r="J46" i="108"/>
  <c r="J42" i="108"/>
  <c r="E21" i="108"/>
  <c r="T21" i="108" s="1"/>
  <c r="X21" i="108" s="1"/>
  <c r="Y21" i="108" s="1"/>
  <c r="E20" i="108"/>
  <c r="I20" i="108" s="1"/>
  <c r="J20" i="108" s="1"/>
  <c r="E27" i="108"/>
  <c r="I27" i="108" s="1"/>
  <c r="J27" i="108" s="1"/>
  <c r="E14" i="108"/>
  <c r="I14" i="108" s="1"/>
  <c r="J14" i="108" s="1"/>
  <c r="E17" i="108"/>
  <c r="I17" i="108" s="1"/>
  <c r="J17" i="108" s="1"/>
  <c r="E12" i="108"/>
  <c r="T12" i="108" s="1"/>
  <c r="X12" i="108" s="1"/>
  <c r="E18" i="108"/>
  <c r="T18" i="108" s="1"/>
  <c r="X18" i="108" s="1"/>
  <c r="Y18" i="108" s="1"/>
  <c r="E22" i="108"/>
  <c r="T22" i="108" s="1"/>
  <c r="X22" i="108" s="1"/>
  <c r="Y22" i="108" s="1"/>
  <c r="E24" i="108"/>
  <c r="I24" i="108" s="1"/>
  <c r="J24" i="108" s="1"/>
  <c r="E19" i="108"/>
  <c r="T19" i="108" s="1"/>
  <c r="X19" i="108" s="1"/>
  <c r="Y19" i="108" s="1"/>
  <c r="J31" i="108"/>
  <c r="Y31" i="108" s="1"/>
  <c r="Y32" i="108" s="1"/>
  <c r="X97" i="108"/>
  <c r="Y97" i="108" s="1"/>
  <c r="Y46" i="108"/>
  <c r="J49" i="107"/>
  <c r="X96" i="107"/>
  <c r="Y96" i="107" s="1"/>
  <c r="J47" i="107"/>
  <c r="X96" i="108"/>
  <c r="Y96" i="108" s="1"/>
  <c r="J41" i="107"/>
  <c r="J45" i="107"/>
  <c r="J44" i="108"/>
  <c r="J48" i="107"/>
  <c r="J48" i="108"/>
  <c r="J47" i="108"/>
  <c r="J41" i="108"/>
  <c r="Y42" i="108"/>
  <c r="J43" i="108"/>
  <c r="J102" i="108"/>
  <c r="J43" i="107"/>
  <c r="J44" i="107"/>
  <c r="D90" i="108"/>
  <c r="J45" i="108"/>
  <c r="J49" i="108"/>
  <c r="J46" i="107"/>
  <c r="D92" i="107"/>
  <c r="J42" i="107"/>
  <c r="I84" i="107"/>
  <c r="J84" i="107" s="1"/>
  <c r="J102" i="107"/>
  <c r="D92" i="108"/>
  <c r="E50" i="108"/>
  <c r="E15" i="107"/>
  <c r="I15" i="107" s="1"/>
  <c r="J15" i="107" s="1"/>
  <c r="E17" i="107"/>
  <c r="T17" i="107" s="1"/>
  <c r="X17" i="107" s="1"/>
  <c r="Y17" i="107" s="1"/>
  <c r="E21" i="107"/>
  <c r="I21" i="107" s="1"/>
  <c r="J21" i="107" s="1"/>
  <c r="J84" i="108"/>
  <c r="I23" i="108"/>
  <c r="J23" i="108" s="1"/>
  <c r="T23" i="108"/>
  <c r="X23" i="108" s="1"/>
  <c r="Y23" i="108" s="1"/>
  <c r="Y103" i="108"/>
  <c r="Y102" i="108"/>
  <c r="J103" i="108"/>
  <c r="Y81" i="108"/>
  <c r="X83" i="108" s="1"/>
  <c r="Y83" i="108" s="1"/>
  <c r="T14" i="108"/>
  <c r="X14" i="108" s="1"/>
  <c r="T24" i="108"/>
  <c r="X24" i="108" s="1"/>
  <c r="Y24" i="108" s="1"/>
  <c r="E15" i="108"/>
  <c r="E25" i="108"/>
  <c r="V87" i="108"/>
  <c r="T17" i="108"/>
  <c r="X17" i="108" s="1"/>
  <c r="Y17" i="108" s="1"/>
  <c r="T27" i="108"/>
  <c r="X27" i="108" s="1"/>
  <c r="Y27" i="108" s="1"/>
  <c r="V86" i="108"/>
  <c r="T20" i="108"/>
  <c r="X20" i="108" s="1"/>
  <c r="Y20" i="108" s="1"/>
  <c r="D91" i="108"/>
  <c r="E16" i="108"/>
  <c r="E26" i="108"/>
  <c r="E13" i="108"/>
  <c r="Y50" i="107"/>
  <c r="Y83" i="107"/>
  <c r="I24" i="107"/>
  <c r="J24" i="107" s="1"/>
  <c r="T24" i="107"/>
  <c r="X24" i="107" s="1"/>
  <c r="Y24" i="107" s="1"/>
  <c r="T21" i="107"/>
  <c r="X21" i="107" s="1"/>
  <c r="Y21" i="107" s="1"/>
  <c r="V103" i="107"/>
  <c r="Y103" i="107" s="1"/>
  <c r="J103" i="107"/>
  <c r="E20" i="107"/>
  <c r="E50" i="107"/>
  <c r="E25" i="107"/>
  <c r="E14" i="107"/>
  <c r="J38" i="107"/>
  <c r="J98" i="107"/>
  <c r="T15" i="107"/>
  <c r="X15" i="107" s="1"/>
  <c r="Y15" i="107" s="1"/>
  <c r="V70" i="107"/>
  <c r="J104" i="107"/>
  <c r="J31" i="107"/>
  <c r="D91" i="107"/>
  <c r="Y38" i="107"/>
  <c r="E19" i="107"/>
  <c r="E23" i="107"/>
  <c r="E13" i="107"/>
  <c r="E26" i="107"/>
  <c r="E16" i="107"/>
  <c r="E22" i="107"/>
  <c r="E12" i="107"/>
  <c r="E18" i="107"/>
  <c r="E27" i="107"/>
  <c r="I12" i="108" l="1"/>
  <c r="J12" i="108" s="1"/>
  <c r="I18" i="108"/>
  <c r="J18" i="108" s="1"/>
  <c r="I21" i="108"/>
  <c r="J21" i="108" s="1"/>
  <c r="I19" i="108"/>
  <c r="J19" i="108" s="1"/>
  <c r="I22" i="108"/>
  <c r="J22" i="108" s="1"/>
  <c r="I17" i="107"/>
  <c r="J17" i="107" s="1"/>
  <c r="Y50" i="108"/>
  <c r="J32" i="108"/>
  <c r="J105" i="107"/>
  <c r="J50" i="108"/>
  <c r="J50" i="107"/>
  <c r="J105" i="108"/>
  <c r="Y105" i="108"/>
  <c r="E28" i="108"/>
  <c r="I25" i="108"/>
  <c r="J25" i="108" s="1"/>
  <c r="T25" i="108"/>
  <c r="X25" i="108" s="1"/>
  <c r="Y25" i="108" s="1"/>
  <c r="I15" i="108"/>
  <c r="T15" i="108"/>
  <c r="X15" i="108" s="1"/>
  <c r="Y15" i="108" s="1"/>
  <c r="Y14" i="108"/>
  <c r="I13" i="108"/>
  <c r="J13" i="108" s="1"/>
  <c r="T13" i="108"/>
  <c r="T26" i="108"/>
  <c r="X26" i="108" s="1"/>
  <c r="Y26" i="108" s="1"/>
  <c r="I26" i="108"/>
  <c r="J26" i="108" s="1"/>
  <c r="T16" i="108"/>
  <c r="X16" i="108" s="1"/>
  <c r="I16" i="108"/>
  <c r="Y12" i="108"/>
  <c r="Y31" i="107"/>
  <c r="Y32" i="107" s="1"/>
  <c r="J32" i="107"/>
  <c r="Y102" i="107"/>
  <c r="Y104" i="107"/>
  <c r="T27" i="107"/>
  <c r="X27" i="107" s="1"/>
  <c r="Y27" i="107" s="1"/>
  <c r="I27" i="107"/>
  <c r="J27" i="107" s="1"/>
  <c r="T18" i="107"/>
  <c r="X18" i="107" s="1"/>
  <c r="Y18" i="107" s="1"/>
  <c r="I18" i="107"/>
  <c r="J18" i="107" s="1"/>
  <c r="I14" i="107"/>
  <c r="T14" i="107"/>
  <c r="X14" i="107" s="1"/>
  <c r="T12" i="107"/>
  <c r="I12" i="107"/>
  <c r="E28" i="107"/>
  <c r="O7" i="54" s="1" a="1"/>
  <c r="O7" i="54" s="1"/>
  <c r="T25" i="107"/>
  <c r="X25" i="107" s="1"/>
  <c r="Y25" i="107" s="1"/>
  <c r="I25" i="107"/>
  <c r="J25" i="107" s="1"/>
  <c r="T22" i="107"/>
  <c r="X22" i="107" s="1"/>
  <c r="Y22" i="107" s="1"/>
  <c r="I22" i="107"/>
  <c r="J22" i="107" s="1"/>
  <c r="T16" i="107"/>
  <c r="X16" i="107" s="1"/>
  <c r="I16" i="107"/>
  <c r="T26" i="107"/>
  <c r="X26" i="107" s="1"/>
  <c r="Y26" i="107" s="1"/>
  <c r="I26" i="107"/>
  <c r="J26" i="107" s="1"/>
  <c r="T20" i="107"/>
  <c r="X20" i="107" s="1"/>
  <c r="Y20" i="107" s="1"/>
  <c r="I20" i="107"/>
  <c r="J20" i="107" s="1"/>
  <c r="I19" i="107"/>
  <c r="J19" i="107" s="1"/>
  <c r="T19" i="107"/>
  <c r="X19" i="107" s="1"/>
  <c r="Y19" i="107" s="1"/>
  <c r="I13" i="107"/>
  <c r="J13" i="107" s="1"/>
  <c r="T13" i="107"/>
  <c r="X13" i="107" s="1"/>
  <c r="Y13" i="107" s="1"/>
  <c r="I23" i="107"/>
  <c r="J23" i="107" s="1"/>
  <c r="T23" i="107"/>
  <c r="X23" i="107" s="1"/>
  <c r="Y23" i="107" s="1"/>
  <c r="B2" i="106"/>
  <c r="D473" i="106"/>
  <c r="D464" i="106"/>
  <c r="D454" i="106"/>
  <c r="D446" i="106"/>
  <c r="D437" i="106"/>
  <c r="D427" i="106"/>
  <c r="D417" i="106"/>
  <c r="D408" i="106"/>
  <c r="G401" i="106"/>
  <c r="D401" i="106"/>
  <c r="D392" i="106"/>
  <c r="D383" i="106"/>
  <c r="D376" i="106"/>
  <c r="D365" i="106"/>
  <c r="D355" i="106"/>
  <c r="D345" i="106"/>
  <c r="D336" i="106"/>
  <c r="D327" i="106"/>
  <c r="D319" i="106"/>
  <c r="D309" i="106"/>
  <c r="D300" i="106"/>
  <c r="D292" i="106"/>
  <c r="D284" i="106"/>
  <c r="D274" i="106"/>
  <c r="D264" i="106"/>
  <c r="D255" i="106"/>
  <c r="D245" i="106"/>
  <c r="D234" i="106"/>
  <c r="D226" i="106"/>
  <c r="D215" i="106"/>
  <c r="D207" i="106"/>
  <c r="D200" i="106"/>
  <c r="D192" i="106"/>
  <c r="D184" i="106"/>
  <c r="D174" i="106"/>
  <c r="D165" i="106"/>
  <c r="D156" i="106"/>
  <c r="A200" i="106"/>
  <c r="A207" i="106" s="1"/>
  <c r="A215" i="106" s="1"/>
  <c r="A226" i="106" s="1"/>
  <c r="A234" i="106" s="1"/>
  <c r="A245" i="106" s="1"/>
  <c r="A255" i="106" s="1"/>
  <c r="A264" i="106" s="1"/>
  <c r="A274" i="106" s="1"/>
  <c r="A284" i="106" s="1"/>
  <c r="A292" i="106" s="1"/>
  <c r="A300" i="106" s="1"/>
  <c r="A309" i="106" s="1"/>
  <c r="A319" i="106" s="1"/>
  <c r="A327" i="106" s="1"/>
  <c r="A336" i="106" s="1"/>
  <c r="A345" i="106" s="1"/>
  <c r="A355" i="106" s="1"/>
  <c r="A365" i="106" s="1"/>
  <c r="A376" i="106" s="1"/>
  <c r="A383" i="106" s="1"/>
  <c r="A392" i="106" s="1"/>
  <c r="A401" i="106" s="1"/>
  <c r="A408" i="106" s="1"/>
  <c r="A417" i="106" s="1"/>
  <c r="A427" i="106" s="1"/>
  <c r="A437" i="106" s="1"/>
  <c r="A446" i="106" s="1"/>
  <c r="A454" i="106" s="1"/>
  <c r="A464" i="106" s="1"/>
  <c r="A473" i="106" s="1"/>
  <c r="D147" i="106"/>
  <c r="D139" i="106"/>
  <c r="D131" i="106"/>
  <c r="D122" i="106"/>
  <c r="D111" i="106"/>
  <c r="D101" i="106"/>
  <c r="D93" i="106"/>
  <c r="D81" i="106"/>
  <c r="K61" i="106"/>
  <c r="D56" i="106"/>
  <c r="F511" i="106" s="1"/>
  <c r="A56" i="106"/>
  <c r="A74" i="106" s="1"/>
  <c r="A81" i="106" s="1"/>
  <c r="A93" i="106" s="1"/>
  <c r="A101" i="106" s="1"/>
  <c r="A111" i="106" s="1"/>
  <c r="A122" i="106" s="1"/>
  <c r="A131" i="106" s="1"/>
  <c r="A139" i="106" s="1"/>
  <c r="D10" i="106"/>
  <c r="F503" i="106" l="1"/>
  <c r="G503" i="106" s="1"/>
  <c r="C62" i="108"/>
  <c r="I63" i="108" s="1"/>
  <c r="I68" i="108" s="1"/>
  <c r="J68" i="108" s="1"/>
  <c r="O19" i="54" a="1"/>
  <c r="O19" i="54" s="1"/>
  <c r="C53" i="108"/>
  <c r="I54" i="108" s="1"/>
  <c r="I70" i="108" s="1"/>
  <c r="C65" i="108"/>
  <c r="I66" i="108" s="1"/>
  <c r="I71" i="108" s="1"/>
  <c r="J71" i="108" s="1"/>
  <c r="C59" i="108"/>
  <c r="I60" i="108" s="1"/>
  <c r="I72" i="108" s="1"/>
  <c r="J72" i="108" s="1"/>
  <c r="S91" i="108"/>
  <c r="X91" i="108" s="1"/>
  <c r="Y105" i="107"/>
  <c r="X13" i="108"/>
  <c r="T28" i="108"/>
  <c r="I28" i="108"/>
  <c r="G33" i="108" s="1"/>
  <c r="J15" i="108"/>
  <c r="B91" i="108"/>
  <c r="I91" i="108" s="1"/>
  <c r="J16" i="108"/>
  <c r="B92" i="108"/>
  <c r="I92" i="108" s="1"/>
  <c r="B90" i="108"/>
  <c r="Y16" i="108"/>
  <c r="S92" i="108"/>
  <c r="X92" i="108" s="1"/>
  <c r="Y16" i="107"/>
  <c r="S92" i="107"/>
  <c r="X92" i="107" s="1"/>
  <c r="C59" i="107"/>
  <c r="I60" i="107" s="1"/>
  <c r="I72" i="107" s="1"/>
  <c r="J72" i="107" s="1"/>
  <c r="C65" i="107"/>
  <c r="I66" i="107" s="1"/>
  <c r="I71" i="107" s="1"/>
  <c r="J71" i="107" s="1"/>
  <c r="C62" i="107"/>
  <c r="I63" i="107" s="1"/>
  <c r="I68" i="107" s="1"/>
  <c r="J68" i="107" s="1"/>
  <c r="C53" i="107"/>
  <c r="I54" i="107" s="1"/>
  <c r="J12" i="107"/>
  <c r="I28" i="107"/>
  <c r="G33" i="107" s="1"/>
  <c r="C56" i="107" s="1"/>
  <c r="B90" i="107"/>
  <c r="X12" i="107"/>
  <c r="T28" i="107"/>
  <c r="S91" i="107"/>
  <c r="X91" i="107" s="1"/>
  <c r="Y14" i="107"/>
  <c r="B91" i="107"/>
  <c r="I91" i="107" s="1"/>
  <c r="J14" i="107"/>
  <c r="J16" i="107"/>
  <c r="B92" i="107"/>
  <c r="I92" i="107" s="1"/>
  <c r="G511" i="106"/>
  <c r="F495" i="106"/>
  <c r="G495" i="106" s="1"/>
  <c r="F497" i="106"/>
  <c r="G497" i="106" s="1"/>
  <c r="F507" i="106"/>
  <c r="G507" i="106" s="1"/>
  <c r="F509" i="106"/>
  <c r="G509" i="106" s="1"/>
  <c r="G491" i="106"/>
  <c r="F492" i="106"/>
  <c r="G492" i="106" s="1"/>
  <c r="F494" i="106"/>
  <c r="G494" i="106" s="1"/>
  <c r="F496" i="106"/>
  <c r="G496" i="106" s="1"/>
  <c r="F498" i="106"/>
  <c r="G498" i="106" s="1"/>
  <c r="F500" i="106"/>
  <c r="G500" i="106" s="1"/>
  <c r="F502" i="106"/>
  <c r="G502" i="106" s="1"/>
  <c r="F504" i="106"/>
  <c r="G504" i="106" s="1"/>
  <c r="F506" i="106"/>
  <c r="G506" i="106" s="1"/>
  <c r="F508" i="106"/>
  <c r="G508" i="106" s="1"/>
  <c r="F510" i="106"/>
  <c r="G510" i="106" s="1"/>
  <c r="F512" i="106"/>
  <c r="G512" i="106" s="1"/>
  <c r="F493" i="106"/>
  <c r="G493" i="106" s="1"/>
  <c r="F499" i="106"/>
  <c r="G499" i="106" s="1"/>
  <c r="F501" i="106"/>
  <c r="G501" i="106" s="1"/>
  <c r="F505" i="106"/>
  <c r="G505" i="106" s="1"/>
  <c r="I57" i="107" l="1"/>
  <c r="I85" i="107" s="1"/>
  <c r="J85" i="107" s="1"/>
  <c r="T55" i="107"/>
  <c r="J28" i="107"/>
  <c r="J33" i="107" s="1"/>
  <c r="J28" i="108"/>
  <c r="J33" i="108" s="1"/>
  <c r="I87" i="108"/>
  <c r="J87" i="108" s="1"/>
  <c r="C56" i="108"/>
  <c r="T64" i="108"/>
  <c r="X65" i="108" s="1"/>
  <c r="X70" i="108" s="1"/>
  <c r="Y70" i="108" s="1"/>
  <c r="T52" i="108"/>
  <c r="X53" i="108" s="1"/>
  <c r="T58" i="108"/>
  <c r="X59" i="108" s="1"/>
  <c r="X71" i="108" s="1"/>
  <c r="Y71" i="108" s="1"/>
  <c r="T61" i="108"/>
  <c r="X62" i="108" s="1"/>
  <c r="X67" i="108" s="1"/>
  <c r="Y67" i="108" s="1"/>
  <c r="B93" i="108"/>
  <c r="I90" i="108"/>
  <c r="J93" i="108" s="1"/>
  <c r="Y13" i="108"/>
  <c r="Y28" i="108" s="1"/>
  <c r="Y33" i="108" s="1"/>
  <c r="X28" i="108"/>
  <c r="S90" i="108"/>
  <c r="T58" i="107"/>
  <c r="X59" i="107" s="1"/>
  <c r="X71" i="107" s="1"/>
  <c r="Y71" i="107" s="1"/>
  <c r="T52" i="107"/>
  <c r="X53" i="107" s="1"/>
  <c r="T61" i="107"/>
  <c r="X62" i="107" s="1"/>
  <c r="X67" i="107" s="1"/>
  <c r="Y67" i="107" s="1"/>
  <c r="T64" i="107"/>
  <c r="X65" i="107" s="1"/>
  <c r="X70" i="107" s="1"/>
  <c r="Y70" i="107" s="1"/>
  <c r="X28" i="107"/>
  <c r="V33" i="107" s="1"/>
  <c r="Y12" i="107"/>
  <c r="Y28" i="107" s="1"/>
  <c r="Y33" i="107" s="1"/>
  <c r="S90" i="107"/>
  <c r="B93" i="107"/>
  <c r="I90" i="107"/>
  <c r="J93" i="107" s="1"/>
  <c r="I87" i="107"/>
  <c r="J87" i="107" s="1"/>
  <c r="I70" i="107"/>
  <c r="F514" i="106"/>
  <c r="F516" i="106" s="1"/>
  <c r="V33" i="108" l="1"/>
  <c r="T55" i="108"/>
  <c r="X56" i="108"/>
  <c r="X85" i="108" s="1"/>
  <c r="I86" i="107"/>
  <c r="J86" i="107" s="1"/>
  <c r="X56" i="107"/>
  <c r="X85" i="107" s="1"/>
  <c r="Y85" i="107" s="1"/>
  <c r="I57" i="108"/>
  <c r="X90" i="108"/>
  <c r="Y93" i="108" s="1"/>
  <c r="S93" i="108"/>
  <c r="X86" i="108"/>
  <c r="Y86" i="108" s="1"/>
  <c r="Y85" i="108"/>
  <c r="X87" i="108"/>
  <c r="Y87" i="108" s="1"/>
  <c r="X69" i="108"/>
  <c r="X90" i="107"/>
  <c r="Y93" i="107" s="1"/>
  <c r="S93" i="107"/>
  <c r="X69" i="107"/>
  <c r="X87" i="107"/>
  <c r="Y87" i="107" s="1"/>
  <c r="D57" i="57"/>
  <c r="J60" i="57" s="1"/>
  <c r="J61" i="57" s="1"/>
  <c r="J102" i="56"/>
  <c r="J101" i="56"/>
  <c r="J100" i="56"/>
  <c r="J99" i="56"/>
  <c r="J98" i="56"/>
  <c r="J97" i="56"/>
  <c r="D128" i="56"/>
  <c r="C128" i="56"/>
  <c r="D127" i="56"/>
  <c r="C127" i="56"/>
  <c r="Y103" i="56"/>
  <c r="X105" i="56" s="1"/>
  <c r="Y102" i="56"/>
  <c r="D67" i="56"/>
  <c r="D66" i="56"/>
  <c r="D65" i="56"/>
  <c r="D64" i="56"/>
  <c r="D63" i="56"/>
  <c r="D62" i="56"/>
  <c r="D61" i="56"/>
  <c r="D60" i="56"/>
  <c r="D59" i="56"/>
  <c r="C67" i="56"/>
  <c r="C66" i="56"/>
  <c r="C65" i="56"/>
  <c r="C64" i="56"/>
  <c r="C63" i="56"/>
  <c r="C62" i="56"/>
  <c r="C61" i="56"/>
  <c r="C60" i="56"/>
  <c r="C59" i="56"/>
  <c r="D31" i="56"/>
  <c r="C31" i="56"/>
  <c r="C29" i="56"/>
  <c r="F54" i="56"/>
  <c r="F53" i="56"/>
  <c r="K53" i="56" s="1"/>
  <c r="I32" i="56"/>
  <c r="D29" i="56"/>
  <c r="D19" i="56"/>
  <c r="D18" i="56"/>
  <c r="D17" i="56"/>
  <c r="D16" i="56"/>
  <c r="D15" i="56"/>
  <c r="D14" i="56"/>
  <c r="C19" i="56"/>
  <c r="C18" i="56"/>
  <c r="C17" i="56"/>
  <c r="C16" i="56"/>
  <c r="C15" i="56"/>
  <c r="C14" i="56"/>
  <c r="X86" i="107" l="1"/>
  <c r="Y86" i="107" s="1"/>
  <c r="I85" i="108"/>
  <c r="J85" i="108" s="1"/>
  <c r="I86" i="108"/>
  <c r="J86" i="108" s="1"/>
  <c r="J103" i="56"/>
  <c r="I106" i="56" s="1"/>
  <c r="J118" i="105" l="1"/>
  <c r="J118" i="104"/>
  <c r="J118" i="103"/>
  <c r="J118" i="102"/>
  <c r="J118" i="101"/>
  <c r="J118" i="100"/>
  <c r="J118" i="99"/>
  <c r="J118" i="98"/>
  <c r="J118" i="97"/>
  <c r="Q114" i="57"/>
  <c r="J118" i="96"/>
  <c r="J118" i="95"/>
  <c r="J118" i="94"/>
  <c r="J118" i="93"/>
  <c r="J118" i="92"/>
  <c r="J118" i="91"/>
  <c r="J118" i="90"/>
  <c r="J118" i="89"/>
  <c r="J118" i="88"/>
  <c r="J118" i="87"/>
  <c r="J118" i="86"/>
  <c r="J118" i="85"/>
  <c r="J118" i="84"/>
  <c r="J118" i="83"/>
  <c r="J118" i="82"/>
  <c r="J118" i="81"/>
  <c r="J118" i="80"/>
  <c r="J118" i="79"/>
  <c r="J118" i="78"/>
  <c r="J118" i="77"/>
  <c r="J118" i="76"/>
  <c r="J118" i="75"/>
  <c r="J118" i="74"/>
  <c r="J118" i="73"/>
  <c r="J118" i="72"/>
  <c r="J118" i="71"/>
  <c r="J118" i="70"/>
  <c r="J118" i="69"/>
  <c r="J118" i="68"/>
  <c r="J118" i="67"/>
  <c r="J118" i="66"/>
  <c r="J118" i="65"/>
  <c r="J118" i="64"/>
  <c r="J118" i="63"/>
  <c r="J118" i="62"/>
  <c r="J118" i="61"/>
  <c r="J118" i="60"/>
  <c r="J118" i="59"/>
  <c r="J118" i="58"/>
  <c r="F126" i="57"/>
  <c r="V103" i="105"/>
  <c r="J104" i="105"/>
  <c r="G103" i="105"/>
  <c r="X97" i="105"/>
  <c r="E98" i="105"/>
  <c r="T97" i="105"/>
  <c r="X96" i="105"/>
  <c r="Y96" i="105" s="1"/>
  <c r="E97" i="105"/>
  <c r="T96" i="105"/>
  <c r="T92" i="105"/>
  <c r="V92" i="105"/>
  <c r="T91" i="105"/>
  <c r="V91" i="105"/>
  <c r="T90" i="105"/>
  <c r="V90" i="105"/>
  <c r="V87" i="105"/>
  <c r="V85" i="105"/>
  <c r="V83" i="105"/>
  <c r="Y81" i="105"/>
  <c r="X83" i="105" s="1"/>
  <c r="Y80" i="105"/>
  <c r="V71" i="105"/>
  <c r="V70" i="105"/>
  <c r="V67" i="105"/>
  <c r="X64" i="105"/>
  <c r="X61" i="105"/>
  <c r="X58" i="105"/>
  <c r="X55" i="105"/>
  <c r="X52" i="105"/>
  <c r="T50" i="105"/>
  <c r="D50" i="105"/>
  <c r="E47" i="105" s="1"/>
  <c r="C50" i="105"/>
  <c r="Y49" i="105"/>
  <c r="Y48" i="105"/>
  <c r="Y47" i="105"/>
  <c r="Y46" i="105"/>
  <c r="Y45" i="105"/>
  <c r="Y44" i="105"/>
  <c r="Y43" i="105"/>
  <c r="Y42" i="105"/>
  <c r="Y41" i="105"/>
  <c r="Y37" i="105"/>
  <c r="J37" i="105"/>
  <c r="Y36" i="105"/>
  <c r="Y38" i="105" s="1"/>
  <c r="J36" i="105"/>
  <c r="J38" i="105" s="1"/>
  <c r="G32" i="105"/>
  <c r="V32" i="105"/>
  <c r="E23" i="105"/>
  <c r="I23" i="105" s="1"/>
  <c r="T27" i="105"/>
  <c r="X27" i="105" s="1"/>
  <c r="E27" i="105"/>
  <c r="I27" i="105" s="1"/>
  <c r="T26" i="105"/>
  <c r="X26" i="105" s="1"/>
  <c r="T25" i="105"/>
  <c r="X25" i="105" s="1"/>
  <c r="T24" i="105"/>
  <c r="X24" i="105" s="1"/>
  <c r="T23" i="105"/>
  <c r="X23" i="105" s="1"/>
  <c r="T22" i="105"/>
  <c r="X22" i="105" s="1"/>
  <c r="T21" i="105"/>
  <c r="X21" i="105" s="1"/>
  <c r="T20" i="105"/>
  <c r="X20" i="105" s="1"/>
  <c r="T19" i="105"/>
  <c r="X19" i="105" s="1"/>
  <c r="T18" i="105"/>
  <c r="X18" i="105" s="1"/>
  <c r="T17" i="105"/>
  <c r="X17" i="105" s="1"/>
  <c r="T16" i="105"/>
  <c r="X16" i="105" s="1"/>
  <c r="T15" i="105"/>
  <c r="X15" i="105" s="1"/>
  <c r="T14" i="105"/>
  <c r="X14" i="105" s="1"/>
  <c r="T13" i="105"/>
  <c r="T12" i="105"/>
  <c r="X12" i="105" s="1"/>
  <c r="T6" i="105"/>
  <c r="R2" i="105"/>
  <c r="J104" i="104"/>
  <c r="G103" i="104"/>
  <c r="X97" i="104"/>
  <c r="E98" i="104"/>
  <c r="T97" i="104"/>
  <c r="X96" i="104"/>
  <c r="E97" i="104"/>
  <c r="T96" i="104"/>
  <c r="T92" i="104"/>
  <c r="V92" i="104"/>
  <c r="T91" i="104"/>
  <c r="V91" i="104"/>
  <c r="T90" i="104"/>
  <c r="V90" i="104"/>
  <c r="V86" i="104"/>
  <c r="V83" i="104"/>
  <c r="Y81" i="104"/>
  <c r="Y80" i="104"/>
  <c r="V70" i="104"/>
  <c r="V67" i="104"/>
  <c r="X64" i="104"/>
  <c r="X61" i="104"/>
  <c r="X58" i="104"/>
  <c r="X55" i="104"/>
  <c r="X52" i="104"/>
  <c r="T50" i="104"/>
  <c r="D50" i="104"/>
  <c r="E46" i="104" s="1"/>
  <c r="C50" i="104"/>
  <c r="Y49" i="104"/>
  <c r="Y48" i="104"/>
  <c r="Y47" i="104"/>
  <c r="Y46" i="104"/>
  <c r="Y45" i="104"/>
  <c r="Y44" i="104"/>
  <c r="Y43" i="104"/>
  <c r="Y42" i="104"/>
  <c r="Y41" i="104"/>
  <c r="Y37" i="104"/>
  <c r="J37" i="104"/>
  <c r="Y36" i="104"/>
  <c r="Y38" i="104" s="1"/>
  <c r="J36" i="104"/>
  <c r="J38" i="104" s="1"/>
  <c r="G32" i="104"/>
  <c r="V32" i="104"/>
  <c r="E23" i="104"/>
  <c r="I23" i="104" s="1"/>
  <c r="T27" i="104"/>
  <c r="X27" i="104" s="1"/>
  <c r="T26" i="104"/>
  <c r="X26" i="104" s="1"/>
  <c r="T25" i="104"/>
  <c r="X25" i="104" s="1"/>
  <c r="T24" i="104"/>
  <c r="X24" i="104" s="1"/>
  <c r="T23" i="104"/>
  <c r="X23" i="104" s="1"/>
  <c r="T22" i="104"/>
  <c r="X22" i="104" s="1"/>
  <c r="T21" i="104"/>
  <c r="X21" i="104" s="1"/>
  <c r="T20" i="104"/>
  <c r="X20" i="104" s="1"/>
  <c r="T19" i="104"/>
  <c r="X19" i="104" s="1"/>
  <c r="T18" i="104"/>
  <c r="X18" i="104" s="1"/>
  <c r="T17" i="104"/>
  <c r="X17" i="104" s="1"/>
  <c r="T16" i="104"/>
  <c r="X16" i="104" s="1"/>
  <c r="T15" i="104"/>
  <c r="X15" i="104" s="1"/>
  <c r="T14" i="104"/>
  <c r="X14" i="104" s="1"/>
  <c r="T13" i="104"/>
  <c r="X13" i="104" s="1"/>
  <c r="T12" i="104"/>
  <c r="X12" i="104" s="1"/>
  <c r="T6" i="104"/>
  <c r="R2" i="104"/>
  <c r="G103" i="103"/>
  <c r="J98" i="103"/>
  <c r="E98" i="103"/>
  <c r="T97" i="103"/>
  <c r="J97" i="103"/>
  <c r="E97" i="103"/>
  <c r="T96" i="103"/>
  <c r="T92" i="103"/>
  <c r="V92" i="103"/>
  <c r="T91" i="103"/>
  <c r="V91" i="103"/>
  <c r="T90" i="103"/>
  <c r="V90" i="103"/>
  <c r="V87" i="103"/>
  <c r="V85" i="103"/>
  <c r="V83" i="103"/>
  <c r="Y81" i="103"/>
  <c r="X83" i="103" s="1"/>
  <c r="Y80" i="103"/>
  <c r="V71" i="103"/>
  <c r="V70" i="103"/>
  <c r="V67" i="103"/>
  <c r="X64" i="103"/>
  <c r="X61" i="103"/>
  <c r="X58" i="103"/>
  <c r="X55" i="103"/>
  <c r="X52" i="103"/>
  <c r="T50" i="103"/>
  <c r="D50" i="103"/>
  <c r="E46" i="103" s="1"/>
  <c r="Y49" i="103"/>
  <c r="Y48" i="103"/>
  <c r="Y47" i="103"/>
  <c r="Y46" i="103"/>
  <c r="Y45" i="103"/>
  <c r="Y44" i="103"/>
  <c r="Y43" i="103"/>
  <c r="Y42" i="103"/>
  <c r="Y41" i="103"/>
  <c r="Y37" i="103"/>
  <c r="J37" i="103"/>
  <c r="Y36" i="103"/>
  <c r="J36" i="103"/>
  <c r="J38" i="103" s="1"/>
  <c r="G32" i="103"/>
  <c r="V32" i="103"/>
  <c r="E23" i="103"/>
  <c r="I23" i="103" s="1"/>
  <c r="T27" i="103"/>
  <c r="X27" i="103" s="1"/>
  <c r="T26" i="103"/>
  <c r="X26" i="103" s="1"/>
  <c r="T25" i="103"/>
  <c r="X25" i="103" s="1"/>
  <c r="T24" i="103"/>
  <c r="X24" i="103" s="1"/>
  <c r="T23" i="103"/>
  <c r="X23" i="103" s="1"/>
  <c r="T22" i="103"/>
  <c r="X22" i="103" s="1"/>
  <c r="T21" i="103"/>
  <c r="X21" i="103" s="1"/>
  <c r="T20" i="103"/>
  <c r="X20" i="103" s="1"/>
  <c r="T19" i="103"/>
  <c r="X19" i="103" s="1"/>
  <c r="T18" i="103"/>
  <c r="X18" i="103" s="1"/>
  <c r="T17" i="103"/>
  <c r="X17" i="103" s="1"/>
  <c r="T16" i="103"/>
  <c r="X16" i="103" s="1"/>
  <c r="T15" i="103"/>
  <c r="X15" i="103" s="1"/>
  <c r="T14" i="103"/>
  <c r="X14" i="103" s="1"/>
  <c r="T13" i="103"/>
  <c r="T12" i="103"/>
  <c r="X12" i="103" s="1"/>
  <c r="T6" i="103"/>
  <c r="R2" i="103"/>
  <c r="G103" i="102"/>
  <c r="J98" i="102"/>
  <c r="E98" i="102"/>
  <c r="T97" i="102"/>
  <c r="X96" i="102"/>
  <c r="E97" i="102"/>
  <c r="T96" i="102"/>
  <c r="T92" i="102"/>
  <c r="V92" i="102"/>
  <c r="T91" i="102"/>
  <c r="V91" i="102"/>
  <c r="T90" i="102"/>
  <c r="V90" i="102"/>
  <c r="V86" i="102"/>
  <c r="V85" i="102"/>
  <c r="V83" i="102"/>
  <c r="Y81" i="102"/>
  <c r="X83" i="102" s="1"/>
  <c r="J81" i="102"/>
  <c r="Y80" i="102"/>
  <c r="V70" i="102"/>
  <c r="V67" i="102"/>
  <c r="X64" i="102"/>
  <c r="X61" i="102"/>
  <c r="X58" i="102"/>
  <c r="X55" i="102"/>
  <c r="X52" i="102"/>
  <c r="T50" i="102"/>
  <c r="D50" i="102"/>
  <c r="C50" i="102"/>
  <c r="Y49" i="102"/>
  <c r="Y48" i="102"/>
  <c r="Y47" i="102"/>
  <c r="Y46" i="102"/>
  <c r="Y45" i="102"/>
  <c r="Y44" i="102"/>
  <c r="Y43" i="102"/>
  <c r="Y42" i="102"/>
  <c r="Y41" i="102"/>
  <c r="Y37" i="102"/>
  <c r="J37" i="102"/>
  <c r="Y36" i="102"/>
  <c r="J36" i="102"/>
  <c r="J38" i="102" s="1"/>
  <c r="G32" i="102"/>
  <c r="V32" i="102"/>
  <c r="E23" i="102"/>
  <c r="I23" i="102" s="1"/>
  <c r="T23" i="102"/>
  <c r="X23" i="102" s="1"/>
  <c r="T6" i="102"/>
  <c r="D90" i="102"/>
  <c r="R2" i="102"/>
  <c r="V103" i="101"/>
  <c r="G103" i="101"/>
  <c r="X97" i="101"/>
  <c r="E98" i="101"/>
  <c r="T97" i="101"/>
  <c r="X96" i="101"/>
  <c r="T96" i="101"/>
  <c r="T92" i="101"/>
  <c r="V92" i="101"/>
  <c r="T91" i="101"/>
  <c r="V91" i="101"/>
  <c r="T90" i="101"/>
  <c r="V90" i="101"/>
  <c r="V87" i="101"/>
  <c r="V86" i="101"/>
  <c r="V83" i="101"/>
  <c r="Y81" i="101"/>
  <c r="J81" i="101"/>
  <c r="Y80" i="101"/>
  <c r="V71" i="101"/>
  <c r="V70" i="101"/>
  <c r="V67" i="101"/>
  <c r="X64" i="101"/>
  <c r="X61" i="101"/>
  <c r="X58" i="101"/>
  <c r="X55" i="101"/>
  <c r="X52" i="101"/>
  <c r="T50" i="101"/>
  <c r="D50" i="101"/>
  <c r="E46" i="101" s="1"/>
  <c r="C50" i="101"/>
  <c r="Y49" i="101"/>
  <c r="Y48" i="101"/>
  <c r="Y47" i="101"/>
  <c r="Y46" i="101"/>
  <c r="Y45" i="101"/>
  <c r="Y44" i="101"/>
  <c r="Y43" i="101"/>
  <c r="Y42" i="101"/>
  <c r="Y41" i="101"/>
  <c r="J37" i="101"/>
  <c r="J36" i="101"/>
  <c r="J38" i="101" s="1"/>
  <c r="G32" i="101"/>
  <c r="E23" i="101"/>
  <c r="I23" i="101" s="1"/>
  <c r="T6" i="101"/>
  <c r="D92" i="101"/>
  <c r="R2" i="101"/>
  <c r="J104" i="100"/>
  <c r="G103" i="100"/>
  <c r="X97" i="100"/>
  <c r="E98" i="100"/>
  <c r="T97" i="100"/>
  <c r="X96" i="100"/>
  <c r="E97" i="100"/>
  <c r="T96" i="100"/>
  <c r="T92" i="100"/>
  <c r="V92" i="100"/>
  <c r="T91" i="100"/>
  <c r="V91" i="100"/>
  <c r="T90" i="100"/>
  <c r="V90" i="100"/>
  <c r="V87" i="100"/>
  <c r="V86" i="100"/>
  <c r="V85" i="100"/>
  <c r="V83" i="100"/>
  <c r="Y81" i="100"/>
  <c r="J81" i="100"/>
  <c r="Y80" i="100"/>
  <c r="V70" i="100"/>
  <c r="V67" i="100"/>
  <c r="X64" i="100"/>
  <c r="X61" i="100"/>
  <c r="X58" i="100"/>
  <c r="X55" i="100"/>
  <c r="X52" i="100"/>
  <c r="T50" i="100"/>
  <c r="D50" i="100"/>
  <c r="E46" i="100" s="1"/>
  <c r="C50" i="100"/>
  <c r="Y49" i="100"/>
  <c r="Y48" i="100"/>
  <c r="Y47" i="100"/>
  <c r="Y46" i="100"/>
  <c r="Y45" i="100"/>
  <c r="Y44" i="100"/>
  <c r="Y43" i="100"/>
  <c r="Y42" i="100"/>
  <c r="Y41" i="100"/>
  <c r="Y37" i="100"/>
  <c r="J37" i="100"/>
  <c r="Y36" i="100"/>
  <c r="Y38" i="100" s="1"/>
  <c r="J36" i="100"/>
  <c r="J38" i="100" s="1"/>
  <c r="G32" i="100"/>
  <c r="V32" i="100"/>
  <c r="E26" i="100"/>
  <c r="I26" i="100" s="1"/>
  <c r="T27" i="100"/>
  <c r="X27" i="100" s="1"/>
  <c r="T26" i="100"/>
  <c r="X26" i="100" s="1"/>
  <c r="T25" i="100"/>
  <c r="X25" i="100" s="1"/>
  <c r="T24" i="100"/>
  <c r="X24" i="100" s="1"/>
  <c r="T23" i="100"/>
  <c r="X23" i="100" s="1"/>
  <c r="T22" i="100"/>
  <c r="X22" i="100" s="1"/>
  <c r="T21" i="100"/>
  <c r="X21" i="100" s="1"/>
  <c r="T20" i="100"/>
  <c r="X20" i="100" s="1"/>
  <c r="T19" i="100"/>
  <c r="X19" i="100" s="1"/>
  <c r="T18" i="100"/>
  <c r="X18" i="100" s="1"/>
  <c r="T17" i="100"/>
  <c r="X17" i="100" s="1"/>
  <c r="T16" i="100"/>
  <c r="X16" i="100" s="1"/>
  <c r="T15" i="100"/>
  <c r="X15" i="100" s="1"/>
  <c r="T14" i="100"/>
  <c r="X14" i="100" s="1"/>
  <c r="T13" i="100"/>
  <c r="T12" i="100"/>
  <c r="X12" i="100" s="1"/>
  <c r="T6" i="100"/>
  <c r="D90" i="100"/>
  <c r="R2" i="100"/>
  <c r="V103" i="99"/>
  <c r="J104" i="99"/>
  <c r="G103" i="99"/>
  <c r="X97" i="99"/>
  <c r="E98" i="99"/>
  <c r="T97" i="99"/>
  <c r="X96" i="99"/>
  <c r="E97" i="99"/>
  <c r="T96" i="99"/>
  <c r="T92" i="99"/>
  <c r="V92" i="99"/>
  <c r="T91" i="99"/>
  <c r="V91" i="99"/>
  <c r="T90" i="99"/>
  <c r="V90" i="99"/>
  <c r="V86" i="99"/>
  <c r="V83" i="99"/>
  <c r="Y81" i="99"/>
  <c r="J81" i="99"/>
  <c r="Y80" i="99"/>
  <c r="V70" i="99"/>
  <c r="V67" i="99"/>
  <c r="X64" i="99"/>
  <c r="X61" i="99"/>
  <c r="X58" i="99"/>
  <c r="X55" i="99"/>
  <c r="X52" i="99"/>
  <c r="T50" i="99"/>
  <c r="D50" i="99"/>
  <c r="E46" i="99" s="1"/>
  <c r="C50" i="99"/>
  <c r="Y49" i="99"/>
  <c r="Y48" i="99"/>
  <c r="Y47" i="99"/>
  <c r="Y46" i="99"/>
  <c r="Y45" i="99"/>
  <c r="Y44" i="99"/>
  <c r="Y43" i="99"/>
  <c r="Y42" i="99"/>
  <c r="Y41" i="99"/>
  <c r="Y37" i="99"/>
  <c r="J37" i="99"/>
  <c r="Y36" i="99"/>
  <c r="J36" i="99"/>
  <c r="J38" i="99" s="1"/>
  <c r="G32" i="99"/>
  <c r="V32" i="99"/>
  <c r="E23" i="99"/>
  <c r="I23" i="99" s="1"/>
  <c r="T27" i="99"/>
  <c r="X27" i="99" s="1"/>
  <c r="E27" i="99"/>
  <c r="I27" i="99" s="1"/>
  <c r="T26" i="99"/>
  <c r="X26" i="99" s="1"/>
  <c r="T25" i="99"/>
  <c r="X25" i="99" s="1"/>
  <c r="T24" i="99"/>
  <c r="X24" i="99" s="1"/>
  <c r="T23" i="99"/>
  <c r="X23" i="99" s="1"/>
  <c r="T22" i="99"/>
  <c r="X22" i="99" s="1"/>
  <c r="T21" i="99"/>
  <c r="X21" i="99" s="1"/>
  <c r="T20" i="99"/>
  <c r="X20" i="99" s="1"/>
  <c r="T19" i="99"/>
  <c r="X19" i="99" s="1"/>
  <c r="T18" i="99"/>
  <c r="X18" i="99" s="1"/>
  <c r="T17" i="99"/>
  <c r="X17" i="99" s="1"/>
  <c r="T16" i="99"/>
  <c r="X16" i="99" s="1"/>
  <c r="T15" i="99"/>
  <c r="X15" i="99" s="1"/>
  <c r="T14" i="99"/>
  <c r="X14" i="99" s="1"/>
  <c r="T13" i="99"/>
  <c r="X13" i="99" s="1"/>
  <c r="T12" i="99"/>
  <c r="X12" i="99" s="1"/>
  <c r="T6" i="99"/>
  <c r="R2" i="99"/>
  <c r="V103" i="98"/>
  <c r="J104" i="98"/>
  <c r="G103" i="98"/>
  <c r="J98" i="98"/>
  <c r="E98" i="98"/>
  <c r="T97" i="98"/>
  <c r="X96" i="98"/>
  <c r="T96" i="98"/>
  <c r="T92" i="98"/>
  <c r="V92" i="98"/>
  <c r="T91" i="98"/>
  <c r="V91" i="98"/>
  <c r="T90" i="98"/>
  <c r="V90" i="98"/>
  <c r="V86" i="98"/>
  <c r="V83" i="98"/>
  <c r="Y81" i="98"/>
  <c r="X83" i="98" s="1"/>
  <c r="J81" i="98"/>
  <c r="Y80" i="98"/>
  <c r="V71" i="98"/>
  <c r="V70" i="98"/>
  <c r="V67" i="98"/>
  <c r="X64" i="98"/>
  <c r="X61" i="98"/>
  <c r="X58" i="98"/>
  <c r="X55" i="98"/>
  <c r="X52" i="98"/>
  <c r="T50" i="98"/>
  <c r="D50" i="98"/>
  <c r="E46" i="98" s="1"/>
  <c r="C50" i="98"/>
  <c r="Y49" i="98"/>
  <c r="Y48" i="98"/>
  <c r="Y47" i="98"/>
  <c r="Y46" i="98"/>
  <c r="Y45" i="98"/>
  <c r="Y44" i="98"/>
  <c r="Y43" i="98"/>
  <c r="Y42" i="98"/>
  <c r="Y41" i="98"/>
  <c r="Y37" i="98"/>
  <c r="J37" i="98"/>
  <c r="Y36" i="98"/>
  <c r="Y38" i="98" s="1"/>
  <c r="J36" i="98"/>
  <c r="J38" i="98" s="1"/>
  <c r="G32" i="98"/>
  <c r="V32" i="98"/>
  <c r="E23" i="98"/>
  <c r="I23" i="98" s="1"/>
  <c r="T27" i="98"/>
  <c r="X27" i="98" s="1"/>
  <c r="E27" i="98"/>
  <c r="I27" i="98" s="1"/>
  <c r="T26" i="98"/>
  <c r="X26" i="98" s="1"/>
  <c r="T25" i="98"/>
  <c r="X25" i="98" s="1"/>
  <c r="T24" i="98"/>
  <c r="X24" i="98" s="1"/>
  <c r="T23" i="98"/>
  <c r="X23" i="98" s="1"/>
  <c r="T22" i="98"/>
  <c r="X22" i="98" s="1"/>
  <c r="T21" i="98"/>
  <c r="X21" i="98" s="1"/>
  <c r="T20" i="98"/>
  <c r="X20" i="98" s="1"/>
  <c r="T19" i="98"/>
  <c r="X19" i="98" s="1"/>
  <c r="T18" i="98"/>
  <c r="X18" i="98" s="1"/>
  <c r="T17" i="98"/>
  <c r="X17" i="98" s="1"/>
  <c r="T16" i="98"/>
  <c r="X16" i="98" s="1"/>
  <c r="T15" i="98"/>
  <c r="X15" i="98" s="1"/>
  <c r="T14" i="98"/>
  <c r="X14" i="98" s="1"/>
  <c r="T13" i="98"/>
  <c r="X13" i="98" s="1"/>
  <c r="T12" i="98"/>
  <c r="X12" i="98" s="1"/>
  <c r="T6" i="98"/>
  <c r="D92" i="98"/>
  <c r="R2" i="98"/>
  <c r="V103" i="97"/>
  <c r="G103" i="97"/>
  <c r="J98" i="97"/>
  <c r="E98" i="97"/>
  <c r="T97" i="97"/>
  <c r="X96" i="97"/>
  <c r="E97" i="97"/>
  <c r="T96" i="97"/>
  <c r="T92" i="97"/>
  <c r="V92" i="97"/>
  <c r="T91" i="97"/>
  <c r="V91" i="97"/>
  <c r="T90" i="97"/>
  <c r="V90" i="97"/>
  <c r="V86" i="97"/>
  <c r="V85" i="97"/>
  <c r="V83" i="97"/>
  <c r="Y81" i="97"/>
  <c r="X83" i="97" s="1"/>
  <c r="J81" i="97"/>
  <c r="Y80" i="97"/>
  <c r="V71" i="97"/>
  <c r="V70" i="97"/>
  <c r="V67" i="97"/>
  <c r="X64" i="97"/>
  <c r="X61" i="97"/>
  <c r="X58" i="97"/>
  <c r="X55" i="97"/>
  <c r="X52" i="97"/>
  <c r="T50" i="97"/>
  <c r="D50" i="97"/>
  <c r="E46" i="97" s="1"/>
  <c r="C50" i="97"/>
  <c r="Y49" i="97"/>
  <c r="Y48" i="97"/>
  <c r="Y47" i="97"/>
  <c r="Y46" i="97"/>
  <c r="Y45" i="97"/>
  <c r="Y44" i="97"/>
  <c r="Y43" i="97"/>
  <c r="Y42" i="97"/>
  <c r="Y41" i="97"/>
  <c r="Y37" i="97"/>
  <c r="J37" i="97"/>
  <c r="Y36" i="97"/>
  <c r="Y38" i="97" s="1"/>
  <c r="J36" i="97"/>
  <c r="G32" i="97"/>
  <c r="V32" i="97"/>
  <c r="E23" i="97"/>
  <c r="I23" i="97" s="1"/>
  <c r="T27" i="97"/>
  <c r="X27" i="97" s="1"/>
  <c r="T26" i="97"/>
  <c r="X26" i="97" s="1"/>
  <c r="T25" i="97"/>
  <c r="X25" i="97" s="1"/>
  <c r="T24" i="97"/>
  <c r="X24" i="97" s="1"/>
  <c r="T23" i="97"/>
  <c r="X23" i="97" s="1"/>
  <c r="T22" i="97"/>
  <c r="X22" i="97" s="1"/>
  <c r="T21" i="97"/>
  <c r="X21" i="97" s="1"/>
  <c r="T20" i="97"/>
  <c r="X20" i="97" s="1"/>
  <c r="T19" i="97"/>
  <c r="X19" i="97" s="1"/>
  <c r="T18" i="97"/>
  <c r="X18" i="97" s="1"/>
  <c r="T17" i="97"/>
  <c r="X17" i="97" s="1"/>
  <c r="T16" i="97"/>
  <c r="X16" i="97" s="1"/>
  <c r="T15" i="97"/>
  <c r="X15" i="97" s="1"/>
  <c r="T14" i="97"/>
  <c r="X14" i="97" s="1"/>
  <c r="T13" i="97"/>
  <c r="X13" i="97" s="1"/>
  <c r="T12" i="97"/>
  <c r="X12" i="97" s="1"/>
  <c r="T6" i="97"/>
  <c r="D92" i="97"/>
  <c r="R2" i="97"/>
  <c r="J104" i="96"/>
  <c r="G103" i="96"/>
  <c r="E98" i="96"/>
  <c r="T97" i="96"/>
  <c r="X96" i="96"/>
  <c r="T96" i="96"/>
  <c r="T92" i="96"/>
  <c r="V92" i="96"/>
  <c r="T91" i="96"/>
  <c r="V91" i="96"/>
  <c r="T90" i="96"/>
  <c r="V90" i="96"/>
  <c r="V87" i="96"/>
  <c r="V86" i="96"/>
  <c r="V85" i="96"/>
  <c r="V83" i="96"/>
  <c r="Y81" i="96"/>
  <c r="X83" i="96" s="1"/>
  <c r="J81" i="96"/>
  <c r="Y80" i="96"/>
  <c r="V70" i="96"/>
  <c r="V67" i="96"/>
  <c r="X64" i="96"/>
  <c r="X61" i="96"/>
  <c r="X58" i="96"/>
  <c r="X55" i="96"/>
  <c r="X52" i="96"/>
  <c r="T50" i="96"/>
  <c r="D50" i="96"/>
  <c r="E46" i="96" s="1"/>
  <c r="C50" i="96"/>
  <c r="Y49" i="96"/>
  <c r="Y48" i="96"/>
  <c r="Y47" i="96"/>
  <c r="Y46" i="96"/>
  <c r="Y45" i="96"/>
  <c r="Y44" i="96"/>
  <c r="Y43" i="96"/>
  <c r="Y42" i="96"/>
  <c r="Y41" i="96"/>
  <c r="Y37" i="96"/>
  <c r="J37" i="96"/>
  <c r="Y36" i="96"/>
  <c r="Y38" i="96" s="1"/>
  <c r="J36" i="96"/>
  <c r="G32" i="96"/>
  <c r="V32" i="96"/>
  <c r="E23" i="96"/>
  <c r="I23" i="96" s="1"/>
  <c r="T27" i="96"/>
  <c r="X27" i="96" s="1"/>
  <c r="T26" i="96"/>
  <c r="X26" i="96" s="1"/>
  <c r="T25" i="96"/>
  <c r="X25" i="96" s="1"/>
  <c r="T24" i="96"/>
  <c r="X24" i="96" s="1"/>
  <c r="T23" i="96"/>
  <c r="X23" i="96" s="1"/>
  <c r="T22" i="96"/>
  <c r="X22" i="96" s="1"/>
  <c r="T21" i="96"/>
  <c r="X21" i="96" s="1"/>
  <c r="T20" i="96"/>
  <c r="X20" i="96" s="1"/>
  <c r="T19" i="96"/>
  <c r="X19" i="96" s="1"/>
  <c r="T18" i="96"/>
  <c r="X18" i="96" s="1"/>
  <c r="T17" i="96"/>
  <c r="X17" i="96" s="1"/>
  <c r="T16" i="96"/>
  <c r="X16" i="96" s="1"/>
  <c r="T15" i="96"/>
  <c r="X15" i="96" s="1"/>
  <c r="T14" i="96"/>
  <c r="X14" i="96" s="1"/>
  <c r="T13" i="96"/>
  <c r="T12" i="96"/>
  <c r="X12" i="96" s="1"/>
  <c r="T6" i="96"/>
  <c r="R2" i="96"/>
  <c r="V103" i="95"/>
  <c r="J104" i="95"/>
  <c r="G103" i="95"/>
  <c r="X97" i="95"/>
  <c r="Y97" i="95" s="1"/>
  <c r="E98" i="95"/>
  <c r="T97" i="95"/>
  <c r="X96" i="95"/>
  <c r="Y96" i="95" s="1"/>
  <c r="E97" i="95"/>
  <c r="T96" i="95"/>
  <c r="T92" i="95"/>
  <c r="V92" i="95"/>
  <c r="T91" i="95"/>
  <c r="V91" i="95"/>
  <c r="T90" i="95"/>
  <c r="V90" i="95"/>
  <c r="V86" i="95"/>
  <c r="V83" i="95"/>
  <c r="Y81" i="95"/>
  <c r="J81" i="95"/>
  <c r="Y80" i="95"/>
  <c r="V67" i="95"/>
  <c r="X64" i="95"/>
  <c r="X61" i="95"/>
  <c r="X58" i="95"/>
  <c r="X55" i="95"/>
  <c r="X52" i="95"/>
  <c r="T50" i="95"/>
  <c r="D50" i="95"/>
  <c r="E46" i="95" s="1"/>
  <c r="C50" i="95"/>
  <c r="Y49" i="95"/>
  <c r="Y48" i="95"/>
  <c r="Y47" i="95"/>
  <c r="Y46" i="95"/>
  <c r="Y45" i="95"/>
  <c r="Y44" i="95"/>
  <c r="Y43" i="95"/>
  <c r="Y42" i="95"/>
  <c r="Y41" i="95"/>
  <c r="Y37" i="95"/>
  <c r="J37" i="95"/>
  <c r="Y36" i="95"/>
  <c r="Y38" i="95" s="1"/>
  <c r="J36" i="95"/>
  <c r="J38" i="95" s="1"/>
  <c r="G32" i="95"/>
  <c r="V32" i="95"/>
  <c r="E23" i="95"/>
  <c r="I23" i="95" s="1"/>
  <c r="T27" i="95"/>
  <c r="X27" i="95" s="1"/>
  <c r="T26" i="95"/>
  <c r="X26" i="95" s="1"/>
  <c r="T25" i="95"/>
  <c r="X25" i="95" s="1"/>
  <c r="T24" i="95"/>
  <c r="X24" i="95" s="1"/>
  <c r="T23" i="95"/>
  <c r="X23" i="95" s="1"/>
  <c r="T22" i="95"/>
  <c r="X22" i="95" s="1"/>
  <c r="T21" i="95"/>
  <c r="X21" i="95" s="1"/>
  <c r="T20" i="95"/>
  <c r="X20" i="95" s="1"/>
  <c r="T19" i="95"/>
  <c r="X19" i="95" s="1"/>
  <c r="T18" i="95"/>
  <c r="X18" i="95" s="1"/>
  <c r="T17" i="95"/>
  <c r="X17" i="95" s="1"/>
  <c r="T16" i="95"/>
  <c r="X16" i="95" s="1"/>
  <c r="T15" i="95"/>
  <c r="X15" i="95" s="1"/>
  <c r="T14" i="95"/>
  <c r="X14" i="95" s="1"/>
  <c r="T13" i="95"/>
  <c r="T12" i="95"/>
  <c r="X12" i="95" s="1"/>
  <c r="T6" i="95"/>
  <c r="R2" i="95"/>
  <c r="J104" i="94"/>
  <c r="G103" i="94"/>
  <c r="X97" i="94"/>
  <c r="E98" i="94"/>
  <c r="T97" i="94"/>
  <c r="X96" i="94"/>
  <c r="E97" i="94"/>
  <c r="T96" i="94"/>
  <c r="T92" i="94"/>
  <c r="V92" i="94"/>
  <c r="T91" i="94"/>
  <c r="V91" i="94"/>
  <c r="T90" i="94"/>
  <c r="V90" i="94"/>
  <c r="V86" i="94"/>
  <c r="V83" i="94"/>
  <c r="Y81" i="94"/>
  <c r="J81" i="94"/>
  <c r="Y80" i="94"/>
  <c r="V71" i="94"/>
  <c r="V70" i="94"/>
  <c r="V67" i="94"/>
  <c r="X64" i="94"/>
  <c r="X61" i="94"/>
  <c r="X58" i="94"/>
  <c r="X55" i="94"/>
  <c r="X52" i="94"/>
  <c r="T50" i="94"/>
  <c r="D50" i="94"/>
  <c r="E46" i="94" s="1"/>
  <c r="C50" i="94"/>
  <c r="Y49" i="94"/>
  <c r="Y48" i="94"/>
  <c r="Y47" i="94"/>
  <c r="Y46" i="94"/>
  <c r="Y45" i="94"/>
  <c r="Y44" i="94"/>
  <c r="Y43" i="94"/>
  <c r="Y42" i="94"/>
  <c r="Y41" i="94"/>
  <c r="Y37" i="94"/>
  <c r="J37" i="94"/>
  <c r="Y36" i="94"/>
  <c r="Y38" i="94" s="1"/>
  <c r="J36" i="94"/>
  <c r="G32" i="94"/>
  <c r="V32" i="94"/>
  <c r="E23" i="94"/>
  <c r="I23" i="94" s="1"/>
  <c r="T27" i="94"/>
  <c r="X27" i="94" s="1"/>
  <c r="T26" i="94"/>
  <c r="X26" i="94" s="1"/>
  <c r="T25" i="94"/>
  <c r="X25" i="94" s="1"/>
  <c r="T24" i="94"/>
  <c r="X24" i="94" s="1"/>
  <c r="T23" i="94"/>
  <c r="X23" i="94" s="1"/>
  <c r="T22" i="94"/>
  <c r="X22" i="94" s="1"/>
  <c r="T21" i="94"/>
  <c r="X21" i="94" s="1"/>
  <c r="T20" i="94"/>
  <c r="X20" i="94" s="1"/>
  <c r="T19" i="94"/>
  <c r="X19" i="94" s="1"/>
  <c r="T18" i="94"/>
  <c r="X18" i="94" s="1"/>
  <c r="T17" i="94"/>
  <c r="X17" i="94" s="1"/>
  <c r="T16" i="94"/>
  <c r="X16" i="94" s="1"/>
  <c r="T15" i="94"/>
  <c r="X15" i="94" s="1"/>
  <c r="T14" i="94"/>
  <c r="X14" i="94" s="1"/>
  <c r="T13" i="94"/>
  <c r="T12" i="94"/>
  <c r="X12" i="94" s="1"/>
  <c r="T6" i="94"/>
  <c r="R2" i="94"/>
  <c r="G103" i="93"/>
  <c r="X97" i="93"/>
  <c r="Y97" i="93" s="1"/>
  <c r="E98" i="93"/>
  <c r="T97" i="93"/>
  <c r="X96" i="93"/>
  <c r="Y96" i="93" s="1"/>
  <c r="E97" i="93"/>
  <c r="T96" i="93"/>
  <c r="T92" i="93"/>
  <c r="V92" i="93"/>
  <c r="T91" i="93"/>
  <c r="V91" i="93"/>
  <c r="T90" i="93"/>
  <c r="V90" i="93"/>
  <c r="V86" i="93"/>
  <c r="V83" i="93"/>
  <c r="Y81" i="93"/>
  <c r="X83" i="93" s="1"/>
  <c r="J81" i="93"/>
  <c r="Y80" i="93"/>
  <c r="V67" i="93"/>
  <c r="X64" i="93"/>
  <c r="X61" i="93"/>
  <c r="X58" i="93"/>
  <c r="X55" i="93"/>
  <c r="X52" i="93"/>
  <c r="T50" i="93"/>
  <c r="D50" i="93"/>
  <c r="E46" i="93" s="1"/>
  <c r="C50" i="93"/>
  <c r="Y49" i="93"/>
  <c r="Y48" i="93"/>
  <c r="Y47" i="93"/>
  <c r="Y46" i="93"/>
  <c r="Y45" i="93"/>
  <c r="Y44" i="93"/>
  <c r="Y43" i="93"/>
  <c r="Y42" i="93"/>
  <c r="Y41" i="93"/>
  <c r="Y37" i="93"/>
  <c r="J37" i="93"/>
  <c r="Y36" i="93"/>
  <c r="Y38" i="93" s="1"/>
  <c r="J36" i="93"/>
  <c r="J38" i="93" s="1"/>
  <c r="G32" i="93"/>
  <c r="V32" i="93"/>
  <c r="E23" i="93"/>
  <c r="I23" i="93" s="1"/>
  <c r="T27" i="93"/>
  <c r="X27" i="93" s="1"/>
  <c r="T26" i="93"/>
  <c r="X26" i="93" s="1"/>
  <c r="T25" i="93"/>
  <c r="X25" i="93" s="1"/>
  <c r="T24" i="93"/>
  <c r="X24" i="93" s="1"/>
  <c r="T23" i="93"/>
  <c r="X23" i="93" s="1"/>
  <c r="T22" i="93"/>
  <c r="X22" i="93" s="1"/>
  <c r="T21" i="93"/>
  <c r="X21" i="93" s="1"/>
  <c r="T20" i="93"/>
  <c r="X20" i="93" s="1"/>
  <c r="T19" i="93"/>
  <c r="X19" i="93" s="1"/>
  <c r="T18" i="93"/>
  <c r="X18" i="93" s="1"/>
  <c r="T17" i="93"/>
  <c r="X17" i="93" s="1"/>
  <c r="T16" i="93"/>
  <c r="X16" i="93" s="1"/>
  <c r="T15" i="93"/>
  <c r="X15" i="93" s="1"/>
  <c r="T14" i="93"/>
  <c r="X14" i="93" s="1"/>
  <c r="T13" i="93"/>
  <c r="X13" i="93" s="1"/>
  <c r="T12" i="93"/>
  <c r="X12" i="93" s="1"/>
  <c r="T6" i="93"/>
  <c r="R2" i="93"/>
  <c r="V103" i="92"/>
  <c r="G103" i="92"/>
  <c r="J98" i="92"/>
  <c r="E98" i="92"/>
  <c r="T97" i="92"/>
  <c r="X96" i="92"/>
  <c r="E97" i="92"/>
  <c r="T96" i="92"/>
  <c r="T92" i="92"/>
  <c r="V92" i="92"/>
  <c r="T91" i="92"/>
  <c r="V91" i="92"/>
  <c r="T90" i="92"/>
  <c r="V90" i="92"/>
  <c r="V87" i="92"/>
  <c r="V86" i="92"/>
  <c r="Y81" i="92"/>
  <c r="X83" i="92" s="1"/>
  <c r="J81" i="92"/>
  <c r="Y80" i="92"/>
  <c r="V67" i="92"/>
  <c r="X64" i="92"/>
  <c r="X61" i="92"/>
  <c r="X58" i="92"/>
  <c r="X55" i="92"/>
  <c r="X52" i="92"/>
  <c r="T50" i="92"/>
  <c r="D50" i="92"/>
  <c r="E46" i="92" s="1"/>
  <c r="C50" i="92"/>
  <c r="Y49" i="92"/>
  <c r="Y48" i="92"/>
  <c r="Y47" i="92"/>
  <c r="Y46" i="92"/>
  <c r="Y45" i="92"/>
  <c r="Y44" i="92"/>
  <c r="Y43" i="92"/>
  <c r="Y42" i="92"/>
  <c r="Y41" i="92"/>
  <c r="Y37" i="92"/>
  <c r="J37" i="92"/>
  <c r="Y36" i="92"/>
  <c r="Y38" i="92" s="1"/>
  <c r="J36" i="92"/>
  <c r="J38" i="92" s="1"/>
  <c r="G32" i="92"/>
  <c r="V32" i="92"/>
  <c r="E23" i="92"/>
  <c r="I23" i="92" s="1"/>
  <c r="T27" i="92"/>
  <c r="X27" i="92" s="1"/>
  <c r="T26" i="92"/>
  <c r="X26" i="92" s="1"/>
  <c r="T25" i="92"/>
  <c r="X25" i="92" s="1"/>
  <c r="T24" i="92"/>
  <c r="X24" i="92" s="1"/>
  <c r="T23" i="92"/>
  <c r="X23" i="92" s="1"/>
  <c r="T22" i="92"/>
  <c r="X22" i="92" s="1"/>
  <c r="T21" i="92"/>
  <c r="X21" i="92" s="1"/>
  <c r="T20" i="92"/>
  <c r="X20" i="92" s="1"/>
  <c r="T19" i="92"/>
  <c r="X19" i="92" s="1"/>
  <c r="T18" i="92"/>
  <c r="X18" i="92" s="1"/>
  <c r="T17" i="92"/>
  <c r="X17" i="92" s="1"/>
  <c r="T16" i="92"/>
  <c r="X16" i="92" s="1"/>
  <c r="T15" i="92"/>
  <c r="X15" i="92" s="1"/>
  <c r="T14" i="92"/>
  <c r="X14" i="92" s="1"/>
  <c r="T13" i="92"/>
  <c r="T12" i="92"/>
  <c r="X12" i="92" s="1"/>
  <c r="T6" i="92"/>
  <c r="R2" i="92"/>
  <c r="V103" i="91"/>
  <c r="J104" i="91"/>
  <c r="G103" i="91"/>
  <c r="E98" i="91"/>
  <c r="T97" i="91"/>
  <c r="X96" i="91"/>
  <c r="E97" i="91"/>
  <c r="T96" i="91"/>
  <c r="T92" i="91"/>
  <c r="V92" i="91"/>
  <c r="T91" i="91"/>
  <c r="V91" i="91"/>
  <c r="T90" i="91"/>
  <c r="V90" i="91"/>
  <c r="V87" i="91"/>
  <c r="V86" i="91"/>
  <c r="V83" i="91"/>
  <c r="Y81" i="91"/>
  <c r="J81" i="91"/>
  <c r="Y80" i="91"/>
  <c r="V67" i="91"/>
  <c r="X64" i="91"/>
  <c r="X61" i="91"/>
  <c r="X58" i="91"/>
  <c r="X55" i="91"/>
  <c r="X52" i="91"/>
  <c r="T50" i="91"/>
  <c r="D50" i="91"/>
  <c r="E49" i="91" s="1"/>
  <c r="C50" i="91"/>
  <c r="Y49" i="91"/>
  <c r="Y48" i="91"/>
  <c r="Y47" i="91"/>
  <c r="E47" i="91"/>
  <c r="Y46" i="91"/>
  <c r="Y45" i="91"/>
  <c r="Y44" i="91"/>
  <c r="Y43" i="91"/>
  <c r="Y42" i="91"/>
  <c r="Y41" i="91"/>
  <c r="Y37" i="91"/>
  <c r="J37" i="91"/>
  <c r="Y36" i="91"/>
  <c r="Y38" i="91" s="1"/>
  <c r="J36" i="91"/>
  <c r="J38" i="91" s="1"/>
  <c r="G32" i="91"/>
  <c r="V32" i="91"/>
  <c r="E26" i="91"/>
  <c r="I26" i="91" s="1"/>
  <c r="T27" i="91"/>
  <c r="X27" i="91" s="1"/>
  <c r="T26" i="91"/>
  <c r="X26" i="91" s="1"/>
  <c r="T25" i="91"/>
  <c r="X25" i="91" s="1"/>
  <c r="T24" i="91"/>
  <c r="X24" i="91" s="1"/>
  <c r="T23" i="91"/>
  <c r="X23" i="91" s="1"/>
  <c r="T22" i="91"/>
  <c r="X22" i="91" s="1"/>
  <c r="T21" i="91"/>
  <c r="X21" i="91" s="1"/>
  <c r="T20" i="91"/>
  <c r="X20" i="91" s="1"/>
  <c r="T19" i="91"/>
  <c r="X19" i="91" s="1"/>
  <c r="T18" i="91"/>
  <c r="X18" i="91" s="1"/>
  <c r="T17" i="91"/>
  <c r="X17" i="91" s="1"/>
  <c r="T16" i="91"/>
  <c r="X16" i="91" s="1"/>
  <c r="T15" i="91"/>
  <c r="X15" i="91" s="1"/>
  <c r="T14" i="91"/>
  <c r="X14" i="91" s="1"/>
  <c r="T13" i="91"/>
  <c r="T12" i="91"/>
  <c r="X12" i="91" s="1"/>
  <c r="T6" i="91"/>
  <c r="R2" i="91"/>
  <c r="V103" i="90"/>
  <c r="J104" i="90"/>
  <c r="G103" i="90"/>
  <c r="J98" i="90"/>
  <c r="E98" i="90"/>
  <c r="T97" i="90"/>
  <c r="X96" i="90"/>
  <c r="T96" i="90"/>
  <c r="T92" i="90"/>
  <c r="V92" i="90"/>
  <c r="T91" i="90"/>
  <c r="V91" i="90"/>
  <c r="T90" i="90"/>
  <c r="V90" i="90"/>
  <c r="V87" i="90"/>
  <c r="V86" i="90"/>
  <c r="V85" i="90"/>
  <c r="V83" i="90"/>
  <c r="Y81" i="90"/>
  <c r="X83" i="90" s="1"/>
  <c r="J81" i="90"/>
  <c r="Y80" i="90"/>
  <c r="V71" i="90"/>
  <c r="V70" i="90"/>
  <c r="V67" i="90"/>
  <c r="X64" i="90"/>
  <c r="X61" i="90"/>
  <c r="X58" i="90"/>
  <c r="X55" i="90"/>
  <c r="X52" i="90"/>
  <c r="T50" i="90"/>
  <c r="D50" i="90"/>
  <c r="E46" i="90" s="1"/>
  <c r="C50" i="90"/>
  <c r="Y49" i="90"/>
  <c r="Y48" i="90"/>
  <c r="Y47" i="90"/>
  <c r="Y46" i="90"/>
  <c r="Y45" i="90"/>
  <c r="Y44" i="90"/>
  <c r="Y43" i="90"/>
  <c r="Y42" i="90"/>
  <c r="Y41" i="90"/>
  <c r="Y37" i="90"/>
  <c r="J37" i="90"/>
  <c r="Y36" i="90"/>
  <c r="Y38" i="90" s="1"/>
  <c r="J36" i="90"/>
  <c r="G32" i="90"/>
  <c r="V32" i="90"/>
  <c r="E23" i="90"/>
  <c r="I23" i="90" s="1"/>
  <c r="T27" i="90"/>
  <c r="X27" i="90" s="1"/>
  <c r="T26" i="90"/>
  <c r="X26" i="90" s="1"/>
  <c r="T25" i="90"/>
  <c r="X25" i="90" s="1"/>
  <c r="T24" i="90"/>
  <c r="X24" i="90" s="1"/>
  <c r="T23" i="90"/>
  <c r="X23" i="90" s="1"/>
  <c r="T22" i="90"/>
  <c r="X22" i="90" s="1"/>
  <c r="T21" i="90"/>
  <c r="X21" i="90" s="1"/>
  <c r="T20" i="90"/>
  <c r="X20" i="90" s="1"/>
  <c r="T19" i="90"/>
  <c r="X19" i="90" s="1"/>
  <c r="T18" i="90"/>
  <c r="X18" i="90" s="1"/>
  <c r="T17" i="90"/>
  <c r="X17" i="90" s="1"/>
  <c r="T16" i="90"/>
  <c r="X16" i="90" s="1"/>
  <c r="T15" i="90"/>
  <c r="X15" i="90" s="1"/>
  <c r="T14" i="90"/>
  <c r="X14" i="90" s="1"/>
  <c r="T13" i="90"/>
  <c r="X13" i="90" s="1"/>
  <c r="T12" i="90"/>
  <c r="X12" i="90" s="1"/>
  <c r="T6" i="90"/>
  <c r="R2" i="90"/>
  <c r="V103" i="89"/>
  <c r="J104" i="89"/>
  <c r="G103" i="89"/>
  <c r="X97" i="89"/>
  <c r="E98" i="89"/>
  <c r="T97" i="89"/>
  <c r="X96" i="89"/>
  <c r="T96" i="89"/>
  <c r="T92" i="89"/>
  <c r="V92" i="89"/>
  <c r="T91" i="89"/>
  <c r="V91" i="89"/>
  <c r="T90" i="89"/>
  <c r="V90" i="89"/>
  <c r="V87" i="89"/>
  <c r="V86" i="89"/>
  <c r="V83" i="89"/>
  <c r="Y80" i="89"/>
  <c r="V70" i="89"/>
  <c r="V67" i="89"/>
  <c r="X64" i="89"/>
  <c r="X61" i="89"/>
  <c r="X58" i="89"/>
  <c r="X55" i="89"/>
  <c r="X52" i="89"/>
  <c r="T50" i="89"/>
  <c r="D50" i="89"/>
  <c r="E46" i="89" s="1"/>
  <c r="C50" i="89"/>
  <c r="Y49" i="89"/>
  <c r="Y48" i="89"/>
  <c r="Y47" i="89"/>
  <c r="Y46" i="89"/>
  <c r="Y45" i="89"/>
  <c r="Y44" i="89"/>
  <c r="Y43" i="89"/>
  <c r="E43" i="89"/>
  <c r="Y42" i="89"/>
  <c r="Y41" i="89"/>
  <c r="Y37" i="89"/>
  <c r="J37" i="89"/>
  <c r="Y36" i="89"/>
  <c r="J36" i="89"/>
  <c r="J38" i="89" s="1"/>
  <c r="G32" i="89"/>
  <c r="V32" i="89"/>
  <c r="E23" i="89"/>
  <c r="I23" i="89" s="1"/>
  <c r="T27" i="89"/>
  <c r="X27" i="89" s="1"/>
  <c r="T26" i="89"/>
  <c r="X26" i="89" s="1"/>
  <c r="T25" i="89"/>
  <c r="X25" i="89" s="1"/>
  <c r="T24" i="89"/>
  <c r="X24" i="89" s="1"/>
  <c r="T23" i="89"/>
  <c r="X23" i="89" s="1"/>
  <c r="T22" i="89"/>
  <c r="X22" i="89" s="1"/>
  <c r="T21" i="89"/>
  <c r="X21" i="89" s="1"/>
  <c r="T20" i="89"/>
  <c r="X20" i="89" s="1"/>
  <c r="T19" i="89"/>
  <c r="X19" i="89" s="1"/>
  <c r="T18" i="89"/>
  <c r="X18" i="89" s="1"/>
  <c r="T17" i="89"/>
  <c r="X17" i="89" s="1"/>
  <c r="T16" i="89"/>
  <c r="X16" i="89" s="1"/>
  <c r="T15" i="89"/>
  <c r="X15" i="89" s="1"/>
  <c r="T14" i="89"/>
  <c r="X14" i="89" s="1"/>
  <c r="T13" i="89"/>
  <c r="T12" i="89"/>
  <c r="X12" i="89" s="1"/>
  <c r="T6" i="89"/>
  <c r="R2" i="89"/>
  <c r="G103" i="88"/>
  <c r="X97" i="88"/>
  <c r="Y97" i="88" s="1"/>
  <c r="E98" i="88"/>
  <c r="T97" i="88"/>
  <c r="X96" i="88"/>
  <c r="T96" i="88"/>
  <c r="T92" i="88"/>
  <c r="V92" i="88"/>
  <c r="T91" i="88"/>
  <c r="V91" i="88"/>
  <c r="T90" i="88"/>
  <c r="V90" i="88"/>
  <c r="V87" i="88"/>
  <c r="V86" i="88"/>
  <c r="V85" i="88"/>
  <c r="V83" i="88"/>
  <c r="Y81" i="88"/>
  <c r="Y80" i="88"/>
  <c r="V70" i="88"/>
  <c r="V67" i="88"/>
  <c r="X64" i="88"/>
  <c r="X61" i="88"/>
  <c r="X58" i="88"/>
  <c r="X55" i="88"/>
  <c r="X52" i="88"/>
  <c r="T50" i="88"/>
  <c r="D50" i="88"/>
  <c r="E46" i="88" s="1"/>
  <c r="C50" i="88"/>
  <c r="Y49" i="88"/>
  <c r="Y48" i="88"/>
  <c r="Y47" i="88"/>
  <c r="Y46" i="88"/>
  <c r="Y45" i="88"/>
  <c r="Y44" i="88"/>
  <c r="Y43" i="88"/>
  <c r="Y42" i="88"/>
  <c r="Y41" i="88"/>
  <c r="Y37" i="88"/>
  <c r="J37" i="88"/>
  <c r="Y36" i="88"/>
  <c r="J36" i="88"/>
  <c r="J38" i="88" s="1"/>
  <c r="G32" i="88"/>
  <c r="V32" i="88"/>
  <c r="E23" i="88"/>
  <c r="I23" i="88" s="1"/>
  <c r="T27" i="88"/>
  <c r="X27" i="88" s="1"/>
  <c r="T26" i="88"/>
  <c r="X26" i="88" s="1"/>
  <c r="T25" i="88"/>
  <c r="X25" i="88" s="1"/>
  <c r="T24" i="88"/>
  <c r="X24" i="88" s="1"/>
  <c r="T23" i="88"/>
  <c r="X23" i="88" s="1"/>
  <c r="T22" i="88"/>
  <c r="X22" i="88" s="1"/>
  <c r="T21" i="88"/>
  <c r="X21" i="88" s="1"/>
  <c r="T20" i="88"/>
  <c r="X20" i="88" s="1"/>
  <c r="T19" i="88"/>
  <c r="X19" i="88" s="1"/>
  <c r="T18" i="88"/>
  <c r="X18" i="88" s="1"/>
  <c r="T17" i="88"/>
  <c r="X17" i="88" s="1"/>
  <c r="T16" i="88"/>
  <c r="X16" i="88" s="1"/>
  <c r="T15" i="88"/>
  <c r="X15" i="88" s="1"/>
  <c r="T14" i="88"/>
  <c r="X14" i="88" s="1"/>
  <c r="T13" i="88"/>
  <c r="T12" i="88"/>
  <c r="X12" i="88" s="1"/>
  <c r="T6" i="88"/>
  <c r="R2" i="88"/>
  <c r="G103" i="87"/>
  <c r="E98" i="87"/>
  <c r="T97" i="87"/>
  <c r="X96" i="87"/>
  <c r="E97" i="87"/>
  <c r="T96" i="87"/>
  <c r="T92" i="87"/>
  <c r="V92" i="87"/>
  <c r="T91" i="87"/>
  <c r="V91" i="87"/>
  <c r="T90" i="87"/>
  <c r="V90" i="87"/>
  <c r="V87" i="87"/>
  <c r="V86" i="87"/>
  <c r="Y81" i="87"/>
  <c r="J81" i="87"/>
  <c r="Y80" i="87"/>
  <c r="V71" i="87"/>
  <c r="V67" i="87"/>
  <c r="X64" i="87"/>
  <c r="X61" i="87"/>
  <c r="X58" i="87"/>
  <c r="X55" i="87"/>
  <c r="X52" i="87"/>
  <c r="T50" i="87"/>
  <c r="D50" i="87"/>
  <c r="E46" i="87" s="1"/>
  <c r="C50" i="87"/>
  <c r="Y49" i="87"/>
  <c r="Y48" i="87"/>
  <c r="Y47" i="87"/>
  <c r="E47" i="87"/>
  <c r="Y46" i="87"/>
  <c r="Y45" i="87"/>
  <c r="Y44" i="87"/>
  <c r="Y43" i="87"/>
  <c r="Y42" i="87"/>
  <c r="Y41" i="87"/>
  <c r="Y37" i="87"/>
  <c r="J37" i="87"/>
  <c r="Y36" i="87"/>
  <c r="Y38" i="87" s="1"/>
  <c r="J36" i="87"/>
  <c r="G32" i="87"/>
  <c r="V32" i="87"/>
  <c r="E23" i="87"/>
  <c r="I23" i="87" s="1"/>
  <c r="T27" i="87"/>
  <c r="X27" i="87" s="1"/>
  <c r="T26" i="87"/>
  <c r="X26" i="87" s="1"/>
  <c r="T25" i="87"/>
  <c r="X25" i="87" s="1"/>
  <c r="T24" i="87"/>
  <c r="X24" i="87" s="1"/>
  <c r="T23" i="87"/>
  <c r="X23" i="87" s="1"/>
  <c r="T22" i="87"/>
  <c r="X22" i="87" s="1"/>
  <c r="T21" i="87"/>
  <c r="X21" i="87" s="1"/>
  <c r="T20" i="87"/>
  <c r="X20" i="87" s="1"/>
  <c r="T19" i="87"/>
  <c r="X19" i="87" s="1"/>
  <c r="T18" i="87"/>
  <c r="X18" i="87" s="1"/>
  <c r="T17" i="87"/>
  <c r="X17" i="87" s="1"/>
  <c r="T16" i="87"/>
  <c r="X16" i="87" s="1"/>
  <c r="T15" i="87"/>
  <c r="X15" i="87" s="1"/>
  <c r="T14" i="87"/>
  <c r="T13" i="87"/>
  <c r="X13" i="87" s="1"/>
  <c r="T12" i="87"/>
  <c r="X12" i="87" s="1"/>
  <c r="T6" i="87"/>
  <c r="R2" i="87"/>
  <c r="V103" i="86"/>
  <c r="G103" i="86"/>
  <c r="J98" i="86"/>
  <c r="E98" i="86"/>
  <c r="T97" i="86"/>
  <c r="X96" i="86"/>
  <c r="T96" i="86"/>
  <c r="T92" i="86"/>
  <c r="V92" i="86"/>
  <c r="T91" i="86"/>
  <c r="V91" i="86"/>
  <c r="T90" i="86"/>
  <c r="V90" i="86"/>
  <c r="V87" i="86"/>
  <c r="V86" i="86"/>
  <c r="V83" i="86"/>
  <c r="Y81" i="86"/>
  <c r="J81" i="86"/>
  <c r="Y80" i="86"/>
  <c r="V71" i="86"/>
  <c r="V70" i="86"/>
  <c r="V67" i="86"/>
  <c r="X64" i="86"/>
  <c r="X61" i="86"/>
  <c r="X58" i="86"/>
  <c r="X55" i="86"/>
  <c r="X52" i="86"/>
  <c r="T50" i="86"/>
  <c r="D50" i="86"/>
  <c r="E48" i="86" s="1"/>
  <c r="C50" i="86"/>
  <c r="Y49" i="86"/>
  <c r="Y48" i="86"/>
  <c r="Y47" i="86"/>
  <c r="Y46" i="86"/>
  <c r="Y45" i="86"/>
  <c r="Y44" i="86"/>
  <c r="Y43" i="86"/>
  <c r="Y42" i="86"/>
  <c r="Y41" i="86"/>
  <c r="Y37" i="86"/>
  <c r="J37" i="86"/>
  <c r="Y36" i="86"/>
  <c r="Y38" i="86" s="1"/>
  <c r="J36" i="86"/>
  <c r="J38" i="86" s="1"/>
  <c r="G32" i="86"/>
  <c r="V32" i="86"/>
  <c r="E25" i="86"/>
  <c r="I25" i="86" s="1"/>
  <c r="T27" i="86"/>
  <c r="X27" i="86" s="1"/>
  <c r="T26" i="86"/>
  <c r="X26" i="86" s="1"/>
  <c r="T25" i="86"/>
  <c r="X25" i="86" s="1"/>
  <c r="T24" i="86"/>
  <c r="X24" i="86" s="1"/>
  <c r="T23" i="86"/>
  <c r="X23" i="86" s="1"/>
  <c r="T22" i="86"/>
  <c r="X22" i="86" s="1"/>
  <c r="T21" i="86"/>
  <c r="X21" i="86" s="1"/>
  <c r="T20" i="86"/>
  <c r="X20" i="86" s="1"/>
  <c r="T19" i="86"/>
  <c r="X19" i="86" s="1"/>
  <c r="T18" i="86"/>
  <c r="X18" i="86" s="1"/>
  <c r="T17" i="86"/>
  <c r="X17" i="86" s="1"/>
  <c r="T16" i="86"/>
  <c r="X16" i="86" s="1"/>
  <c r="T15" i="86"/>
  <c r="X15" i="86" s="1"/>
  <c r="T14" i="86"/>
  <c r="X14" i="86" s="1"/>
  <c r="T13" i="86"/>
  <c r="T12" i="86"/>
  <c r="X12" i="86" s="1"/>
  <c r="T6" i="86"/>
  <c r="R2" i="86"/>
  <c r="V103" i="85"/>
  <c r="J104" i="85"/>
  <c r="G103" i="85"/>
  <c r="E98" i="85"/>
  <c r="T97" i="85"/>
  <c r="X96" i="85"/>
  <c r="T96" i="85"/>
  <c r="T92" i="85"/>
  <c r="V92" i="85"/>
  <c r="T91" i="85"/>
  <c r="V91" i="85"/>
  <c r="T90" i="85"/>
  <c r="V90" i="85"/>
  <c r="V87" i="85"/>
  <c r="V83" i="85"/>
  <c r="Y81" i="85"/>
  <c r="Y80" i="85"/>
  <c r="V71" i="85"/>
  <c r="V70" i="85"/>
  <c r="V67" i="85"/>
  <c r="X64" i="85"/>
  <c r="X61" i="85"/>
  <c r="X58" i="85"/>
  <c r="X55" i="85"/>
  <c r="X52" i="85"/>
  <c r="T50" i="85"/>
  <c r="D50" i="85"/>
  <c r="E46" i="85" s="1"/>
  <c r="C50" i="85"/>
  <c r="Y49" i="85"/>
  <c r="Y48" i="85"/>
  <c r="Y47" i="85"/>
  <c r="Y46" i="85"/>
  <c r="Y45" i="85"/>
  <c r="Y44" i="85"/>
  <c r="Y43" i="85"/>
  <c r="Y42" i="85"/>
  <c r="Y41" i="85"/>
  <c r="Y37" i="85"/>
  <c r="J37" i="85"/>
  <c r="Y36" i="85"/>
  <c r="J36" i="85"/>
  <c r="G32" i="85"/>
  <c r="V32" i="85"/>
  <c r="E23" i="85"/>
  <c r="I23" i="85" s="1"/>
  <c r="T27" i="85"/>
  <c r="X27" i="85" s="1"/>
  <c r="T26" i="85"/>
  <c r="X26" i="85" s="1"/>
  <c r="T25" i="85"/>
  <c r="X25" i="85" s="1"/>
  <c r="T24" i="85"/>
  <c r="X24" i="85" s="1"/>
  <c r="T23" i="85"/>
  <c r="X23" i="85" s="1"/>
  <c r="T22" i="85"/>
  <c r="X22" i="85" s="1"/>
  <c r="T21" i="85"/>
  <c r="X21" i="85" s="1"/>
  <c r="T20" i="85"/>
  <c r="X20" i="85" s="1"/>
  <c r="T19" i="85"/>
  <c r="X19" i="85" s="1"/>
  <c r="T18" i="85"/>
  <c r="X18" i="85" s="1"/>
  <c r="T17" i="85"/>
  <c r="X17" i="85" s="1"/>
  <c r="T16" i="85"/>
  <c r="X16" i="85" s="1"/>
  <c r="T15" i="85"/>
  <c r="X15" i="85" s="1"/>
  <c r="T14" i="85"/>
  <c r="X14" i="85" s="1"/>
  <c r="T13" i="85"/>
  <c r="T12" i="85"/>
  <c r="X12" i="85" s="1"/>
  <c r="T6" i="85"/>
  <c r="R2" i="85"/>
  <c r="G103" i="84"/>
  <c r="J98" i="84"/>
  <c r="E98" i="84"/>
  <c r="T97" i="84"/>
  <c r="X96" i="84"/>
  <c r="E97" i="84"/>
  <c r="T96" i="84"/>
  <c r="T92" i="84"/>
  <c r="V92" i="84"/>
  <c r="T91" i="84"/>
  <c r="V91" i="84"/>
  <c r="T90" i="84"/>
  <c r="V90" i="84"/>
  <c r="V86" i="84"/>
  <c r="Y81" i="84"/>
  <c r="X83" i="84" s="1"/>
  <c r="J81" i="84"/>
  <c r="Y80" i="84"/>
  <c r="V71" i="84"/>
  <c r="V70" i="84"/>
  <c r="V67" i="84"/>
  <c r="X64" i="84"/>
  <c r="X61" i="84"/>
  <c r="X58" i="84"/>
  <c r="X55" i="84"/>
  <c r="X52" i="84"/>
  <c r="T50" i="84"/>
  <c r="D50" i="84"/>
  <c r="C50" i="84"/>
  <c r="Y49" i="84"/>
  <c r="Y48" i="84"/>
  <c r="Y47" i="84"/>
  <c r="Y46" i="84"/>
  <c r="Y45" i="84"/>
  <c r="Y44" i="84"/>
  <c r="Y43" i="84"/>
  <c r="Y42" i="84"/>
  <c r="Y41" i="84"/>
  <c r="Y37" i="84"/>
  <c r="J37" i="84"/>
  <c r="Y36" i="84"/>
  <c r="J36" i="84"/>
  <c r="G32" i="84"/>
  <c r="V32" i="84"/>
  <c r="E23" i="84"/>
  <c r="I23" i="84" s="1"/>
  <c r="T27" i="84"/>
  <c r="X27" i="84" s="1"/>
  <c r="E27" i="84"/>
  <c r="I27" i="84" s="1"/>
  <c r="T26" i="84"/>
  <c r="X26" i="84" s="1"/>
  <c r="T25" i="84"/>
  <c r="X25" i="84" s="1"/>
  <c r="T24" i="84"/>
  <c r="X24" i="84" s="1"/>
  <c r="E24" i="84"/>
  <c r="I24" i="84" s="1"/>
  <c r="T23" i="84"/>
  <c r="X23" i="84" s="1"/>
  <c r="T22" i="84"/>
  <c r="X22" i="84" s="1"/>
  <c r="T21" i="84"/>
  <c r="X21" i="84" s="1"/>
  <c r="E21" i="84"/>
  <c r="I21" i="84" s="1"/>
  <c r="T20" i="84"/>
  <c r="X20" i="84" s="1"/>
  <c r="E20" i="84"/>
  <c r="I20" i="84" s="1"/>
  <c r="T19" i="84"/>
  <c r="X19" i="84" s="1"/>
  <c r="T18" i="84"/>
  <c r="X18" i="84" s="1"/>
  <c r="T17" i="84"/>
  <c r="X17" i="84" s="1"/>
  <c r="T16" i="84"/>
  <c r="X16" i="84" s="1"/>
  <c r="T15" i="84"/>
  <c r="X15" i="84" s="1"/>
  <c r="T14" i="84"/>
  <c r="X14" i="84" s="1"/>
  <c r="E14" i="84"/>
  <c r="I14" i="84" s="1"/>
  <c r="T13" i="84"/>
  <c r="T12" i="84"/>
  <c r="X12" i="84" s="1"/>
  <c r="T6" i="84"/>
  <c r="R2" i="84"/>
  <c r="J104" i="83"/>
  <c r="G103" i="83"/>
  <c r="X97" i="83"/>
  <c r="E98" i="83"/>
  <c r="T97" i="83"/>
  <c r="X96" i="83"/>
  <c r="E97" i="83"/>
  <c r="T96" i="83"/>
  <c r="T92" i="83"/>
  <c r="V92" i="83"/>
  <c r="T91" i="83"/>
  <c r="V91" i="83"/>
  <c r="T90" i="83"/>
  <c r="V90" i="83"/>
  <c r="V85" i="83"/>
  <c r="V83" i="83"/>
  <c r="Y81" i="83"/>
  <c r="J81" i="83"/>
  <c r="Y80" i="83"/>
  <c r="V71" i="83"/>
  <c r="V70" i="83"/>
  <c r="V67" i="83"/>
  <c r="X64" i="83"/>
  <c r="X61" i="83"/>
  <c r="X58" i="83"/>
  <c r="X55" i="83"/>
  <c r="X52" i="83"/>
  <c r="T50" i="83"/>
  <c r="D50" i="83"/>
  <c r="C50" i="83"/>
  <c r="Y49" i="83"/>
  <c r="Y48" i="83"/>
  <c r="Y47" i="83"/>
  <c r="E47" i="83"/>
  <c r="Y46" i="83"/>
  <c r="Y45" i="83"/>
  <c r="Y44" i="83"/>
  <c r="Y43" i="83"/>
  <c r="Y42" i="83"/>
  <c r="Y41" i="83"/>
  <c r="Y37" i="83"/>
  <c r="J37" i="83"/>
  <c r="Y36" i="83"/>
  <c r="J36" i="83"/>
  <c r="G32" i="83"/>
  <c r="V32" i="83"/>
  <c r="E23" i="83"/>
  <c r="I23" i="83" s="1"/>
  <c r="T27" i="83"/>
  <c r="X27" i="83" s="1"/>
  <c r="T26" i="83"/>
  <c r="X26" i="83" s="1"/>
  <c r="T25" i="83"/>
  <c r="X25" i="83" s="1"/>
  <c r="T24" i="83"/>
  <c r="X24" i="83" s="1"/>
  <c r="T23" i="83"/>
  <c r="X23" i="83" s="1"/>
  <c r="T22" i="83"/>
  <c r="X22" i="83" s="1"/>
  <c r="T21" i="83"/>
  <c r="X21" i="83" s="1"/>
  <c r="T20" i="83"/>
  <c r="X20" i="83" s="1"/>
  <c r="T19" i="83"/>
  <c r="X19" i="83" s="1"/>
  <c r="T18" i="83"/>
  <c r="X18" i="83" s="1"/>
  <c r="T17" i="83"/>
  <c r="X17" i="83" s="1"/>
  <c r="T16" i="83"/>
  <c r="X16" i="83" s="1"/>
  <c r="T15" i="83"/>
  <c r="X15" i="83" s="1"/>
  <c r="T14" i="83"/>
  <c r="X14" i="83" s="1"/>
  <c r="T13" i="83"/>
  <c r="T12" i="83"/>
  <c r="X12" i="83" s="1"/>
  <c r="T6" i="83"/>
  <c r="D92" i="83"/>
  <c r="R2" i="83"/>
  <c r="V103" i="82"/>
  <c r="G103" i="82"/>
  <c r="X97" i="82"/>
  <c r="Y97" i="82" s="1"/>
  <c r="E98" i="82"/>
  <c r="T97" i="82"/>
  <c r="X96" i="82"/>
  <c r="T96" i="82"/>
  <c r="T92" i="82"/>
  <c r="V92" i="82"/>
  <c r="T91" i="82"/>
  <c r="V91" i="82"/>
  <c r="T90" i="82"/>
  <c r="V90" i="82"/>
  <c r="V86" i="82"/>
  <c r="V85" i="82"/>
  <c r="Y81" i="82"/>
  <c r="X83" i="82" s="1"/>
  <c r="Y80" i="82"/>
  <c r="V70" i="82"/>
  <c r="V67" i="82"/>
  <c r="X64" i="82"/>
  <c r="X61" i="82"/>
  <c r="X58" i="82"/>
  <c r="X55" i="82"/>
  <c r="X52" i="82"/>
  <c r="T50" i="82"/>
  <c r="D50" i="82"/>
  <c r="E46" i="82" s="1"/>
  <c r="C50" i="82"/>
  <c r="Y49" i="82"/>
  <c r="Y48" i="82"/>
  <c r="Y47" i="82"/>
  <c r="Y46" i="82"/>
  <c r="Y45" i="82"/>
  <c r="Y44" i="82"/>
  <c r="Y43" i="82"/>
  <c r="Y42" i="82"/>
  <c r="Y41" i="82"/>
  <c r="Y37" i="82"/>
  <c r="J37" i="82"/>
  <c r="Y36" i="82"/>
  <c r="Y38" i="82" s="1"/>
  <c r="J36" i="82"/>
  <c r="G32" i="82"/>
  <c r="V32" i="82"/>
  <c r="E23" i="82"/>
  <c r="I23" i="82" s="1"/>
  <c r="T27" i="82"/>
  <c r="X27" i="82" s="1"/>
  <c r="T26" i="82"/>
  <c r="X26" i="82" s="1"/>
  <c r="T25" i="82"/>
  <c r="X25" i="82" s="1"/>
  <c r="T24" i="82"/>
  <c r="X24" i="82" s="1"/>
  <c r="T23" i="82"/>
  <c r="X23" i="82" s="1"/>
  <c r="T22" i="82"/>
  <c r="X22" i="82" s="1"/>
  <c r="T21" i="82"/>
  <c r="X21" i="82" s="1"/>
  <c r="T20" i="82"/>
  <c r="X20" i="82" s="1"/>
  <c r="T19" i="82"/>
  <c r="X19" i="82" s="1"/>
  <c r="T18" i="82"/>
  <c r="X18" i="82" s="1"/>
  <c r="T17" i="82"/>
  <c r="X17" i="82" s="1"/>
  <c r="T16" i="82"/>
  <c r="X16" i="82" s="1"/>
  <c r="T15" i="82"/>
  <c r="X15" i="82" s="1"/>
  <c r="T14" i="82"/>
  <c r="X14" i="82" s="1"/>
  <c r="T13" i="82"/>
  <c r="T12" i="82"/>
  <c r="X12" i="82" s="1"/>
  <c r="T6" i="82"/>
  <c r="R2" i="82"/>
  <c r="V103" i="81"/>
  <c r="J104" i="81"/>
  <c r="G103" i="81"/>
  <c r="J98" i="81"/>
  <c r="E98" i="81"/>
  <c r="T97" i="81"/>
  <c r="X96" i="81"/>
  <c r="T96" i="81"/>
  <c r="T92" i="81"/>
  <c r="V92" i="81"/>
  <c r="T91" i="81"/>
  <c r="V91" i="81"/>
  <c r="T90" i="81"/>
  <c r="V90" i="81"/>
  <c r="V87" i="81"/>
  <c r="V86" i="81"/>
  <c r="Y81" i="81"/>
  <c r="Y80" i="81"/>
  <c r="V70" i="81"/>
  <c r="V67" i="81"/>
  <c r="X64" i="81"/>
  <c r="X61" i="81"/>
  <c r="X58" i="81"/>
  <c r="X55" i="81"/>
  <c r="X52" i="81"/>
  <c r="T50" i="81"/>
  <c r="D50" i="81"/>
  <c r="E46" i="81" s="1"/>
  <c r="C50" i="81"/>
  <c r="Y49" i="81"/>
  <c r="Y48" i="81"/>
  <c r="Y47" i="81"/>
  <c r="Y46" i="81"/>
  <c r="Y45" i="81"/>
  <c r="Y44" i="81"/>
  <c r="Y43" i="81"/>
  <c r="Y42" i="81"/>
  <c r="Y41" i="81"/>
  <c r="Y37" i="81"/>
  <c r="J37" i="81"/>
  <c r="Y36" i="81"/>
  <c r="Y38" i="81" s="1"/>
  <c r="J36" i="81"/>
  <c r="J38" i="81" s="1"/>
  <c r="G32" i="81"/>
  <c r="V32" i="81"/>
  <c r="E23" i="81"/>
  <c r="I23" i="81" s="1"/>
  <c r="T27" i="81"/>
  <c r="X27" i="81" s="1"/>
  <c r="T26" i="81"/>
  <c r="X26" i="81" s="1"/>
  <c r="T25" i="81"/>
  <c r="X25" i="81" s="1"/>
  <c r="T24" i="81"/>
  <c r="X24" i="81" s="1"/>
  <c r="T23" i="81"/>
  <c r="X23" i="81" s="1"/>
  <c r="T22" i="81"/>
  <c r="X22" i="81" s="1"/>
  <c r="T21" i="81"/>
  <c r="X21" i="81" s="1"/>
  <c r="T20" i="81"/>
  <c r="X20" i="81" s="1"/>
  <c r="T19" i="81"/>
  <c r="X19" i="81" s="1"/>
  <c r="T18" i="81"/>
  <c r="X18" i="81" s="1"/>
  <c r="T17" i="81"/>
  <c r="X17" i="81" s="1"/>
  <c r="T16" i="81"/>
  <c r="X16" i="81" s="1"/>
  <c r="T15" i="81"/>
  <c r="X15" i="81" s="1"/>
  <c r="T14" i="81"/>
  <c r="X14" i="81" s="1"/>
  <c r="T13" i="81"/>
  <c r="T12" i="81"/>
  <c r="X12" i="81" s="1"/>
  <c r="T6" i="81"/>
  <c r="R2" i="81"/>
  <c r="J104" i="80"/>
  <c r="G103" i="80"/>
  <c r="J98" i="80"/>
  <c r="E98" i="80"/>
  <c r="T97" i="80"/>
  <c r="X96" i="80"/>
  <c r="T96" i="80"/>
  <c r="T92" i="80"/>
  <c r="V92" i="80"/>
  <c r="T91" i="80"/>
  <c r="V91" i="80"/>
  <c r="T90" i="80"/>
  <c r="V90" i="80"/>
  <c r="V86" i="80"/>
  <c r="V85" i="80"/>
  <c r="Y81" i="80"/>
  <c r="J81" i="80"/>
  <c r="Y80" i="80"/>
  <c r="V70" i="80"/>
  <c r="V67" i="80"/>
  <c r="X64" i="80"/>
  <c r="X61" i="80"/>
  <c r="X58" i="80"/>
  <c r="X55" i="80"/>
  <c r="X52" i="80"/>
  <c r="T50" i="80"/>
  <c r="D50" i="80"/>
  <c r="E46" i="80" s="1"/>
  <c r="C50" i="80"/>
  <c r="Y49" i="80"/>
  <c r="Y48" i="80"/>
  <c r="Y47" i="80"/>
  <c r="Y46" i="80"/>
  <c r="Y45" i="80"/>
  <c r="Y44" i="80"/>
  <c r="Y43" i="80"/>
  <c r="Y42" i="80"/>
  <c r="Y41" i="80"/>
  <c r="Y37" i="80"/>
  <c r="J37" i="80"/>
  <c r="Y36" i="80"/>
  <c r="J36" i="80"/>
  <c r="G32" i="80"/>
  <c r="V32" i="80"/>
  <c r="E23" i="80"/>
  <c r="I23" i="80" s="1"/>
  <c r="T27" i="80"/>
  <c r="X27" i="80" s="1"/>
  <c r="T26" i="80"/>
  <c r="X26" i="80" s="1"/>
  <c r="T25" i="80"/>
  <c r="X25" i="80" s="1"/>
  <c r="T24" i="80"/>
  <c r="X24" i="80" s="1"/>
  <c r="T23" i="80"/>
  <c r="X23" i="80" s="1"/>
  <c r="T22" i="80"/>
  <c r="X22" i="80" s="1"/>
  <c r="T21" i="80"/>
  <c r="X21" i="80" s="1"/>
  <c r="T20" i="80"/>
  <c r="X20" i="80" s="1"/>
  <c r="T19" i="80"/>
  <c r="X19" i="80" s="1"/>
  <c r="T18" i="80"/>
  <c r="X18" i="80" s="1"/>
  <c r="T17" i="80"/>
  <c r="X17" i="80" s="1"/>
  <c r="T16" i="80"/>
  <c r="X16" i="80" s="1"/>
  <c r="T15" i="80"/>
  <c r="X15" i="80" s="1"/>
  <c r="T14" i="80"/>
  <c r="X14" i="80" s="1"/>
  <c r="T13" i="80"/>
  <c r="T12" i="80"/>
  <c r="X12" i="80" s="1"/>
  <c r="T6" i="80"/>
  <c r="D90" i="80"/>
  <c r="R2" i="80"/>
  <c r="V103" i="79"/>
  <c r="J104" i="79"/>
  <c r="G103" i="79"/>
  <c r="J98" i="79"/>
  <c r="E98" i="79"/>
  <c r="T97" i="79"/>
  <c r="X96" i="79"/>
  <c r="T96" i="79"/>
  <c r="T92" i="79"/>
  <c r="V92" i="79"/>
  <c r="T91" i="79"/>
  <c r="V91" i="79"/>
  <c r="T90" i="79"/>
  <c r="V90" i="79"/>
  <c r="V87" i="79"/>
  <c r="V86" i="79"/>
  <c r="V85" i="79"/>
  <c r="V83" i="79"/>
  <c r="Y81" i="79"/>
  <c r="X83" i="79" s="1"/>
  <c r="Y80" i="79"/>
  <c r="V71" i="79"/>
  <c r="V70" i="79"/>
  <c r="V67" i="79"/>
  <c r="X64" i="79"/>
  <c r="X61" i="79"/>
  <c r="X58" i="79"/>
  <c r="X55" i="79"/>
  <c r="X52" i="79"/>
  <c r="T50" i="79"/>
  <c r="D50" i="79"/>
  <c r="C50" i="79"/>
  <c r="Y49" i="79"/>
  <c r="Y48" i="79"/>
  <c r="Y47" i="79"/>
  <c r="Y46" i="79"/>
  <c r="Y45" i="79"/>
  <c r="Y44" i="79"/>
  <c r="Y43" i="79"/>
  <c r="Y42" i="79"/>
  <c r="Y41" i="79"/>
  <c r="Y37" i="79"/>
  <c r="J37" i="79"/>
  <c r="Y36" i="79"/>
  <c r="Y38" i="79" s="1"/>
  <c r="J36" i="79"/>
  <c r="G32" i="79"/>
  <c r="V32" i="79"/>
  <c r="E23" i="79"/>
  <c r="I23" i="79" s="1"/>
  <c r="T27" i="79"/>
  <c r="X27" i="79" s="1"/>
  <c r="T26" i="79"/>
  <c r="X26" i="79" s="1"/>
  <c r="T25" i="79"/>
  <c r="X25" i="79" s="1"/>
  <c r="T24" i="79"/>
  <c r="X24" i="79" s="1"/>
  <c r="T23" i="79"/>
  <c r="X23" i="79" s="1"/>
  <c r="T22" i="79"/>
  <c r="X22" i="79" s="1"/>
  <c r="T21" i="79"/>
  <c r="X21" i="79" s="1"/>
  <c r="T20" i="79"/>
  <c r="X20" i="79" s="1"/>
  <c r="T19" i="79"/>
  <c r="X19" i="79" s="1"/>
  <c r="T18" i="79"/>
  <c r="X18" i="79" s="1"/>
  <c r="T17" i="79"/>
  <c r="X17" i="79" s="1"/>
  <c r="T16" i="79"/>
  <c r="X16" i="79" s="1"/>
  <c r="T15" i="79"/>
  <c r="X15" i="79" s="1"/>
  <c r="T14" i="79"/>
  <c r="X14" i="79" s="1"/>
  <c r="T13" i="79"/>
  <c r="T12" i="79"/>
  <c r="X12" i="79" s="1"/>
  <c r="T6" i="79"/>
  <c r="R2" i="79"/>
  <c r="V103" i="78"/>
  <c r="G103" i="78"/>
  <c r="E98" i="78"/>
  <c r="T97" i="78"/>
  <c r="X96" i="78"/>
  <c r="E97" i="78"/>
  <c r="T96" i="78"/>
  <c r="T92" i="78"/>
  <c r="V92" i="78"/>
  <c r="T91" i="78"/>
  <c r="V91" i="78"/>
  <c r="T90" i="78"/>
  <c r="V90" i="78"/>
  <c r="V86" i="78"/>
  <c r="V85" i="78"/>
  <c r="V83" i="78"/>
  <c r="Y81" i="78"/>
  <c r="X83" i="78" s="1"/>
  <c r="J81" i="78"/>
  <c r="Y80" i="78"/>
  <c r="V70" i="78"/>
  <c r="V67" i="78"/>
  <c r="X64" i="78"/>
  <c r="X61" i="78"/>
  <c r="X58" i="78"/>
  <c r="X55" i="78"/>
  <c r="X52" i="78"/>
  <c r="T50" i="78"/>
  <c r="D50" i="78"/>
  <c r="E46" i="78" s="1"/>
  <c r="C50" i="78"/>
  <c r="Y49" i="78"/>
  <c r="Y48" i="78"/>
  <c r="Y47" i="78"/>
  <c r="Y46" i="78"/>
  <c r="Y45" i="78"/>
  <c r="Y44" i="78"/>
  <c r="Y43" i="78"/>
  <c r="Y42" i="78"/>
  <c r="Y41" i="78"/>
  <c r="Y37" i="78"/>
  <c r="J37" i="78"/>
  <c r="Y36" i="78"/>
  <c r="Y38" i="78" s="1"/>
  <c r="J36" i="78"/>
  <c r="J38" i="78" s="1"/>
  <c r="G32" i="78"/>
  <c r="V32" i="78"/>
  <c r="E23" i="78"/>
  <c r="I23" i="78" s="1"/>
  <c r="T27" i="78"/>
  <c r="X27" i="78" s="1"/>
  <c r="T26" i="78"/>
  <c r="X26" i="78" s="1"/>
  <c r="T25" i="78"/>
  <c r="X25" i="78" s="1"/>
  <c r="T24" i="78"/>
  <c r="X24" i="78" s="1"/>
  <c r="T23" i="78"/>
  <c r="X23" i="78" s="1"/>
  <c r="T22" i="78"/>
  <c r="X22" i="78" s="1"/>
  <c r="T21" i="78"/>
  <c r="X21" i="78" s="1"/>
  <c r="T20" i="78"/>
  <c r="X20" i="78" s="1"/>
  <c r="T19" i="78"/>
  <c r="X19" i="78" s="1"/>
  <c r="T18" i="78"/>
  <c r="X18" i="78" s="1"/>
  <c r="T17" i="78"/>
  <c r="X17" i="78" s="1"/>
  <c r="T16" i="78"/>
  <c r="X16" i="78" s="1"/>
  <c r="T15" i="78"/>
  <c r="X15" i="78" s="1"/>
  <c r="T14" i="78"/>
  <c r="X14" i="78" s="1"/>
  <c r="T13" i="78"/>
  <c r="X13" i="78" s="1"/>
  <c r="T12" i="78"/>
  <c r="X12" i="78" s="1"/>
  <c r="T6" i="78"/>
  <c r="D92" i="78"/>
  <c r="R2" i="78"/>
  <c r="J104" i="77"/>
  <c r="G103" i="77"/>
  <c r="J98" i="77"/>
  <c r="E98" i="77"/>
  <c r="T97" i="77"/>
  <c r="X96" i="77"/>
  <c r="T92" i="77"/>
  <c r="V92" i="77"/>
  <c r="T91" i="77"/>
  <c r="V91" i="77"/>
  <c r="T90" i="77"/>
  <c r="V90" i="77"/>
  <c r="V87" i="77"/>
  <c r="V86" i="77"/>
  <c r="V85" i="77"/>
  <c r="Y81" i="77"/>
  <c r="X83" i="77" s="1"/>
  <c r="Y80" i="77"/>
  <c r="V71" i="77"/>
  <c r="V67" i="77"/>
  <c r="X64" i="77"/>
  <c r="X61" i="77"/>
  <c r="X58" i="77"/>
  <c r="X55" i="77"/>
  <c r="X52" i="77"/>
  <c r="T50" i="77"/>
  <c r="D50" i="77"/>
  <c r="E46" i="77" s="1"/>
  <c r="C50" i="77"/>
  <c r="Y49" i="77"/>
  <c r="Y48" i="77"/>
  <c r="Y47" i="77"/>
  <c r="Y46" i="77"/>
  <c r="Y45" i="77"/>
  <c r="Y44" i="77"/>
  <c r="Y43" i="77"/>
  <c r="Y42" i="77"/>
  <c r="Y41" i="77"/>
  <c r="Y37" i="77"/>
  <c r="J37" i="77"/>
  <c r="Y36" i="77"/>
  <c r="J36" i="77"/>
  <c r="G32" i="77"/>
  <c r="V32" i="77"/>
  <c r="E23" i="77"/>
  <c r="T6" i="77"/>
  <c r="R2" i="77"/>
  <c r="V103" i="76"/>
  <c r="J104" i="76"/>
  <c r="G103" i="76"/>
  <c r="J98" i="76"/>
  <c r="E98" i="76"/>
  <c r="T97" i="76"/>
  <c r="X96" i="76"/>
  <c r="T96" i="76"/>
  <c r="T92" i="76"/>
  <c r="V92" i="76"/>
  <c r="T91" i="76"/>
  <c r="V91" i="76"/>
  <c r="T90" i="76"/>
  <c r="V90" i="76"/>
  <c r="V87" i="76"/>
  <c r="V86" i="76"/>
  <c r="V83" i="76"/>
  <c r="Y81" i="76"/>
  <c r="X83" i="76" s="1"/>
  <c r="J81" i="76"/>
  <c r="Y80" i="76"/>
  <c r="V67" i="76"/>
  <c r="X64" i="76"/>
  <c r="X61" i="76"/>
  <c r="X58" i="76"/>
  <c r="X55" i="76"/>
  <c r="X52" i="76"/>
  <c r="T50" i="76"/>
  <c r="D50" i="76"/>
  <c r="E46" i="76" s="1"/>
  <c r="Y49" i="76"/>
  <c r="Y48" i="76"/>
  <c r="Y47" i="76"/>
  <c r="Y46" i="76"/>
  <c r="Y45" i="76"/>
  <c r="Y44" i="76"/>
  <c r="Y43" i="76"/>
  <c r="Y42" i="76"/>
  <c r="Y41" i="76"/>
  <c r="Y38" i="76"/>
  <c r="J36" i="76"/>
  <c r="J38" i="76" s="1"/>
  <c r="G32" i="76"/>
  <c r="V32" i="76"/>
  <c r="E23" i="76"/>
  <c r="I23" i="76" s="1"/>
  <c r="T6" i="76"/>
  <c r="R2" i="76"/>
  <c r="V103" i="75"/>
  <c r="G103" i="75"/>
  <c r="X97" i="75"/>
  <c r="E98" i="75"/>
  <c r="T97" i="75"/>
  <c r="X96" i="75"/>
  <c r="T96" i="75"/>
  <c r="T92" i="75"/>
  <c r="V92" i="75"/>
  <c r="T91" i="75"/>
  <c r="V91" i="75"/>
  <c r="T90" i="75"/>
  <c r="V90" i="75"/>
  <c r="V86" i="75"/>
  <c r="J81" i="75"/>
  <c r="Y80" i="75"/>
  <c r="V67" i="75"/>
  <c r="X64" i="75"/>
  <c r="X61" i="75"/>
  <c r="X58" i="75"/>
  <c r="X55" i="75"/>
  <c r="X52" i="75"/>
  <c r="T50" i="75"/>
  <c r="D50" i="75"/>
  <c r="E46" i="75" s="1"/>
  <c r="C50" i="75"/>
  <c r="Y49" i="75"/>
  <c r="Y48" i="75"/>
  <c r="Y47" i="75"/>
  <c r="Y46" i="75"/>
  <c r="Y45" i="75"/>
  <c r="Y44" i="75"/>
  <c r="Y43" i="75"/>
  <c r="Y42" i="75"/>
  <c r="Y41" i="75"/>
  <c r="Y37" i="75"/>
  <c r="J37" i="75"/>
  <c r="Y36" i="75"/>
  <c r="Y38" i="75" s="1"/>
  <c r="J36" i="75"/>
  <c r="J38" i="75" s="1"/>
  <c r="G32" i="75"/>
  <c r="V32" i="75"/>
  <c r="E23" i="75"/>
  <c r="I23" i="75" s="1"/>
  <c r="T27" i="75"/>
  <c r="X27" i="75" s="1"/>
  <c r="T26" i="75"/>
  <c r="X26" i="75" s="1"/>
  <c r="T25" i="75"/>
  <c r="X25" i="75" s="1"/>
  <c r="T24" i="75"/>
  <c r="X24" i="75" s="1"/>
  <c r="T23" i="75"/>
  <c r="X23" i="75" s="1"/>
  <c r="T22" i="75"/>
  <c r="X22" i="75" s="1"/>
  <c r="T21" i="75"/>
  <c r="X21" i="75" s="1"/>
  <c r="T20" i="75"/>
  <c r="X20" i="75" s="1"/>
  <c r="T19" i="75"/>
  <c r="X19" i="75" s="1"/>
  <c r="T18" i="75"/>
  <c r="X18" i="75" s="1"/>
  <c r="T17" i="75"/>
  <c r="X17" i="75" s="1"/>
  <c r="T16" i="75"/>
  <c r="X16" i="75" s="1"/>
  <c r="T15" i="75"/>
  <c r="X15" i="75" s="1"/>
  <c r="T14" i="75"/>
  <c r="X14" i="75" s="1"/>
  <c r="T13" i="75"/>
  <c r="T12" i="75"/>
  <c r="X12" i="75" s="1"/>
  <c r="T6" i="75"/>
  <c r="R2" i="75"/>
  <c r="J104" i="74"/>
  <c r="G103" i="74"/>
  <c r="X97" i="74"/>
  <c r="Y97" i="74" s="1"/>
  <c r="E98" i="74"/>
  <c r="T97" i="74"/>
  <c r="X96" i="74"/>
  <c r="T96" i="74"/>
  <c r="T92" i="74"/>
  <c r="V92" i="74"/>
  <c r="T91" i="74"/>
  <c r="V91" i="74"/>
  <c r="T90" i="74"/>
  <c r="V90" i="74"/>
  <c r="V86" i="74"/>
  <c r="V85" i="74"/>
  <c r="Y81" i="74"/>
  <c r="Y80" i="74"/>
  <c r="V67" i="74"/>
  <c r="X64" i="74"/>
  <c r="X61" i="74"/>
  <c r="X58" i="74"/>
  <c r="X55" i="74"/>
  <c r="X52" i="74"/>
  <c r="T50" i="74"/>
  <c r="D50" i="74"/>
  <c r="E46" i="74" s="1"/>
  <c r="C50" i="74"/>
  <c r="Y49" i="74"/>
  <c r="Y48" i="74"/>
  <c r="Y47" i="74"/>
  <c r="Y46" i="74"/>
  <c r="Y45" i="74"/>
  <c r="Y44" i="74"/>
  <c r="Y43" i="74"/>
  <c r="Y42" i="74"/>
  <c r="Y41" i="74"/>
  <c r="Y37" i="74"/>
  <c r="J37" i="74"/>
  <c r="Y36" i="74"/>
  <c r="J36" i="74"/>
  <c r="G32" i="74"/>
  <c r="V32" i="74"/>
  <c r="E23" i="74"/>
  <c r="I23" i="74" s="1"/>
  <c r="T27" i="74"/>
  <c r="X27" i="74" s="1"/>
  <c r="T26" i="74"/>
  <c r="X26" i="74" s="1"/>
  <c r="T25" i="74"/>
  <c r="X25" i="74" s="1"/>
  <c r="T24" i="74"/>
  <c r="X24" i="74" s="1"/>
  <c r="T23" i="74"/>
  <c r="X23" i="74" s="1"/>
  <c r="T22" i="74"/>
  <c r="X22" i="74" s="1"/>
  <c r="T21" i="74"/>
  <c r="X21" i="74" s="1"/>
  <c r="T20" i="74"/>
  <c r="X20" i="74" s="1"/>
  <c r="T19" i="74"/>
  <c r="X19" i="74" s="1"/>
  <c r="T18" i="74"/>
  <c r="X18" i="74" s="1"/>
  <c r="T17" i="74"/>
  <c r="X17" i="74" s="1"/>
  <c r="T16" i="74"/>
  <c r="X16" i="74" s="1"/>
  <c r="T15" i="74"/>
  <c r="X15" i="74" s="1"/>
  <c r="T14" i="74"/>
  <c r="X14" i="74" s="1"/>
  <c r="T13" i="74"/>
  <c r="T12" i="74"/>
  <c r="X12" i="74" s="1"/>
  <c r="T6" i="74"/>
  <c r="R2" i="74"/>
  <c r="V103" i="73"/>
  <c r="J104" i="73"/>
  <c r="G103" i="73"/>
  <c r="J98" i="73"/>
  <c r="E98" i="73"/>
  <c r="T97" i="73"/>
  <c r="X96" i="73"/>
  <c r="T96" i="73"/>
  <c r="T92" i="73"/>
  <c r="V92" i="73"/>
  <c r="T91" i="73"/>
  <c r="V91" i="73"/>
  <c r="T90" i="73"/>
  <c r="V90" i="73"/>
  <c r="V87" i="73"/>
  <c r="V85" i="73"/>
  <c r="Y81" i="73"/>
  <c r="J81" i="73"/>
  <c r="Y80" i="73"/>
  <c r="V67" i="73"/>
  <c r="X64" i="73"/>
  <c r="X61" i="73"/>
  <c r="X58" i="73"/>
  <c r="X55" i="73"/>
  <c r="X52" i="73"/>
  <c r="T50" i="73"/>
  <c r="D50" i="73"/>
  <c r="E46" i="73" s="1"/>
  <c r="C50" i="73"/>
  <c r="Y49" i="73"/>
  <c r="Y48" i="73"/>
  <c r="Y47" i="73"/>
  <c r="Y46" i="73"/>
  <c r="Y45" i="73"/>
  <c r="Y44" i="73"/>
  <c r="Y43" i="73"/>
  <c r="Y42" i="73"/>
  <c r="Y41" i="73"/>
  <c r="Y37" i="73"/>
  <c r="J37" i="73"/>
  <c r="Y36" i="73"/>
  <c r="Y38" i="73" s="1"/>
  <c r="J36" i="73"/>
  <c r="G32" i="73"/>
  <c r="V32" i="73"/>
  <c r="E23" i="73"/>
  <c r="I23" i="73" s="1"/>
  <c r="T27" i="73"/>
  <c r="X27" i="73" s="1"/>
  <c r="T26" i="73"/>
  <c r="X26" i="73" s="1"/>
  <c r="T25" i="73"/>
  <c r="X25" i="73" s="1"/>
  <c r="T24" i="73"/>
  <c r="X24" i="73" s="1"/>
  <c r="T23" i="73"/>
  <c r="X23" i="73" s="1"/>
  <c r="T22" i="73"/>
  <c r="X22" i="73" s="1"/>
  <c r="T21" i="73"/>
  <c r="X21" i="73" s="1"/>
  <c r="T20" i="73"/>
  <c r="X20" i="73" s="1"/>
  <c r="T19" i="73"/>
  <c r="X19" i="73" s="1"/>
  <c r="T18" i="73"/>
  <c r="X18" i="73" s="1"/>
  <c r="T17" i="73"/>
  <c r="X17" i="73" s="1"/>
  <c r="T16" i="73"/>
  <c r="X16" i="73" s="1"/>
  <c r="T15" i="73"/>
  <c r="T14" i="73"/>
  <c r="X14" i="73" s="1"/>
  <c r="T13" i="73"/>
  <c r="X13" i="73" s="1"/>
  <c r="T12" i="73"/>
  <c r="X12" i="73" s="1"/>
  <c r="T6" i="73"/>
  <c r="R2" i="73"/>
  <c r="V103" i="72"/>
  <c r="J104" i="72"/>
  <c r="G103" i="72"/>
  <c r="X97" i="72"/>
  <c r="Y97" i="72" s="1"/>
  <c r="E98" i="72"/>
  <c r="T97" i="72"/>
  <c r="X96" i="72"/>
  <c r="T96" i="72"/>
  <c r="T92" i="72"/>
  <c r="V92" i="72"/>
  <c r="T91" i="72"/>
  <c r="V91" i="72"/>
  <c r="T90" i="72"/>
  <c r="V90" i="72"/>
  <c r="V86" i="72"/>
  <c r="V83" i="72"/>
  <c r="Y81" i="72"/>
  <c r="J81" i="72"/>
  <c r="Y80" i="72"/>
  <c r="V70" i="72"/>
  <c r="V67" i="72"/>
  <c r="X64" i="72"/>
  <c r="X61" i="72"/>
  <c r="X58" i="72"/>
  <c r="X55" i="72"/>
  <c r="X52" i="72"/>
  <c r="T50" i="72"/>
  <c r="D50" i="72"/>
  <c r="E46" i="72" s="1"/>
  <c r="C50" i="72"/>
  <c r="Y49" i="72"/>
  <c r="Y48" i="72"/>
  <c r="Y47" i="72"/>
  <c r="Y46" i="72"/>
  <c r="Y45" i="72"/>
  <c r="Y44" i="72"/>
  <c r="Y43" i="72"/>
  <c r="Y42" i="72"/>
  <c r="Y41" i="72"/>
  <c r="Y37" i="72"/>
  <c r="J37" i="72"/>
  <c r="Y36" i="72"/>
  <c r="Y38" i="72" s="1"/>
  <c r="J36" i="72"/>
  <c r="J38" i="72" s="1"/>
  <c r="G32" i="72"/>
  <c r="V32" i="72"/>
  <c r="E23" i="72"/>
  <c r="I23" i="72" s="1"/>
  <c r="T27" i="72"/>
  <c r="X27" i="72" s="1"/>
  <c r="T26" i="72"/>
  <c r="X26" i="72" s="1"/>
  <c r="T25" i="72"/>
  <c r="X25" i="72" s="1"/>
  <c r="T24" i="72"/>
  <c r="X24" i="72" s="1"/>
  <c r="T23" i="72"/>
  <c r="X23" i="72" s="1"/>
  <c r="T22" i="72"/>
  <c r="X22" i="72" s="1"/>
  <c r="T21" i="72"/>
  <c r="X21" i="72" s="1"/>
  <c r="T20" i="72"/>
  <c r="X20" i="72" s="1"/>
  <c r="T19" i="72"/>
  <c r="X19" i="72" s="1"/>
  <c r="T18" i="72"/>
  <c r="X18" i="72" s="1"/>
  <c r="T17" i="72"/>
  <c r="X17" i="72" s="1"/>
  <c r="T16" i="72"/>
  <c r="X16" i="72" s="1"/>
  <c r="T15" i="72"/>
  <c r="X15" i="72" s="1"/>
  <c r="T14" i="72"/>
  <c r="X14" i="72" s="1"/>
  <c r="T13" i="72"/>
  <c r="T12" i="72"/>
  <c r="X12" i="72" s="1"/>
  <c r="T6" i="72"/>
  <c r="R2" i="72"/>
  <c r="V103" i="71"/>
  <c r="J104" i="71"/>
  <c r="G103" i="71"/>
  <c r="X97" i="71"/>
  <c r="E98" i="71"/>
  <c r="T97" i="71"/>
  <c r="X96" i="71"/>
  <c r="E97" i="71"/>
  <c r="T96" i="71"/>
  <c r="T92" i="71"/>
  <c r="V92" i="71"/>
  <c r="T91" i="71"/>
  <c r="V91" i="71"/>
  <c r="T90" i="71"/>
  <c r="V90" i="71"/>
  <c r="V86" i="71"/>
  <c r="V83" i="71"/>
  <c r="Y81" i="71"/>
  <c r="X83" i="71" s="1"/>
  <c r="J81" i="71"/>
  <c r="Y80" i="71"/>
  <c r="V71" i="71"/>
  <c r="V70" i="71"/>
  <c r="V67" i="71"/>
  <c r="X64" i="71"/>
  <c r="X61" i="71"/>
  <c r="X58" i="71"/>
  <c r="X55" i="71"/>
  <c r="X52" i="71"/>
  <c r="T50" i="71"/>
  <c r="D50" i="71"/>
  <c r="C50" i="71"/>
  <c r="Y49" i="71"/>
  <c r="Y48" i="71"/>
  <c r="Y47" i="71"/>
  <c r="Y46" i="71"/>
  <c r="Y45" i="71"/>
  <c r="Y44" i="71"/>
  <c r="Y43" i="71"/>
  <c r="Y42" i="71"/>
  <c r="Y41" i="71"/>
  <c r="Y37" i="71"/>
  <c r="J37" i="71"/>
  <c r="Y36" i="71"/>
  <c r="Y38" i="71" s="1"/>
  <c r="J36" i="71"/>
  <c r="G32" i="71"/>
  <c r="V32" i="71"/>
  <c r="E23" i="71"/>
  <c r="I23" i="71" s="1"/>
  <c r="T27" i="71"/>
  <c r="X27" i="71" s="1"/>
  <c r="T26" i="71"/>
  <c r="X26" i="71" s="1"/>
  <c r="T25" i="71"/>
  <c r="X25" i="71" s="1"/>
  <c r="T24" i="71"/>
  <c r="X24" i="71" s="1"/>
  <c r="T23" i="71"/>
  <c r="X23" i="71" s="1"/>
  <c r="T22" i="71"/>
  <c r="X22" i="71" s="1"/>
  <c r="T21" i="71"/>
  <c r="X21" i="71" s="1"/>
  <c r="T20" i="71"/>
  <c r="X20" i="71" s="1"/>
  <c r="T19" i="71"/>
  <c r="X19" i="71" s="1"/>
  <c r="T18" i="71"/>
  <c r="X18" i="71" s="1"/>
  <c r="T17" i="71"/>
  <c r="X17" i="71" s="1"/>
  <c r="E17" i="71"/>
  <c r="I17" i="71" s="1"/>
  <c r="T16" i="71"/>
  <c r="X16" i="71" s="1"/>
  <c r="T15" i="71"/>
  <c r="X15" i="71" s="1"/>
  <c r="T14" i="71"/>
  <c r="X14" i="71" s="1"/>
  <c r="T13" i="71"/>
  <c r="T12" i="71"/>
  <c r="X12" i="71" s="1"/>
  <c r="T6" i="71"/>
  <c r="D92" i="71"/>
  <c r="R2" i="71"/>
  <c r="J104" i="70"/>
  <c r="G103" i="70"/>
  <c r="J98" i="70"/>
  <c r="E98" i="70"/>
  <c r="T97" i="70"/>
  <c r="X96" i="70"/>
  <c r="T96" i="70"/>
  <c r="T92" i="70"/>
  <c r="V92" i="70"/>
  <c r="T91" i="70"/>
  <c r="V91" i="70"/>
  <c r="T90" i="70"/>
  <c r="V90" i="70"/>
  <c r="V86" i="70"/>
  <c r="V83" i="70"/>
  <c r="Y81" i="70"/>
  <c r="J81" i="70"/>
  <c r="Y80" i="70"/>
  <c r="V70" i="70"/>
  <c r="V67" i="70"/>
  <c r="X64" i="70"/>
  <c r="X61" i="70"/>
  <c r="X58" i="70"/>
  <c r="X55" i="70"/>
  <c r="X52" i="70"/>
  <c r="T50" i="70"/>
  <c r="D50" i="70"/>
  <c r="E46" i="70" s="1"/>
  <c r="C50" i="70"/>
  <c r="Y49" i="70"/>
  <c r="Y48" i="70"/>
  <c r="Y47" i="70"/>
  <c r="Y46" i="70"/>
  <c r="Y45" i="70"/>
  <c r="Y44" i="70"/>
  <c r="Y43" i="70"/>
  <c r="Y42" i="70"/>
  <c r="Y41" i="70"/>
  <c r="Y37" i="70"/>
  <c r="J37" i="70"/>
  <c r="Y36" i="70"/>
  <c r="J36" i="70"/>
  <c r="G32" i="70"/>
  <c r="V32" i="70"/>
  <c r="E23" i="70"/>
  <c r="I23" i="70" s="1"/>
  <c r="T27" i="70"/>
  <c r="X27" i="70" s="1"/>
  <c r="T26" i="70"/>
  <c r="X26" i="70" s="1"/>
  <c r="T25" i="70"/>
  <c r="X25" i="70" s="1"/>
  <c r="T24" i="70"/>
  <c r="X24" i="70" s="1"/>
  <c r="T23" i="70"/>
  <c r="X23" i="70" s="1"/>
  <c r="T22" i="70"/>
  <c r="X22" i="70" s="1"/>
  <c r="T21" i="70"/>
  <c r="X21" i="70" s="1"/>
  <c r="T20" i="70"/>
  <c r="X20" i="70" s="1"/>
  <c r="T19" i="70"/>
  <c r="X19" i="70" s="1"/>
  <c r="T18" i="70"/>
  <c r="X18" i="70" s="1"/>
  <c r="T17" i="70"/>
  <c r="X17" i="70" s="1"/>
  <c r="T16" i="70"/>
  <c r="X16" i="70" s="1"/>
  <c r="T15" i="70"/>
  <c r="X15" i="70" s="1"/>
  <c r="T14" i="70"/>
  <c r="X14" i="70" s="1"/>
  <c r="T13" i="70"/>
  <c r="T12" i="70"/>
  <c r="X12" i="70" s="1"/>
  <c r="T6" i="70"/>
  <c r="R2" i="70"/>
  <c r="V103" i="69"/>
  <c r="J104" i="69"/>
  <c r="G103" i="69"/>
  <c r="X97" i="69"/>
  <c r="Y97" i="69" s="1"/>
  <c r="E98" i="69"/>
  <c r="T97" i="69"/>
  <c r="X96" i="69"/>
  <c r="T96" i="69"/>
  <c r="T92" i="69"/>
  <c r="V92" i="69"/>
  <c r="T91" i="69"/>
  <c r="V91" i="69"/>
  <c r="T90" i="69"/>
  <c r="V90" i="69"/>
  <c r="V86" i="69"/>
  <c r="V83" i="69"/>
  <c r="Y81" i="69"/>
  <c r="X83" i="69" s="1"/>
  <c r="J81" i="69"/>
  <c r="Y80" i="69"/>
  <c r="V71" i="69"/>
  <c r="V70" i="69"/>
  <c r="V67" i="69"/>
  <c r="X64" i="69"/>
  <c r="X61" i="69"/>
  <c r="X58" i="69"/>
  <c r="X55" i="69"/>
  <c r="X52" i="69"/>
  <c r="T50" i="69"/>
  <c r="D50" i="69"/>
  <c r="C50" i="69"/>
  <c r="Y49" i="69"/>
  <c r="Y48" i="69"/>
  <c r="Y47" i="69"/>
  <c r="Y46" i="69"/>
  <c r="Y45" i="69"/>
  <c r="Y44" i="69"/>
  <c r="Y43" i="69"/>
  <c r="Y42" i="69"/>
  <c r="Y41" i="69"/>
  <c r="Y37" i="69"/>
  <c r="J37" i="69"/>
  <c r="Y36" i="69"/>
  <c r="Y38" i="69" s="1"/>
  <c r="J36" i="69"/>
  <c r="G32" i="69"/>
  <c r="V32" i="69"/>
  <c r="E23" i="69"/>
  <c r="T23" i="69" s="1"/>
  <c r="X23" i="69" s="1"/>
  <c r="E27" i="69"/>
  <c r="T27" i="69" s="1"/>
  <c r="X27" i="69" s="1"/>
  <c r="E21" i="69"/>
  <c r="I21" i="69" s="1"/>
  <c r="T6" i="69"/>
  <c r="R2" i="69"/>
  <c r="J104" i="68"/>
  <c r="G103" i="68"/>
  <c r="X97" i="68"/>
  <c r="Y97" i="68" s="1"/>
  <c r="E98" i="68"/>
  <c r="X96" i="68"/>
  <c r="T96" i="68"/>
  <c r="T92" i="68"/>
  <c r="V92" i="68"/>
  <c r="T91" i="68"/>
  <c r="V91" i="68"/>
  <c r="T90" i="68"/>
  <c r="V90" i="68"/>
  <c r="V86" i="68"/>
  <c r="V85" i="68"/>
  <c r="Y81" i="68"/>
  <c r="X83" i="68" s="1"/>
  <c r="J81" i="68"/>
  <c r="Y80" i="68"/>
  <c r="V67" i="68"/>
  <c r="X64" i="68"/>
  <c r="X61" i="68"/>
  <c r="X58" i="68"/>
  <c r="X55" i="68"/>
  <c r="X52" i="68"/>
  <c r="T50" i="68"/>
  <c r="D50" i="68"/>
  <c r="E46" i="68" s="1"/>
  <c r="C50" i="68"/>
  <c r="Y49" i="68"/>
  <c r="Y48" i="68"/>
  <c r="Y47" i="68"/>
  <c r="Y46" i="68"/>
  <c r="Y45" i="68"/>
  <c r="Y44" i="68"/>
  <c r="Y43" i="68"/>
  <c r="Y42" i="68"/>
  <c r="Y41" i="68"/>
  <c r="J37" i="68"/>
  <c r="Y38" i="68"/>
  <c r="J36" i="68"/>
  <c r="J38" i="68" s="1"/>
  <c r="G32" i="68"/>
  <c r="V32" i="68"/>
  <c r="E23" i="68"/>
  <c r="T6" i="68"/>
  <c r="R2" i="68"/>
  <c r="J104" i="67"/>
  <c r="G103" i="67"/>
  <c r="X97" i="67"/>
  <c r="X96" i="67"/>
  <c r="T96" i="67"/>
  <c r="T92" i="67"/>
  <c r="V92" i="67"/>
  <c r="T91" i="67"/>
  <c r="V91" i="67"/>
  <c r="T90" i="67"/>
  <c r="V90" i="67"/>
  <c r="V87" i="67"/>
  <c r="V86" i="67"/>
  <c r="V83" i="67"/>
  <c r="Y81" i="67"/>
  <c r="X83" i="67" s="1"/>
  <c r="J81" i="67"/>
  <c r="Y80" i="67"/>
  <c r="V71" i="67"/>
  <c r="V70" i="67"/>
  <c r="V67" i="67"/>
  <c r="X64" i="67"/>
  <c r="X61" i="67"/>
  <c r="X58" i="67"/>
  <c r="X55" i="67"/>
  <c r="X52" i="67"/>
  <c r="T50" i="67"/>
  <c r="D50" i="67"/>
  <c r="C50" i="67"/>
  <c r="Y49" i="67"/>
  <c r="Y48" i="67"/>
  <c r="Y47" i="67"/>
  <c r="Y46" i="67"/>
  <c r="Y45" i="67"/>
  <c r="Y44" i="67"/>
  <c r="Y43" i="67"/>
  <c r="Y42" i="67"/>
  <c r="Y41" i="67"/>
  <c r="J37" i="67"/>
  <c r="Y38" i="67"/>
  <c r="J36" i="67"/>
  <c r="J38" i="67" s="1"/>
  <c r="G32" i="67"/>
  <c r="V32" i="67"/>
  <c r="E23" i="67"/>
  <c r="T23" i="67" s="1"/>
  <c r="X23" i="67" s="1"/>
  <c r="T6" i="67"/>
  <c r="D90" i="67"/>
  <c r="R2" i="67"/>
  <c r="G103" i="66"/>
  <c r="X97" i="66"/>
  <c r="X96" i="66"/>
  <c r="T92" i="66"/>
  <c r="V92" i="66"/>
  <c r="T91" i="66"/>
  <c r="V91" i="66"/>
  <c r="T90" i="66"/>
  <c r="V90" i="66"/>
  <c r="V85" i="66"/>
  <c r="V83" i="66"/>
  <c r="Y81" i="66"/>
  <c r="X83" i="66" s="1"/>
  <c r="J81" i="66"/>
  <c r="Y80" i="66"/>
  <c r="V71" i="66"/>
  <c r="V70" i="66"/>
  <c r="V67" i="66"/>
  <c r="X64" i="66"/>
  <c r="X61" i="66"/>
  <c r="X58" i="66"/>
  <c r="X55" i="66"/>
  <c r="X52" i="66"/>
  <c r="T50" i="66"/>
  <c r="D50" i="66"/>
  <c r="C50" i="66"/>
  <c r="Y49" i="66"/>
  <c r="Y48" i="66"/>
  <c r="Y47" i="66"/>
  <c r="Y46" i="66"/>
  <c r="Y45" i="66"/>
  <c r="Y44" i="66"/>
  <c r="Y43" i="66"/>
  <c r="Y42" i="66"/>
  <c r="Y41" i="66"/>
  <c r="J37" i="66"/>
  <c r="J36" i="66"/>
  <c r="J38" i="66" s="1"/>
  <c r="G32" i="66"/>
  <c r="V32" i="66"/>
  <c r="E23" i="66"/>
  <c r="I23" i="66" s="1"/>
  <c r="T6" i="66"/>
  <c r="D92" i="66"/>
  <c r="R2" i="66"/>
  <c r="E98" i="65"/>
  <c r="V103" i="65"/>
  <c r="G103" i="65"/>
  <c r="X97" i="65"/>
  <c r="T97" i="65"/>
  <c r="X96" i="65"/>
  <c r="E97" i="65"/>
  <c r="T96" i="65"/>
  <c r="T92" i="65"/>
  <c r="V92" i="65"/>
  <c r="T91" i="65"/>
  <c r="V91" i="65"/>
  <c r="T90" i="65"/>
  <c r="V90" i="65"/>
  <c r="V86" i="65"/>
  <c r="V83" i="65"/>
  <c r="Y81" i="65"/>
  <c r="J81" i="65"/>
  <c r="Y80" i="65"/>
  <c r="V71" i="65"/>
  <c r="V70" i="65"/>
  <c r="V67" i="65"/>
  <c r="X64" i="65"/>
  <c r="X61" i="65"/>
  <c r="X58" i="65"/>
  <c r="X55" i="65"/>
  <c r="X52" i="65"/>
  <c r="T50" i="65"/>
  <c r="D50" i="65"/>
  <c r="E46" i="65" s="1"/>
  <c r="C50" i="65"/>
  <c r="Y49" i="65"/>
  <c r="Y48" i="65"/>
  <c r="Y47" i="65"/>
  <c r="Y46" i="65"/>
  <c r="Y45" i="65"/>
  <c r="Y44" i="65"/>
  <c r="Y43" i="65"/>
  <c r="Y42" i="65"/>
  <c r="Y41" i="65"/>
  <c r="Y37" i="65"/>
  <c r="J37" i="65"/>
  <c r="Y36" i="65"/>
  <c r="Y38" i="65" s="1"/>
  <c r="J36" i="65"/>
  <c r="G32" i="65"/>
  <c r="V32" i="65"/>
  <c r="E23" i="65"/>
  <c r="I23" i="65" s="1"/>
  <c r="T27" i="65"/>
  <c r="X27" i="65" s="1"/>
  <c r="T26" i="65"/>
  <c r="X26" i="65" s="1"/>
  <c r="T25" i="65"/>
  <c r="X25" i="65" s="1"/>
  <c r="T24" i="65"/>
  <c r="X24" i="65" s="1"/>
  <c r="T23" i="65"/>
  <c r="X23" i="65" s="1"/>
  <c r="T22" i="65"/>
  <c r="X22" i="65" s="1"/>
  <c r="T21" i="65"/>
  <c r="X21" i="65" s="1"/>
  <c r="T20" i="65"/>
  <c r="X20" i="65" s="1"/>
  <c r="T19" i="65"/>
  <c r="X19" i="65" s="1"/>
  <c r="T18" i="65"/>
  <c r="X18" i="65" s="1"/>
  <c r="T17" i="65"/>
  <c r="X17" i="65" s="1"/>
  <c r="T16" i="65"/>
  <c r="X16" i="65" s="1"/>
  <c r="T15" i="65"/>
  <c r="X15" i="65" s="1"/>
  <c r="T14" i="65"/>
  <c r="X14" i="65" s="1"/>
  <c r="T13" i="65"/>
  <c r="T12" i="65"/>
  <c r="X12" i="65" s="1"/>
  <c r="T6" i="65"/>
  <c r="R2" i="65"/>
  <c r="V103" i="64"/>
  <c r="J104" i="64"/>
  <c r="G103" i="64"/>
  <c r="X97" i="64"/>
  <c r="Y97" i="64" s="1"/>
  <c r="E98" i="64"/>
  <c r="T97" i="64"/>
  <c r="X96" i="64"/>
  <c r="T96" i="64"/>
  <c r="T92" i="64"/>
  <c r="V92" i="64"/>
  <c r="T91" i="64"/>
  <c r="V91" i="64"/>
  <c r="T90" i="64"/>
  <c r="V90" i="64"/>
  <c r="V87" i="64"/>
  <c r="V86" i="64"/>
  <c r="Y81" i="64"/>
  <c r="X83" i="64" s="1"/>
  <c r="J81" i="64"/>
  <c r="Y80" i="64"/>
  <c r="V67" i="64"/>
  <c r="X64" i="64"/>
  <c r="X61" i="64"/>
  <c r="X58" i="64"/>
  <c r="X55" i="64"/>
  <c r="X52" i="64"/>
  <c r="T50" i="64"/>
  <c r="D50" i="64"/>
  <c r="E46" i="64" s="1"/>
  <c r="Y49" i="64"/>
  <c r="Y48" i="64"/>
  <c r="Y47" i="64"/>
  <c r="Y46" i="64"/>
  <c r="Y45" i="64"/>
  <c r="Y44" i="64"/>
  <c r="Y43" i="64"/>
  <c r="Y42" i="64"/>
  <c r="Y41" i="64"/>
  <c r="Y37" i="64"/>
  <c r="J37" i="64"/>
  <c r="Y36" i="64"/>
  <c r="J36" i="64"/>
  <c r="G32" i="64"/>
  <c r="V32" i="64"/>
  <c r="E23" i="64"/>
  <c r="T6" i="64"/>
  <c r="R2" i="64"/>
  <c r="T96" i="63"/>
  <c r="J104" i="63"/>
  <c r="G103" i="63"/>
  <c r="X97" i="63"/>
  <c r="E98" i="63"/>
  <c r="T97" i="63"/>
  <c r="X96" i="63"/>
  <c r="E97" i="63"/>
  <c r="T92" i="63"/>
  <c r="V92" i="63"/>
  <c r="T91" i="63"/>
  <c r="V91" i="63"/>
  <c r="T90" i="63"/>
  <c r="V90" i="63"/>
  <c r="V85" i="63"/>
  <c r="V83" i="63"/>
  <c r="Y81" i="63"/>
  <c r="X83" i="63" s="1"/>
  <c r="J81" i="63"/>
  <c r="Y80" i="63"/>
  <c r="V71" i="63"/>
  <c r="V67" i="63"/>
  <c r="X64" i="63"/>
  <c r="X61" i="63"/>
  <c r="X58" i="63"/>
  <c r="X55" i="63"/>
  <c r="X52" i="63"/>
  <c r="T50" i="63"/>
  <c r="D50" i="63"/>
  <c r="C50" i="63"/>
  <c r="Y49" i="63"/>
  <c r="Y48" i="63"/>
  <c r="Y47" i="63"/>
  <c r="Y46" i="63"/>
  <c r="Y45" i="63"/>
  <c r="Y44" i="63"/>
  <c r="Y43" i="63"/>
  <c r="Y42" i="63"/>
  <c r="Y41" i="63"/>
  <c r="J37" i="63"/>
  <c r="J38" i="63" s="1"/>
  <c r="J36" i="63"/>
  <c r="G32" i="63"/>
  <c r="V32" i="63"/>
  <c r="E23" i="63"/>
  <c r="T23" i="63" s="1"/>
  <c r="X23" i="63" s="1"/>
  <c r="T6" i="63"/>
  <c r="R2" i="63"/>
  <c r="J104" i="62"/>
  <c r="G103" i="62"/>
  <c r="X97" i="62"/>
  <c r="X96" i="62"/>
  <c r="T96" i="62"/>
  <c r="T92" i="62"/>
  <c r="V92" i="62"/>
  <c r="T91" i="62"/>
  <c r="V91" i="62"/>
  <c r="T90" i="62"/>
  <c r="V90" i="62"/>
  <c r="V86" i="62"/>
  <c r="V83" i="62"/>
  <c r="Y81" i="62"/>
  <c r="X83" i="62" s="1"/>
  <c r="J81" i="62"/>
  <c r="Y80" i="62"/>
  <c r="V71" i="62"/>
  <c r="V70" i="62"/>
  <c r="V67" i="62"/>
  <c r="X64" i="62"/>
  <c r="X61" i="62"/>
  <c r="X58" i="62"/>
  <c r="X55" i="62"/>
  <c r="X52" i="62"/>
  <c r="T50" i="62"/>
  <c r="D50" i="62"/>
  <c r="C50" i="62"/>
  <c r="Y49" i="62"/>
  <c r="Y48" i="62"/>
  <c r="Y47" i="62"/>
  <c r="Y46" i="62"/>
  <c r="Y45" i="62"/>
  <c r="Y44" i="62"/>
  <c r="Y43" i="62"/>
  <c r="Y42" i="62"/>
  <c r="Y41" i="62"/>
  <c r="J37" i="62"/>
  <c r="J36" i="62"/>
  <c r="J38" i="62" s="1"/>
  <c r="G32" i="62"/>
  <c r="V32" i="62"/>
  <c r="E23" i="62"/>
  <c r="T23" i="62" s="1"/>
  <c r="X23" i="62" s="1"/>
  <c r="T6" i="62"/>
  <c r="R2" i="62"/>
  <c r="T97" i="2"/>
  <c r="T96" i="2"/>
  <c r="T97" i="58"/>
  <c r="T97" i="59"/>
  <c r="T96" i="59"/>
  <c r="T97" i="60"/>
  <c r="T96" i="60"/>
  <c r="T96" i="61"/>
  <c r="T97" i="61"/>
  <c r="V103" i="61"/>
  <c r="G103" i="61"/>
  <c r="J98" i="61"/>
  <c r="E98" i="61"/>
  <c r="X96" i="61"/>
  <c r="T92" i="61"/>
  <c r="V92" i="61"/>
  <c r="T91" i="61"/>
  <c r="V91" i="61"/>
  <c r="T90" i="61"/>
  <c r="V90" i="61"/>
  <c r="V87" i="61"/>
  <c r="V86" i="61"/>
  <c r="Y81" i="61"/>
  <c r="J81" i="61"/>
  <c r="Y80" i="61"/>
  <c r="V71" i="61"/>
  <c r="V70" i="61"/>
  <c r="V67" i="61"/>
  <c r="X64" i="61"/>
  <c r="X61" i="61"/>
  <c r="X58" i="61"/>
  <c r="X55" i="61"/>
  <c r="X52" i="61"/>
  <c r="T50" i="61"/>
  <c r="D50" i="61"/>
  <c r="E46" i="61" s="1"/>
  <c r="C50" i="61"/>
  <c r="Y49" i="61"/>
  <c r="Y48" i="61"/>
  <c r="Y47" i="61"/>
  <c r="Y46" i="61"/>
  <c r="Y45" i="61"/>
  <c r="Y44" i="61"/>
  <c r="Y43" i="61"/>
  <c r="Y42" i="61"/>
  <c r="Y41" i="61"/>
  <c r="J37" i="61"/>
  <c r="Y38" i="61"/>
  <c r="J36" i="61"/>
  <c r="J38" i="61" s="1"/>
  <c r="G32" i="61"/>
  <c r="V32" i="61"/>
  <c r="E23" i="61"/>
  <c r="I23" i="61" s="1"/>
  <c r="E24" i="61"/>
  <c r="I24" i="61" s="1"/>
  <c r="T6" i="61"/>
  <c r="R2" i="61"/>
  <c r="V103" i="60"/>
  <c r="G103" i="60"/>
  <c r="E98" i="60"/>
  <c r="T92" i="60"/>
  <c r="V92" i="60"/>
  <c r="T91" i="60"/>
  <c r="V91" i="60"/>
  <c r="T90" i="60"/>
  <c r="V90" i="60"/>
  <c r="V87" i="60"/>
  <c r="V86" i="60"/>
  <c r="V85" i="60"/>
  <c r="V83" i="60"/>
  <c r="Y81" i="60"/>
  <c r="J81" i="60"/>
  <c r="Y80" i="60"/>
  <c r="V70" i="60"/>
  <c r="V67" i="60"/>
  <c r="X64" i="60"/>
  <c r="X61" i="60"/>
  <c r="X58" i="60"/>
  <c r="X55" i="60"/>
  <c r="X52" i="60"/>
  <c r="T50" i="60"/>
  <c r="D50" i="60"/>
  <c r="E46" i="60" s="1"/>
  <c r="C50" i="60"/>
  <c r="Y49" i="60"/>
  <c r="Y48" i="60"/>
  <c r="Y47" i="60"/>
  <c r="Y46" i="60"/>
  <c r="Y45" i="60"/>
  <c r="Y44" i="60"/>
  <c r="Y43" i="60"/>
  <c r="Y42" i="60"/>
  <c r="Y41" i="60"/>
  <c r="Y37" i="60"/>
  <c r="J37" i="60"/>
  <c r="Y36" i="60"/>
  <c r="Y38" i="60" s="1"/>
  <c r="J36" i="60"/>
  <c r="J38" i="60" s="1"/>
  <c r="G32" i="60"/>
  <c r="V32" i="60"/>
  <c r="E23" i="60"/>
  <c r="I23" i="60" s="1"/>
  <c r="T27" i="60"/>
  <c r="X27" i="60" s="1"/>
  <c r="T26" i="60"/>
  <c r="X26" i="60" s="1"/>
  <c r="T25" i="60"/>
  <c r="X25" i="60" s="1"/>
  <c r="T24" i="60"/>
  <c r="X24" i="60" s="1"/>
  <c r="T23" i="60"/>
  <c r="X23" i="60" s="1"/>
  <c r="T22" i="60"/>
  <c r="X22" i="60" s="1"/>
  <c r="T21" i="60"/>
  <c r="X21" i="60" s="1"/>
  <c r="T20" i="60"/>
  <c r="X20" i="60" s="1"/>
  <c r="T19" i="60"/>
  <c r="X19" i="60" s="1"/>
  <c r="T18" i="60"/>
  <c r="X18" i="60" s="1"/>
  <c r="T17" i="60"/>
  <c r="X17" i="60" s="1"/>
  <c r="T16" i="60"/>
  <c r="X16" i="60" s="1"/>
  <c r="T15" i="60"/>
  <c r="X15" i="60" s="1"/>
  <c r="T14" i="60"/>
  <c r="X14" i="60" s="1"/>
  <c r="T13" i="60"/>
  <c r="T12" i="60"/>
  <c r="X12" i="60" s="1"/>
  <c r="T6" i="60"/>
  <c r="R2" i="60"/>
  <c r="G103" i="59"/>
  <c r="J98" i="59"/>
  <c r="E98" i="59"/>
  <c r="X96" i="59"/>
  <c r="T92" i="59"/>
  <c r="V92" i="59"/>
  <c r="T91" i="59"/>
  <c r="V91" i="59"/>
  <c r="T90" i="59"/>
  <c r="V90" i="59"/>
  <c r="V87" i="59"/>
  <c r="V85" i="59"/>
  <c r="V83" i="59"/>
  <c r="Y81" i="59"/>
  <c r="X83" i="59" s="1"/>
  <c r="J81" i="59"/>
  <c r="Y80" i="59"/>
  <c r="V71" i="59"/>
  <c r="V70" i="59"/>
  <c r="V67" i="59"/>
  <c r="X64" i="59"/>
  <c r="X61" i="59"/>
  <c r="X58" i="59"/>
  <c r="X55" i="59"/>
  <c r="X52" i="59"/>
  <c r="T50" i="59"/>
  <c r="D50" i="59"/>
  <c r="C50" i="59"/>
  <c r="Y49" i="59"/>
  <c r="Y48" i="59"/>
  <c r="Y47" i="59"/>
  <c r="Y46" i="59"/>
  <c r="Y45" i="59"/>
  <c r="Y44" i="59"/>
  <c r="Y43" i="59"/>
  <c r="Y42" i="59"/>
  <c r="Y41" i="59"/>
  <c r="Y37" i="59"/>
  <c r="J37" i="59"/>
  <c r="Y36" i="59"/>
  <c r="J36" i="59"/>
  <c r="J38" i="59" s="1"/>
  <c r="G32" i="59"/>
  <c r="V32" i="59"/>
  <c r="E23" i="59"/>
  <c r="T23" i="59" s="1"/>
  <c r="X23" i="59" s="1"/>
  <c r="T6" i="59"/>
  <c r="R2" i="59"/>
  <c r="V103" i="58"/>
  <c r="J104" i="58"/>
  <c r="G103" i="58"/>
  <c r="X97" i="58"/>
  <c r="Y97" i="58" s="1"/>
  <c r="E98" i="58"/>
  <c r="X96" i="58"/>
  <c r="E97" i="58"/>
  <c r="T92" i="58"/>
  <c r="V92" i="58"/>
  <c r="T91" i="58"/>
  <c r="V91" i="58"/>
  <c r="T90" i="58"/>
  <c r="V90" i="58"/>
  <c r="V87" i="58"/>
  <c r="V86" i="58"/>
  <c r="V85" i="58"/>
  <c r="V83" i="58"/>
  <c r="Y81" i="58"/>
  <c r="J81" i="58"/>
  <c r="Y80" i="58"/>
  <c r="V70" i="58"/>
  <c r="V67" i="58"/>
  <c r="X64" i="58"/>
  <c r="X61" i="58"/>
  <c r="X58" i="58"/>
  <c r="X55" i="58"/>
  <c r="X52" i="58"/>
  <c r="T50" i="58"/>
  <c r="D50" i="58"/>
  <c r="E46" i="58" s="1"/>
  <c r="C50" i="58"/>
  <c r="Y49" i="58"/>
  <c r="Y48" i="58"/>
  <c r="Y47" i="58"/>
  <c r="Y46" i="58"/>
  <c r="Y45" i="58"/>
  <c r="Y44" i="58"/>
  <c r="Y43" i="58"/>
  <c r="Y42" i="58"/>
  <c r="Y41" i="58"/>
  <c r="J37" i="58"/>
  <c r="J36" i="58"/>
  <c r="G32" i="58"/>
  <c r="V32" i="58"/>
  <c r="T6" i="58"/>
  <c r="R2" i="58"/>
  <c r="P126" i="57"/>
  <c r="O126" i="57"/>
  <c r="N126" i="57"/>
  <c r="L126" i="57"/>
  <c r="K126" i="57"/>
  <c r="J126" i="57"/>
  <c r="I126" i="57"/>
  <c r="E126" i="57"/>
  <c r="D126" i="57"/>
  <c r="Q122" i="57"/>
  <c r="Q121" i="57"/>
  <c r="Q120" i="57"/>
  <c r="Q119" i="57"/>
  <c r="Q118" i="57"/>
  <c r="Q117" i="57"/>
  <c r="Q116" i="57"/>
  <c r="Q115" i="57"/>
  <c r="Q113" i="57"/>
  <c r="Q112" i="57"/>
  <c r="Q111" i="57"/>
  <c r="Q110" i="57"/>
  <c r="Q109" i="57"/>
  <c r="Q108" i="57"/>
  <c r="Q107" i="57"/>
  <c r="Q106" i="57"/>
  <c r="Q105" i="57"/>
  <c r="Q104" i="57"/>
  <c r="Q103" i="57"/>
  <c r="Q102" i="57"/>
  <c r="Q101" i="57"/>
  <c r="Q100" i="57"/>
  <c r="Q99" i="57"/>
  <c r="Q98" i="57"/>
  <c r="Q97" i="57"/>
  <c r="Q96" i="57"/>
  <c r="Q95" i="57"/>
  <c r="Q94" i="57"/>
  <c r="Q93" i="57"/>
  <c r="Q92" i="57"/>
  <c r="Q91" i="57"/>
  <c r="Q90" i="57"/>
  <c r="Q89" i="57"/>
  <c r="Q88" i="57"/>
  <c r="Q87" i="57"/>
  <c r="Q86" i="57"/>
  <c r="Q84" i="57"/>
  <c r="Q83" i="57"/>
  <c r="Q82" i="57"/>
  <c r="Q81" i="57"/>
  <c r="Q80" i="57"/>
  <c r="Q79" i="57"/>
  <c r="Q78" i="57"/>
  <c r="Q77" i="57"/>
  <c r="Q76" i="57"/>
  <c r="Q75" i="57"/>
  <c r="Q74" i="57"/>
  <c r="R126" i="57"/>
  <c r="P57" i="57"/>
  <c r="O57" i="57"/>
  <c r="J62" i="57" s="1"/>
  <c r="N57" i="57"/>
  <c r="L57" i="57"/>
  <c r="F57" i="57"/>
  <c r="E57" i="57"/>
  <c r="R56" i="57"/>
  <c r="Q55" i="57"/>
  <c r="Q54" i="57"/>
  <c r="Q53" i="57"/>
  <c r="Q52" i="57"/>
  <c r="Q51" i="57"/>
  <c r="Q50" i="57"/>
  <c r="Q49" i="57"/>
  <c r="Q48" i="57"/>
  <c r="Q47" i="57"/>
  <c r="Q46" i="57"/>
  <c r="Q45" i="57"/>
  <c r="Q44" i="57"/>
  <c r="Q43" i="57"/>
  <c r="Q42" i="57"/>
  <c r="Q41" i="57"/>
  <c r="Q40" i="57"/>
  <c r="Q39" i="57"/>
  <c r="Q38" i="57"/>
  <c r="Q37" i="57"/>
  <c r="Q36" i="57"/>
  <c r="Q35" i="57"/>
  <c r="Q34" i="57"/>
  <c r="Q33" i="57"/>
  <c r="Q32" i="57"/>
  <c r="Q31" i="57"/>
  <c r="Q30" i="57"/>
  <c r="Q29" i="57"/>
  <c r="Q28" i="57"/>
  <c r="Q27" i="57"/>
  <c r="Q26" i="57"/>
  <c r="Q25" i="57"/>
  <c r="Q24" i="57"/>
  <c r="Q23" i="57"/>
  <c r="Q22" i="57"/>
  <c r="Q21" i="57"/>
  <c r="Q20" i="57"/>
  <c r="Q19" i="57"/>
  <c r="Q17" i="57"/>
  <c r="Q16" i="57"/>
  <c r="Q15" i="57"/>
  <c r="Q14" i="57"/>
  <c r="Q13" i="57"/>
  <c r="Q12" i="57"/>
  <c r="Q11" i="57"/>
  <c r="Q10" i="57"/>
  <c r="Q9" i="57"/>
  <c r="Q8" i="57"/>
  <c r="Q7" i="57"/>
  <c r="E137" i="56"/>
  <c r="H136" i="56"/>
  <c r="F136" i="56"/>
  <c r="H135" i="56"/>
  <c r="H137" i="56" s="1"/>
  <c r="D133" i="56"/>
  <c r="C133" i="56"/>
  <c r="K92" i="56"/>
  <c r="L92" i="56" s="1"/>
  <c r="K54" i="56"/>
  <c r="E135" i="56"/>
  <c r="D58" i="56"/>
  <c r="C58" i="56"/>
  <c r="D37" i="56"/>
  <c r="C37" i="56"/>
  <c r="V56" i="54"/>
  <c r="U56" i="54"/>
  <c r="V55" i="54"/>
  <c r="U55" i="54"/>
  <c r="V54" i="54"/>
  <c r="U54" i="54"/>
  <c r="V53" i="54"/>
  <c r="U53" i="54"/>
  <c r="W53" i="54" s="1"/>
  <c r="U52" i="54"/>
  <c r="U51" i="54"/>
  <c r="V51" i="54"/>
  <c r="V50" i="54"/>
  <c r="U50" i="54"/>
  <c r="V49" i="54"/>
  <c r="U49" i="54"/>
  <c r="V47" i="54"/>
  <c r="U47" i="54"/>
  <c r="V46" i="54"/>
  <c r="U46" i="54"/>
  <c r="V45" i="54"/>
  <c r="U45" i="54"/>
  <c r="V44" i="54"/>
  <c r="V43" i="54"/>
  <c r="U43" i="54"/>
  <c r="V42" i="54"/>
  <c r="U42" i="54"/>
  <c r="V41" i="54"/>
  <c r="U41" i="54"/>
  <c r="V40" i="54"/>
  <c r="V39" i="54"/>
  <c r="V38" i="54"/>
  <c r="U38" i="54"/>
  <c r="U37" i="54"/>
  <c r="V37" i="54"/>
  <c r="V36" i="54"/>
  <c r="U36" i="54"/>
  <c r="V34" i="54"/>
  <c r="V33" i="54"/>
  <c r="U33" i="54"/>
  <c r="V32" i="54"/>
  <c r="V31" i="54"/>
  <c r="V30" i="54"/>
  <c r="U30" i="54"/>
  <c r="V29" i="54"/>
  <c r="V28" i="54"/>
  <c r="U28" i="54"/>
  <c r="U27" i="54"/>
  <c r="V26" i="54"/>
  <c r="U26" i="54"/>
  <c r="V25" i="54"/>
  <c r="V24" i="54"/>
  <c r="U24" i="54"/>
  <c r="V23" i="54"/>
  <c r="U23" i="54"/>
  <c r="V21" i="54"/>
  <c r="U21" i="54"/>
  <c r="V20" i="54"/>
  <c r="U18" i="54"/>
  <c r="U17" i="54"/>
  <c r="U16" i="54"/>
  <c r="V15" i="54"/>
  <c r="V14" i="54"/>
  <c r="U14" i="54"/>
  <c r="U13" i="54"/>
  <c r="U12" i="54"/>
  <c r="U11" i="54"/>
  <c r="V10" i="54"/>
  <c r="V9" i="54"/>
  <c r="U8" i="54"/>
  <c r="V6" i="54"/>
  <c r="U6" i="54"/>
  <c r="Y81" i="2"/>
  <c r="I135" i="56" l="1"/>
  <c r="E128" i="57"/>
  <c r="R57" i="57"/>
  <c r="Q57" i="57"/>
  <c r="J63" i="57"/>
  <c r="E20" i="104"/>
  <c r="I20" i="104" s="1"/>
  <c r="E21" i="104"/>
  <c r="I21" i="104" s="1"/>
  <c r="J21" i="104" s="1"/>
  <c r="E12" i="103"/>
  <c r="I12" i="103" s="1"/>
  <c r="J12" i="103" s="1"/>
  <c r="E14" i="103"/>
  <c r="I14" i="103" s="1"/>
  <c r="J14" i="103" s="1"/>
  <c r="E27" i="103"/>
  <c r="I27" i="103" s="1"/>
  <c r="E24" i="102"/>
  <c r="I24" i="102" s="1"/>
  <c r="J24" i="102" s="1"/>
  <c r="E27" i="102"/>
  <c r="I27" i="102" s="1"/>
  <c r="J27" i="102" s="1"/>
  <c r="E27" i="100"/>
  <c r="I27" i="100" s="1"/>
  <c r="J27" i="100" s="1"/>
  <c r="E25" i="98"/>
  <c r="I25" i="98" s="1"/>
  <c r="E24" i="98"/>
  <c r="I24" i="98" s="1"/>
  <c r="J24" i="98" s="1"/>
  <c r="E47" i="95"/>
  <c r="J47" i="95" s="1"/>
  <c r="E24" i="95"/>
  <c r="I24" i="95" s="1"/>
  <c r="J24" i="95" s="1"/>
  <c r="E27" i="95"/>
  <c r="I27" i="95" s="1"/>
  <c r="E20" i="95"/>
  <c r="I20" i="95" s="1"/>
  <c r="J20" i="95" s="1"/>
  <c r="E20" i="94"/>
  <c r="I20" i="94" s="1"/>
  <c r="J20" i="94" s="1"/>
  <c r="E21" i="94"/>
  <c r="I21" i="94" s="1"/>
  <c r="J21" i="94" s="1"/>
  <c r="E24" i="94"/>
  <c r="I24" i="94" s="1"/>
  <c r="J24" i="94" s="1"/>
  <c r="E43" i="93"/>
  <c r="E20" i="93"/>
  <c r="I20" i="93" s="1"/>
  <c r="J20" i="93" s="1"/>
  <c r="E42" i="91"/>
  <c r="J42" i="91" s="1"/>
  <c r="E27" i="91"/>
  <c r="I27" i="91" s="1"/>
  <c r="E20" i="91"/>
  <c r="I20" i="91" s="1"/>
  <c r="E14" i="91"/>
  <c r="I14" i="91" s="1"/>
  <c r="J14" i="91" s="1"/>
  <c r="E27" i="90"/>
  <c r="I27" i="90" s="1"/>
  <c r="E47" i="89"/>
  <c r="J47" i="89" s="1"/>
  <c r="E14" i="89"/>
  <c r="I14" i="89" s="1"/>
  <c r="J14" i="89" s="1"/>
  <c r="E27" i="89"/>
  <c r="I27" i="89" s="1"/>
  <c r="J27" i="89" s="1"/>
  <c r="E21" i="89"/>
  <c r="I21" i="89" s="1"/>
  <c r="J21" i="89" s="1"/>
  <c r="E24" i="89"/>
  <c r="I24" i="89" s="1"/>
  <c r="J24" i="89" s="1"/>
  <c r="E21" i="88"/>
  <c r="I21" i="88" s="1"/>
  <c r="J21" i="88" s="1"/>
  <c r="E20" i="88"/>
  <c r="I20" i="88" s="1"/>
  <c r="J20" i="88" s="1"/>
  <c r="E24" i="87"/>
  <c r="I24" i="87" s="1"/>
  <c r="J24" i="87" s="1"/>
  <c r="E42" i="86"/>
  <c r="J42" i="86" s="1"/>
  <c r="E21" i="86"/>
  <c r="I21" i="86" s="1"/>
  <c r="J21" i="86" s="1"/>
  <c r="E27" i="83"/>
  <c r="I27" i="83" s="1"/>
  <c r="J27" i="83" s="1"/>
  <c r="E27" i="79"/>
  <c r="I27" i="79" s="1"/>
  <c r="J27" i="79" s="1"/>
  <c r="E18" i="78"/>
  <c r="I18" i="78" s="1"/>
  <c r="J18" i="78" s="1"/>
  <c r="E20" i="78"/>
  <c r="I20" i="78" s="1"/>
  <c r="E21" i="78"/>
  <c r="I21" i="78" s="1"/>
  <c r="J21" i="78" s="1"/>
  <c r="E24" i="77"/>
  <c r="T24" i="77" s="1"/>
  <c r="X24" i="77" s="1"/>
  <c r="Y24" i="77" s="1"/>
  <c r="E43" i="75"/>
  <c r="J43" i="75" s="1"/>
  <c r="E20" i="75"/>
  <c r="I20" i="75" s="1"/>
  <c r="J20" i="75" s="1"/>
  <c r="E20" i="74"/>
  <c r="I20" i="74" s="1"/>
  <c r="J20" i="74" s="1"/>
  <c r="E24" i="73"/>
  <c r="I24" i="73" s="1"/>
  <c r="J24" i="73" s="1"/>
  <c r="E24" i="72"/>
  <c r="I24" i="72" s="1"/>
  <c r="E27" i="72"/>
  <c r="I27" i="72" s="1"/>
  <c r="J27" i="72" s="1"/>
  <c r="E21" i="72"/>
  <c r="I21" i="72" s="1"/>
  <c r="J21" i="72" s="1"/>
  <c r="E20" i="70"/>
  <c r="I20" i="70" s="1"/>
  <c r="J20" i="70" s="1"/>
  <c r="E21" i="70"/>
  <c r="I21" i="70" s="1"/>
  <c r="J21" i="70" s="1"/>
  <c r="E24" i="70"/>
  <c r="I24" i="70" s="1"/>
  <c r="J24" i="70" s="1"/>
  <c r="E14" i="70"/>
  <c r="I14" i="70" s="1"/>
  <c r="J14" i="70" s="1"/>
  <c r="E17" i="69"/>
  <c r="T17" i="69" s="1"/>
  <c r="X17" i="69" s="1"/>
  <c r="Y17" i="69" s="1"/>
  <c r="E20" i="69"/>
  <c r="I20" i="69" s="1"/>
  <c r="J20" i="69" s="1"/>
  <c r="E24" i="69"/>
  <c r="T24" i="69" s="1"/>
  <c r="X24" i="69" s="1"/>
  <c r="Y24" i="69" s="1"/>
  <c r="E14" i="69"/>
  <c r="T14" i="69" s="1"/>
  <c r="X14" i="69" s="1"/>
  <c r="Y14" i="69" s="1"/>
  <c r="E14" i="66"/>
  <c r="I14" i="66" s="1"/>
  <c r="J14" i="66" s="1"/>
  <c r="E27" i="66"/>
  <c r="I27" i="66" s="1"/>
  <c r="J27" i="66" s="1"/>
  <c r="E27" i="65"/>
  <c r="I27" i="65" s="1"/>
  <c r="J27" i="65" s="1"/>
  <c r="E17" i="63"/>
  <c r="I17" i="63" s="1"/>
  <c r="J17" i="63" s="1"/>
  <c r="E27" i="63"/>
  <c r="I27" i="63" s="1"/>
  <c r="J27" i="63" s="1"/>
  <c r="E14" i="61"/>
  <c r="I14" i="61" s="1"/>
  <c r="J14" i="61" s="1"/>
  <c r="T23" i="61"/>
  <c r="X23" i="61" s="1"/>
  <c r="Y23" i="61" s="1"/>
  <c r="X96" i="60"/>
  <c r="Y96" i="60" s="1"/>
  <c r="J97" i="60"/>
  <c r="J31" i="70"/>
  <c r="Y31" i="70" s="1"/>
  <c r="Y32" i="70" s="1"/>
  <c r="J31" i="63"/>
  <c r="Y31" i="63" s="1"/>
  <c r="Y32" i="63" s="1"/>
  <c r="J97" i="70"/>
  <c r="J97" i="67"/>
  <c r="J102" i="101"/>
  <c r="Y50" i="96"/>
  <c r="Y103" i="65"/>
  <c r="I84" i="65"/>
  <c r="J84" i="65" s="1"/>
  <c r="J31" i="59"/>
  <c r="Y31" i="59" s="1"/>
  <c r="Y32" i="59" s="1"/>
  <c r="X83" i="61"/>
  <c r="J31" i="73"/>
  <c r="Y31" i="73" s="1"/>
  <c r="Y32" i="73" s="1"/>
  <c r="Y23" i="75"/>
  <c r="J31" i="65"/>
  <c r="Y31" i="65" s="1"/>
  <c r="Y32" i="65" s="1"/>
  <c r="Y24" i="99"/>
  <c r="J97" i="101"/>
  <c r="J31" i="74"/>
  <c r="Y31" i="74" s="1"/>
  <c r="Y32" i="74" s="1"/>
  <c r="J31" i="99"/>
  <c r="Y31" i="99" s="1"/>
  <c r="Y32" i="99" s="1"/>
  <c r="X97" i="98"/>
  <c r="Y97" i="98" s="1"/>
  <c r="J31" i="105"/>
  <c r="Y31" i="105" s="1"/>
  <c r="Y32" i="105" s="1"/>
  <c r="I84" i="80"/>
  <c r="J84" i="80" s="1"/>
  <c r="I84" i="86"/>
  <c r="J84" i="86" s="1"/>
  <c r="D92" i="67"/>
  <c r="Y23" i="74"/>
  <c r="Y26" i="79"/>
  <c r="J31" i="92"/>
  <c r="Y31" i="92" s="1"/>
  <c r="Y32" i="92" s="1"/>
  <c r="Y24" i="74"/>
  <c r="I84" i="103"/>
  <c r="J84" i="103" s="1"/>
  <c r="J97" i="100"/>
  <c r="Y21" i="72"/>
  <c r="Y22" i="72"/>
  <c r="J31" i="91"/>
  <c r="J32" i="91" s="1"/>
  <c r="Y24" i="93"/>
  <c r="J97" i="98"/>
  <c r="J31" i="94"/>
  <c r="J32" i="94" s="1"/>
  <c r="J20" i="104"/>
  <c r="Y20" i="70"/>
  <c r="Y20" i="104"/>
  <c r="J47" i="105"/>
  <c r="J31" i="58"/>
  <c r="J32" i="58" s="1"/>
  <c r="Y21" i="70"/>
  <c r="Y17" i="71"/>
  <c r="J97" i="69"/>
  <c r="E12" i="66"/>
  <c r="I12" i="66" s="1"/>
  <c r="J12" i="66" s="1"/>
  <c r="X83" i="58"/>
  <c r="I84" i="68"/>
  <c r="J84" i="68" s="1"/>
  <c r="I84" i="70"/>
  <c r="J84" i="70" s="1"/>
  <c r="J97" i="80"/>
  <c r="J31" i="60"/>
  <c r="J32" i="60" s="1"/>
  <c r="Y26" i="71"/>
  <c r="J20" i="84"/>
  <c r="J31" i="86"/>
  <c r="Y31" i="86" s="1"/>
  <c r="Y32" i="86" s="1"/>
  <c r="Y23" i="91"/>
  <c r="J31" i="104"/>
  <c r="Y31" i="104" s="1"/>
  <c r="Y32" i="104" s="1"/>
  <c r="J26" i="100"/>
  <c r="Y18" i="73"/>
  <c r="Y20" i="84"/>
  <c r="Y24" i="91"/>
  <c r="D92" i="100"/>
  <c r="Y19" i="73"/>
  <c r="Y22" i="84"/>
  <c r="Y24" i="78"/>
  <c r="Y22" i="73"/>
  <c r="J103" i="83"/>
  <c r="J23" i="84"/>
  <c r="Y21" i="65"/>
  <c r="Y23" i="73"/>
  <c r="J46" i="68"/>
  <c r="Y22" i="83"/>
  <c r="Y24" i="89"/>
  <c r="Y26" i="100"/>
  <c r="Y50" i="60"/>
  <c r="Y22" i="65"/>
  <c r="Y15" i="71"/>
  <c r="J97" i="76"/>
  <c r="Y23" i="83"/>
  <c r="J31" i="90"/>
  <c r="Y31" i="90" s="1"/>
  <c r="Y32" i="90" s="1"/>
  <c r="J43" i="93"/>
  <c r="J46" i="100"/>
  <c r="Y50" i="65"/>
  <c r="Y103" i="64"/>
  <c r="Y21" i="88"/>
  <c r="Y19" i="71"/>
  <c r="D90" i="98"/>
  <c r="Y22" i="86"/>
  <c r="Y21" i="71"/>
  <c r="Y23" i="86"/>
  <c r="X97" i="90"/>
  <c r="Y97" i="90" s="1"/>
  <c r="Y22" i="104"/>
  <c r="J97" i="65"/>
  <c r="Y22" i="71"/>
  <c r="Y26" i="87"/>
  <c r="Y15" i="100"/>
  <c r="Y23" i="82"/>
  <c r="J46" i="87"/>
  <c r="Y19" i="103"/>
  <c r="J102" i="86"/>
  <c r="J46" i="61"/>
  <c r="Y19" i="70"/>
  <c r="Y23" i="71"/>
  <c r="J31" i="72"/>
  <c r="Y31" i="72" s="1"/>
  <c r="Y32" i="72" s="1"/>
  <c r="Y50" i="81"/>
  <c r="Y24" i="71"/>
  <c r="J31" i="75"/>
  <c r="Y31" i="75" s="1"/>
  <c r="Y32" i="75" s="1"/>
  <c r="J23" i="80"/>
  <c r="J31" i="87"/>
  <c r="Y31" i="87" s="1"/>
  <c r="Y32" i="87" s="1"/>
  <c r="J31" i="93"/>
  <c r="Y31" i="93" s="1"/>
  <c r="Y32" i="93" s="1"/>
  <c r="Y17" i="100"/>
  <c r="Y20" i="103"/>
  <c r="Y103" i="91"/>
  <c r="Y102" i="69"/>
  <c r="Y19" i="97"/>
  <c r="Y23" i="60"/>
  <c r="J31" i="61"/>
  <c r="J32" i="61" s="1"/>
  <c r="Y27" i="80"/>
  <c r="J31" i="81"/>
  <c r="Y31" i="81" s="1"/>
  <c r="Y32" i="81" s="1"/>
  <c r="Y20" i="83"/>
  <c r="X83" i="87"/>
  <c r="Y22" i="89"/>
  <c r="Y25" i="96"/>
  <c r="J31" i="98"/>
  <c r="Y31" i="98" s="1"/>
  <c r="Y32" i="98" s="1"/>
  <c r="Y22" i="99"/>
  <c r="Y17" i="103"/>
  <c r="Y18" i="104"/>
  <c r="D90" i="59"/>
  <c r="Y103" i="71"/>
  <c r="Y20" i="81"/>
  <c r="Y17" i="94"/>
  <c r="Y24" i="60"/>
  <c r="J31" i="64"/>
  <c r="Y31" i="64" s="1"/>
  <c r="Y32" i="64" s="1"/>
  <c r="Y21" i="75"/>
  <c r="Y21" i="87"/>
  <c r="Y21" i="91"/>
  <c r="X83" i="91"/>
  <c r="Y23" i="95"/>
  <c r="Y23" i="67"/>
  <c r="J31" i="68"/>
  <c r="Y31" i="68" s="1"/>
  <c r="Y32" i="68" s="1"/>
  <c r="D90" i="68"/>
  <c r="J17" i="71"/>
  <c r="Y17" i="73"/>
  <c r="Y22" i="75"/>
  <c r="Y21" i="83"/>
  <c r="J97" i="84"/>
  <c r="Y21" i="86"/>
  <c r="Y103" i="86"/>
  <c r="I84" i="87"/>
  <c r="J84" i="87" s="1"/>
  <c r="Y20" i="88"/>
  <c r="Y23" i="89"/>
  <c r="Y22" i="91"/>
  <c r="I84" i="91"/>
  <c r="J84" i="91" s="1"/>
  <c r="Y26" i="96"/>
  <c r="J31" i="97"/>
  <c r="J32" i="97" s="1"/>
  <c r="J23" i="97"/>
  <c r="Y23" i="99"/>
  <c r="Y25" i="100"/>
  <c r="Y18" i="103"/>
  <c r="Y19" i="104"/>
  <c r="Y50" i="104"/>
  <c r="D92" i="80"/>
  <c r="J31" i="69"/>
  <c r="Y31" i="69" s="1"/>
  <c r="Y32" i="69" s="1"/>
  <c r="Y20" i="73"/>
  <c r="X83" i="73"/>
  <c r="J31" i="78"/>
  <c r="Y31" i="78" s="1"/>
  <c r="Y32" i="78" s="1"/>
  <c r="Y24" i="83"/>
  <c r="J21" i="84"/>
  <c r="Y24" i="86"/>
  <c r="Y24" i="87"/>
  <c r="Y22" i="88"/>
  <c r="Y26" i="90"/>
  <c r="J31" i="96"/>
  <c r="J32" i="96" s="1"/>
  <c r="J23" i="96"/>
  <c r="Y27" i="100"/>
  <c r="Y21" i="103"/>
  <c r="V103" i="103"/>
  <c r="Y103" i="103" s="1"/>
  <c r="Y50" i="70"/>
  <c r="Y21" i="73"/>
  <c r="J31" i="76"/>
  <c r="J32" i="76" s="1"/>
  <c r="J46" i="76"/>
  <c r="J31" i="77"/>
  <c r="J31" i="79"/>
  <c r="Y31" i="79" s="1"/>
  <c r="Y32" i="79" s="1"/>
  <c r="Y21" i="84"/>
  <c r="Y25" i="86"/>
  <c r="Y25" i="87"/>
  <c r="Y23" i="88"/>
  <c r="J31" i="89"/>
  <c r="Y31" i="89" s="1"/>
  <c r="Y32" i="89" s="1"/>
  <c r="J46" i="90"/>
  <c r="Y26" i="91"/>
  <c r="J31" i="95"/>
  <c r="Y31" i="95" s="1"/>
  <c r="Y32" i="95" s="1"/>
  <c r="Y13" i="97"/>
  <c r="J31" i="100"/>
  <c r="Y31" i="100" s="1"/>
  <c r="Y32" i="100" s="1"/>
  <c r="J31" i="101"/>
  <c r="J32" i="101" s="1"/>
  <c r="Y22" i="103"/>
  <c r="Y21" i="104"/>
  <c r="Y15" i="97"/>
  <c r="Y23" i="104"/>
  <c r="Y103" i="69"/>
  <c r="J31" i="83"/>
  <c r="Y31" i="83" s="1"/>
  <c r="Y32" i="83" s="1"/>
  <c r="J31" i="88"/>
  <c r="Y31" i="88" s="1"/>
  <c r="Y32" i="88" s="1"/>
  <c r="Y17" i="97"/>
  <c r="Y18" i="98"/>
  <c r="J31" i="62"/>
  <c r="J32" i="62" s="1"/>
  <c r="J102" i="63"/>
  <c r="Y20" i="65"/>
  <c r="Y22" i="70"/>
  <c r="Y25" i="71"/>
  <c r="Y23" i="72"/>
  <c r="Y17" i="80"/>
  <c r="J31" i="84"/>
  <c r="Y31" i="84" s="1"/>
  <c r="Y32" i="84" s="1"/>
  <c r="D92" i="86"/>
  <c r="Y15" i="96"/>
  <c r="Y18" i="97"/>
  <c r="Y19" i="98"/>
  <c r="J31" i="103"/>
  <c r="Y31" i="103" s="1"/>
  <c r="Y32" i="103" s="1"/>
  <c r="Y17" i="78"/>
  <c r="Y17" i="96"/>
  <c r="Y17" i="60"/>
  <c r="Y23" i="65"/>
  <c r="Y21" i="97"/>
  <c r="D92" i="60"/>
  <c r="J24" i="61"/>
  <c r="J103" i="62"/>
  <c r="Y20" i="98"/>
  <c r="Y19" i="80"/>
  <c r="Y18" i="60"/>
  <c r="Y50" i="94"/>
  <c r="Y19" i="96"/>
  <c r="Y22" i="97"/>
  <c r="J103" i="97"/>
  <c r="Y23" i="98"/>
  <c r="Y18" i="100"/>
  <c r="D92" i="104"/>
  <c r="D90" i="87"/>
  <c r="Y17" i="98"/>
  <c r="Y15" i="60"/>
  <c r="D92" i="91"/>
  <c r="Y23" i="81"/>
  <c r="Y17" i="75"/>
  <c r="Y50" i="75"/>
  <c r="Y19" i="78"/>
  <c r="Y50" i="78"/>
  <c r="Y22" i="80"/>
  <c r="J31" i="82"/>
  <c r="Y31" i="82" s="1"/>
  <c r="Y32" i="82" s="1"/>
  <c r="Y17" i="91"/>
  <c r="Y20" i="94"/>
  <c r="Y20" i="96"/>
  <c r="Y23" i="97"/>
  <c r="Y19" i="100"/>
  <c r="Y15" i="80"/>
  <c r="Y21" i="81"/>
  <c r="J102" i="97"/>
  <c r="Y21" i="98"/>
  <c r="Y15" i="75"/>
  <c r="Y20" i="80"/>
  <c r="Y15" i="91"/>
  <c r="Y18" i="96"/>
  <c r="Y15" i="87"/>
  <c r="Y104" i="61"/>
  <c r="Y25" i="65"/>
  <c r="J102" i="68"/>
  <c r="D92" i="73"/>
  <c r="Y20" i="60"/>
  <c r="Y18" i="75"/>
  <c r="J20" i="78"/>
  <c r="Y23" i="80"/>
  <c r="Y17" i="86"/>
  <c r="Y17" i="87"/>
  <c r="J97" i="87"/>
  <c r="Y18" i="91"/>
  <c r="Y21" i="96"/>
  <c r="Y24" i="97"/>
  <c r="J104" i="97"/>
  <c r="Y24" i="98"/>
  <c r="Y20" i="100"/>
  <c r="I84" i="100"/>
  <c r="J84" i="100" s="1"/>
  <c r="Y50" i="101"/>
  <c r="Y20" i="78"/>
  <c r="D92" i="84"/>
  <c r="Y18" i="86"/>
  <c r="Y50" i="86"/>
  <c r="Y18" i="87"/>
  <c r="Y19" i="91"/>
  <c r="Y50" i="91"/>
  <c r="Y21" i="94"/>
  <c r="Y20" i="95"/>
  <c r="Y22" i="96"/>
  <c r="D90" i="97"/>
  <c r="Y19" i="99"/>
  <c r="Y21" i="100"/>
  <c r="J102" i="62"/>
  <c r="D92" i="75"/>
  <c r="Y18" i="94"/>
  <c r="Y20" i="97"/>
  <c r="Y22" i="81"/>
  <c r="Y19" i="94"/>
  <c r="Y22" i="98"/>
  <c r="Y24" i="65"/>
  <c r="J23" i="71"/>
  <c r="Y18" i="78"/>
  <c r="Y21" i="80"/>
  <c r="Y15" i="86"/>
  <c r="Y19" i="60"/>
  <c r="Y21" i="60"/>
  <c r="J31" i="67"/>
  <c r="Y31" i="67" s="1"/>
  <c r="Y32" i="67" s="1"/>
  <c r="Y19" i="75"/>
  <c r="Y22" i="60"/>
  <c r="J102" i="75"/>
  <c r="J102" i="78"/>
  <c r="Y19" i="86"/>
  <c r="Y19" i="87"/>
  <c r="Y50" i="88"/>
  <c r="J20" i="91"/>
  <c r="J103" i="92"/>
  <c r="Y22" i="94"/>
  <c r="Y21" i="95"/>
  <c r="Y23" i="96"/>
  <c r="Y20" i="99"/>
  <c r="I84" i="99"/>
  <c r="J84" i="99" s="1"/>
  <c r="Y22" i="100"/>
  <c r="D92" i="94"/>
  <c r="J103" i="74"/>
  <c r="Y20" i="75"/>
  <c r="Y21" i="78"/>
  <c r="Y26" i="80"/>
  <c r="J46" i="80"/>
  <c r="Y20" i="86"/>
  <c r="Y20" i="87"/>
  <c r="Y21" i="89"/>
  <c r="I84" i="90"/>
  <c r="J84" i="90" s="1"/>
  <c r="Y20" i="91"/>
  <c r="Y23" i="94"/>
  <c r="Y22" i="95"/>
  <c r="Y24" i="96"/>
  <c r="Y21" i="99"/>
  <c r="E24" i="104"/>
  <c r="I24" i="104" s="1"/>
  <c r="J24" i="104" s="1"/>
  <c r="E27" i="104"/>
  <c r="I27" i="104" s="1"/>
  <c r="J27" i="104" s="1"/>
  <c r="E14" i="104"/>
  <c r="I14" i="104" s="1"/>
  <c r="J14" i="104" s="1"/>
  <c r="E18" i="104"/>
  <c r="I18" i="104" s="1"/>
  <c r="J18" i="104" s="1"/>
  <c r="E19" i="104"/>
  <c r="I19" i="104" s="1"/>
  <c r="J19" i="104" s="1"/>
  <c r="E15" i="103"/>
  <c r="I15" i="103" s="1"/>
  <c r="J15" i="103" s="1"/>
  <c r="E17" i="103"/>
  <c r="I17" i="103" s="1"/>
  <c r="J17" i="103" s="1"/>
  <c r="E22" i="103"/>
  <c r="I22" i="103" s="1"/>
  <c r="J22" i="103" s="1"/>
  <c r="E25" i="103"/>
  <c r="I25" i="103" s="1"/>
  <c r="J25" i="103" s="1"/>
  <c r="E14" i="102"/>
  <c r="I14" i="102" s="1"/>
  <c r="J14" i="102" s="1"/>
  <c r="E17" i="102"/>
  <c r="I17" i="102" s="1"/>
  <c r="J17" i="102" s="1"/>
  <c r="E18" i="102"/>
  <c r="T18" i="102" s="1"/>
  <c r="X18" i="102" s="1"/>
  <c r="Y18" i="102" s="1"/>
  <c r="E20" i="102"/>
  <c r="T20" i="102" s="1"/>
  <c r="X20" i="102" s="1"/>
  <c r="Y20" i="102" s="1"/>
  <c r="E21" i="102"/>
  <c r="T21" i="102" s="1"/>
  <c r="X21" i="102" s="1"/>
  <c r="Y21" i="102" s="1"/>
  <c r="E14" i="101"/>
  <c r="I14" i="101" s="1"/>
  <c r="J14" i="101" s="1"/>
  <c r="E20" i="101"/>
  <c r="I20" i="101" s="1"/>
  <c r="J20" i="101" s="1"/>
  <c r="E21" i="101"/>
  <c r="I21" i="101" s="1"/>
  <c r="J21" i="101" s="1"/>
  <c r="E24" i="101"/>
  <c r="I24" i="101" s="1"/>
  <c r="J24" i="101" s="1"/>
  <c r="T23" i="101"/>
  <c r="X23" i="101" s="1"/>
  <c r="Y23" i="101" s="1"/>
  <c r="E13" i="100"/>
  <c r="I13" i="100" s="1"/>
  <c r="J13" i="100" s="1"/>
  <c r="E14" i="100"/>
  <c r="I14" i="100" s="1"/>
  <c r="J14" i="100" s="1"/>
  <c r="E14" i="99"/>
  <c r="I14" i="99" s="1"/>
  <c r="J14" i="99" s="1"/>
  <c r="E18" i="99"/>
  <c r="I18" i="99" s="1"/>
  <c r="J18" i="99" s="1"/>
  <c r="E20" i="99"/>
  <c r="I20" i="99" s="1"/>
  <c r="J20" i="99" s="1"/>
  <c r="E21" i="99"/>
  <c r="I21" i="99" s="1"/>
  <c r="J21" i="99" s="1"/>
  <c r="E14" i="98"/>
  <c r="I14" i="98" s="1"/>
  <c r="J14" i="98" s="1"/>
  <c r="E17" i="98"/>
  <c r="I17" i="98" s="1"/>
  <c r="J17" i="98" s="1"/>
  <c r="E24" i="96"/>
  <c r="I24" i="96" s="1"/>
  <c r="J24" i="96" s="1"/>
  <c r="E14" i="96"/>
  <c r="I14" i="96" s="1"/>
  <c r="J14" i="96" s="1"/>
  <c r="E14" i="95"/>
  <c r="I14" i="95" s="1"/>
  <c r="J14" i="95" s="1"/>
  <c r="E27" i="94"/>
  <c r="I27" i="94" s="1"/>
  <c r="J27" i="94" s="1"/>
  <c r="E18" i="94"/>
  <c r="I18" i="94" s="1"/>
  <c r="J18" i="94" s="1"/>
  <c r="E24" i="93"/>
  <c r="I24" i="93" s="1"/>
  <c r="J24" i="93" s="1"/>
  <c r="E27" i="93"/>
  <c r="I27" i="93" s="1"/>
  <c r="J27" i="93" s="1"/>
  <c r="E14" i="93"/>
  <c r="I14" i="93" s="1"/>
  <c r="J14" i="93" s="1"/>
  <c r="E20" i="89"/>
  <c r="I20" i="89" s="1"/>
  <c r="J20" i="89" s="1"/>
  <c r="E24" i="88"/>
  <c r="I24" i="88" s="1"/>
  <c r="J24" i="88" s="1"/>
  <c r="E17" i="86"/>
  <c r="I17" i="86" s="1"/>
  <c r="J17" i="86" s="1"/>
  <c r="E14" i="83"/>
  <c r="I14" i="83" s="1"/>
  <c r="J14" i="83" s="1"/>
  <c r="E20" i="83"/>
  <c r="I20" i="83" s="1"/>
  <c r="J20" i="83" s="1"/>
  <c r="E21" i="83"/>
  <c r="I21" i="83" s="1"/>
  <c r="J21" i="83" s="1"/>
  <c r="E24" i="82"/>
  <c r="I24" i="82" s="1"/>
  <c r="J24" i="82" s="1"/>
  <c r="E14" i="82"/>
  <c r="I14" i="82" s="1"/>
  <c r="J14" i="82" s="1"/>
  <c r="E21" i="81"/>
  <c r="I21" i="81" s="1"/>
  <c r="J21" i="81" s="1"/>
  <c r="E27" i="81"/>
  <c r="I27" i="81" s="1"/>
  <c r="J27" i="81" s="1"/>
  <c r="E14" i="81"/>
  <c r="I14" i="81" s="1"/>
  <c r="J14" i="81" s="1"/>
  <c r="E18" i="81"/>
  <c r="I18" i="81" s="1"/>
  <c r="J18" i="81" s="1"/>
  <c r="E24" i="81"/>
  <c r="I24" i="81" s="1"/>
  <c r="J24" i="81" s="1"/>
  <c r="E27" i="80"/>
  <c r="I27" i="80" s="1"/>
  <c r="J27" i="80" s="1"/>
  <c r="E14" i="80"/>
  <c r="I14" i="80" s="1"/>
  <c r="J14" i="80" s="1"/>
  <c r="E14" i="78"/>
  <c r="I14" i="78" s="1"/>
  <c r="J14" i="78" s="1"/>
  <c r="E47" i="75"/>
  <c r="J47" i="75" s="1"/>
  <c r="E27" i="75"/>
  <c r="I27" i="75" s="1"/>
  <c r="J27" i="75" s="1"/>
  <c r="E24" i="75"/>
  <c r="I24" i="75" s="1"/>
  <c r="J24" i="75" s="1"/>
  <c r="E14" i="75"/>
  <c r="I14" i="75" s="1"/>
  <c r="J14" i="75" s="1"/>
  <c r="E17" i="75"/>
  <c r="I17" i="75" s="1"/>
  <c r="J17" i="75" s="1"/>
  <c r="E18" i="75"/>
  <c r="I18" i="75" s="1"/>
  <c r="J18" i="75" s="1"/>
  <c r="E24" i="74"/>
  <c r="I24" i="74" s="1"/>
  <c r="J24" i="74" s="1"/>
  <c r="E14" i="73"/>
  <c r="I14" i="73" s="1"/>
  <c r="J14" i="73" s="1"/>
  <c r="E43" i="72"/>
  <c r="J43" i="72" s="1"/>
  <c r="E14" i="72"/>
  <c r="I14" i="72" s="1"/>
  <c r="J14" i="72" s="1"/>
  <c r="E27" i="70"/>
  <c r="I27" i="70" s="1"/>
  <c r="J27" i="70" s="1"/>
  <c r="E17" i="68"/>
  <c r="T17" i="68" s="1"/>
  <c r="X17" i="68" s="1"/>
  <c r="Y17" i="68" s="1"/>
  <c r="E18" i="68"/>
  <c r="T18" i="68" s="1"/>
  <c r="X18" i="68" s="1"/>
  <c r="Y18" i="68" s="1"/>
  <c r="E19" i="68"/>
  <c r="T19" i="68" s="1"/>
  <c r="X19" i="68" s="1"/>
  <c r="Y19" i="68" s="1"/>
  <c r="E14" i="67"/>
  <c r="I14" i="67" s="1"/>
  <c r="J14" i="67" s="1"/>
  <c r="E17" i="67"/>
  <c r="T17" i="67" s="1"/>
  <c r="X17" i="67" s="1"/>
  <c r="Y17" i="67" s="1"/>
  <c r="E18" i="67"/>
  <c r="T18" i="67" s="1"/>
  <c r="X18" i="67" s="1"/>
  <c r="Y18" i="67" s="1"/>
  <c r="E20" i="67"/>
  <c r="T20" i="67" s="1"/>
  <c r="X20" i="67" s="1"/>
  <c r="Y20" i="67" s="1"/>
  <c r="E20" i="65"/>
  <c r="I20" i="65" s="1"/>
  <c r="J20" i="65" s="1"/>
  <c r="E21" i="65"/>
  <c r="I21" i="65" s="1"/>
  <c r="J21" i="65" s="1"/>
  <c r="E14" i="62"/>
  <c r="I14" i="62" s="1"/>
  <c r="J14" i="62" s="1"/>
  <c r="E18" i="62"/>
  <c r="T18" i="62" s="1"/>
  <c r="X18" i="62" s="1"/>
  <c r="Y18" i="62" s="1"/>
  <c r="E20" i="62"/>
  <c r="I20" i="62" s="1"/>
  <c r="E21" i="62"/>
  <c r="T21" i="62" s="1"/>
  <c r="X21" i="62" s="1"/>
  <c r="Y21" i="62" s="1"/>
  <c r="E24" i="62"/>
  <c r="I24" i="62" s="1"/>
  <c r="J24" i="62" s="1"/>
  <c r="I23" i="62"/>
  <c r="J23" i="62" s="1"/>
  <c r="E47" i="61"/>
  <c r="E14" i="60"/>
  <c r="I14" i="60" s="1"/>
  <c r="J14" i="60" s="1"/>
  <c r="E18" i="60"/>
  <c r="I18" i="60" s="1"/>
  <c r="J18" i="60" s="1"/>
  <c r="E21" i="60"/>
  <c r="I21" i="60" s="1"/>
  <c r="J21" i="60" s="1"/>
  <c r="E20" i="60"/>
  <c r="I20" i="60" s="1"/>
  <c r="J20" i="60" s="1"/>
  <c r="I153" i="56"/>
  <c r="E27" i="82"/>
  <c r="I27" i="82" s="1"/>
  <c r="J27" i="82" s="1"/>
  <c r="D90" i="82"/>
  <c r="Y27" i="82"/>
  <c r="J46" i="82"/>
  <c r="D92" i="82"/>
  <c r="J102" i="82"/>
  <c r="Y24" i="82"/>
  <c r="Y17" i="82"/>
  <c r="E18" i="82"/>
  <c r="I18" i="82" s="1"/>
  <c r="J18" i="82" s="1"/>
  <c r="Y18" i="82"/>
  <c r="Y19" i="82"/>
  <c r="E20" i="82"/>
  <c r="I20" i="82" s="1"/>
  <c r="J20" i="82" s="1"/>
  <c r="J97" i="82"/>
  <c r="Y104" i="82"/>
  <c r="Y26" i="82"/>
  <c r="J104" i="82"/>
  <c r="Y15" i="82"/>
  <c r="Y20" i="82"/>
  <c r="Y103" i="82"/>
  <c r="Y25" i="82"/>
  <c r="J23" i="82"/>
  <c r="Y50" i="82"/>
  <c r="E21" i="82"/>
  <c r="I21" i="82" s="1"/>
  <c r="J21" i="82" s="1"/>
  <c r="Y21" i="82"/>
  <c r="Y22" i="82"/>
  <c r="I84" i="82"/>
  <c r="J84" i="82" s="1"/>
  <c r="Y25" i="85"/>
  <c r="Y26" i="85"/>
  <c r="Y27" i="85"/>
  <c r="J31" i="85"/>
  <c r="J32" i="85" s="1"/>
  <c r="J97" i="88"/>
  <c r="I84" i="88"/>
  <c r="J84" i="88" s="1"/>
  <c r="J102" i="88"/>
  <c r="Y24" i="88"/>
  <c r="Y26" i="88"/>
  <c r="E27" i="88"/>
  <c r="I27" i="88" s="1"/>
  <c r="J27" i="88" s="1"/>
  <c r="D90" i="88"/>
  <c r="J104" i="88"/>
  <c r="E14" i="88"/>
  <c r="I14" i="88" s="1"/>
  <c r="J14" i="88" s="1"/>
  <c r="Y27" i="88"/>
  <c r="J46" i="88"/>
  <c r="Y25" i="88"/>
  <c r="E17" i="88"/>
  <c r="I17" i="88" s="1"/>
  <c r="J17" i="88" s="1"/>
  <c r="X83" i="88"/>
  <c r="Y83" i="88" s="1"/>
  <c r="D92" i="88"/>
  <c r="Y18" i="88"/>
  <c r="Y38" i="88"/>
  <c r="Y15" i="88"/>
  <c r="J23" i="88"/>
  <c r="Y17" i="88"/>
  <c r="E18" i="88"/>
  <c r="I18" i="88" s="1"/>
  <c r="J18" i="88" s="1"/>
  <c r="Y19" i="88"/>
  <c r="Y26" i="89"/>
  <c r="J98" i="89"/>
  <c r="D90" i="89"/>
  <c r="J23" i="89"/>
  <c r="J46" i="89"/>
  <c r="Y15" i="89"/>
  <c r="J43" i="89"/>
  <c r="J102" i="89"/>
  <c r="Y17" i="89"/>
  <c r="Y18" i="89"/>
  <c r="Y38" i="89"/>
  <c r="Y19" i="89"/>
  <c r="Y27" i="89"/>
  <c r="D92" i="89"/>
  <c r="Y97" i="89"/>
  <c r="Y25" i="89"/>
  <c r="Y20" i="89"/>
  <c r="Y50" i="89"/>
  <c r="J102" i="103"/>
  <c r="Y38" i="103"/>
  <c r="J103" i="103"/>
  <c r="E24" i="103"/>
  <c r="I24" i="103" s="1"/>
  <c r="J24" i="103" s="1"/>
  <c r="D92" i="103"/>
  <c r="J104" i="103"/>
  <c r="X97" i="103"/>
  <c r="Y97" i="103" s="1"/>
  <c r="Y26" i="103"/>
  <c r="Y23" i="103"/>
  <c r="J27" i="103"/>
  <c r="X96" i="103"/>
  <c r="Y96" i="103" s="1"/>
  <c r="Y25" i="103"/>
  <c r="Y27" i="103"/>
  <c r="Y24" i="103"/>
  <c r="Y15" i="103"/>
  <c r="J23" i="103"/>
  <c r="J46" i="103"/>
  <c r="J97" i="104"/>
  <c r="X83" i="104"/>
  <c r="Y83" i="104" s="1"/>
  <c r="V103" i="104"/>
  <c r="Y103" i="104" s="1"/>
  <c r="D90" i="104"/>
  <c r="Y15" i="104"/>
  <c r="J23" i="104"/>
  <c r="Y96" i="104"/>
  <c r="Y27" i="104"/>
  <c r="I84" i="104"/>
  <c r="J84" i="104" s="1"/>
  <c r="Y24" i="104"/>
  <c r="Y97" i="104"/>
  <c r="Y25" i="104"/>
  <c r="Y26" i="104"/>
  <c r="J102" i="104"/>
  <c r="Y13" i="104"/>
  <c r="J46" i="104"/>
  <c r="Y17" i="104"/>
  <c r="Y15" i="105"/>
  <c r="J98" i="105"/>
  <c r="D90" i="105"/>
  <c r="Y18" i="105"/>
  <c r="Y103" i="105"/>
  <c r="J23" i="105"/>
  <c r="J97" i="105"/>
  <c r="Y97" i="105"/>
  <c r="Y21" i="105"/>
  <c r="Y23" i="105"/>
  <c r="D92" i="105"/>
  <c r="Y27" i="105"/>
  <c r="E18" i="105"/>
  <c r="I18" i="105" s="1"/>
  <c r="J18" i="105" s="1"/>
  <c r="J102" i="105"/>
  <c r="E19" i="105"/>
  <c r="I19" i="105" s="1"/>
  <c r="J19" i="105" s="1"/>
  <c r="Y19" i="105"/>
  <c r="Y20" i="105"/>
  <c r="Y22" i="105"/>
  <c r="Y24" i="105"/>
  <c r="Y25" i="105"/>
  <c r="J27" i="105"/>
  <c r="Y17" i="105"/>
  <c r="Y26" i="105"/>
  <c r="Y104" i="102"/>
  <c r="J97" i="102"/>
  <c r="J102" i="102"/>
  <c r="V103" i="102"/>
  <c r="Y103" i="102" s="1"/>
  <c r="X97" i="102"/>
  <c r="Y97" i="102" s="1"/>
  <c r="Y23" i="102"/>
  <c r="J104" i="102"/>
  <c r="J23" i="102"/>
  <c r="Y38" i="102"/>
  <c r="J31" i="102"/>
  <c r="D92" i="102"/>
  <c r="X83" i="101"/>
  <c r="Y83" i="101" s="1"/>
  <c r="J98" i="101"/>
  <c r="E27" i="101"/>
  <c r="I84" i="101"/>
  <c r="J84" i="101" s="1"/>
  <c r="Y97" i="101"/>
  <c r="J46" i="101"/>
  <c r="J23" i="101"/>
  <c r="D90" i="101"/>
  <c r="J104" i="101"/>
  <c r="E19" i="100"/>
  <c r="I19" i="100" s="1"/>
  <c r="J19" i="100" s="1"/>
  <c r="Y23" i="100"/>
  <c r="Y97" i="100"/>
  <c r="E17" i="100"/>
  <c r="I17" i="100" s="1"/>
  <c r="J17" i="100" s="1"/>
  <c r="E21" i="100"/>
  <c r="I21" i="100" s="1"/>
  <c r="J21" i="100" s="1"/>
  <c r="E23" i="100"/>
  <c r="I23" i="100" s="1"/>
  <c r="J23" i="100" s="1"/>
  <c r="E24" i="100"/>
  <c r="I24" i="100" s="1"/>
  <c r="J24" i="100" s="1"/>
  <c r="X83" i="100"/>
  <c r="Y83" i="100" s="1"/>
  <c r="V103" i="100"/>
  <c r="Y103" i="100" s="1"/>
  <c r="E20" i="100"/>
  <c r="I20" i="100" s="1"/>
  <c r="J20" i="100" s="1"/>
  <c r="Y50" i="100"/>
  <c r="Y24" i="100"/>
  <c r="J102" i="100"/>
  <c r="X83" i="99"/>
  <c r="Y83" i="99" s="1"/>
  <c r="Y97" i="99"/>
  <c r="Y50" i="99"/>
  <c r="J27" i="99"/>
  <c r="Y27" i="99"/>
  <c r="J46" i="99"/>
  <c r="Y13" i="99"/>
  <c r="D90" i="99"/>
  <c r="J23" i="99"/>
  <c r="J97" i="99"/>
  <c r="J102" i="99"/>
  <c r="Y15" i="99"/>
  <c r="Y25" i="99"/>
  <c r="Y26" i="99"/>
  <c r="Y17" i="99"/>
  <c r="Y38" i="99"/>
  <c r="D92" i="99"/>
  <c r="Y18" i="99"/>
  <c r="Y25" i="98"/>
  <c r="Y102" i="98"/>
  <c r="Y104" i="98"/>
  <c r="J46" i="98"/>
  <c r="E15" i="98"/>
  <c r="I15" i="98" s="1"/>
  <c r="J15" i="98" s="1"/>
  <c r="J102" i="98"/>
  <c r="J25" i="98"/>
  <c r="Y26" i="98"/>
  <c r="J27" i="98"/>
  <c r="I84" i="98"/>
  <c r="J84" i="98" s="1"/>
  <c r="Y13" i="98"/>
  <c r="Y27" i="98"/>
  <c r="J23" i="98"/>
  <c r="Y15" i="98"/>
  <c r="J46" i="97"/>
  <c r="E14" i="97"/>
  <c r="I14" i="97" s="1"/>
  <c r="J14" i="97" s="1"/>
  <c r="E21" i="97"/>
  <c r="I21" i="97" s="1"/>
  <c r="J21" i="97" s="1"/>
  <c r="J97" i="97"/>
  <c r="E24" i="97"/>
  <c r="I24" i="97" s="1"/>
  <c r="J24" i="97" s="1"/>
  <c r="Y25" i="97"/>
  <c r="I84" i="97"/>
  <c r="J84" i="97" s="1"/>
  <c r="X97" i="97"/>
  <c r="Y97" i="97" s="1"/>
  <c r="Y104" i="97"/>
  <c r="Y26" i="97"/>
  <c r="E27" i="97"/>
  <c r="I27" i="97" s="1"/>
  <c r="J27" i="97" s="1"/>
  <c r="Y27" i="97"/>
  <c r="I84" i="96"/>
  <c r="J84" i="96" s="1"/>
  <c r="J98" i="96"/>
  <c r="E27" i="96"/>
  <c r="I27" i="96" s="1"/>
  <c r="J27" i="96" s="1"/>
  <c r="D90" i="96"/>
  <c r="J97" i="96"/>
  <c r="Y27" i="96"/>
  <c r="J46" i="96"/>
  <c r="J102" i="96"/>
  <c r="D92" i="96"/>
  <c r="J38" i="96"/>
  <c r="X83" i="95"/>
  <c r="Y83" i="95" s="1"/>
  <c r="Y27" i="95"/>
  <c r="J46" i="95"/>
  <c r="J23" i="95"/>
  <c r="Y15" i="95"/>
  <c r="Y17" i="95"/>
  <c r="E18" i="95"/>
  <c r="I18" i="95" s="1"/>
  <c r="J18" i="95" s="1"/>
  <c r="Y25" i="95"/>
  <c r="J27" i="95"/>
  <c r="D90" i="95"/>
  <c r="E17" i="95"/>
  <c r="I17" i="95" s="1"/>
  <c r="J17" i="95" s="1"/>
  <c r="D92" i="95"/>
  <c r="Y18" i="95"/>
  <c r="Y26" i="95"/>
  <c r="Y19" i="95"/>
  <c r="J102" i="95"/>
  <c r="Y24" i="95"/>
  <c r="Y50" i="95"/>
  <c r="I84" i="94"/>
  <c r="J84" i="94" s="1"/>
  <c r="Y25" i="94"/>
  <c r="E14" i="94"/>
  <c r="I14" i="94" s="1"/>
  <c r="J14" i="94" s="1"/>
  <c r="J102" i="94"/>
  <c r="J97" i="94"/>
  <c r="Y24" i="94"/>
  <c r="X83" i="94"/>
  <c r="Y83" i="94" s="1"/>
  <c r="Y97" i="94"/>
  <c r="Y26" i="94"/>
  <c r="J98" i="94"/>
  <c r="Y27" i="94"/>
  <c r="J46" i="94"/>
  <c r="J23" i="94"/>
  <c r="Y96" i="94"/>
  <c r="Y15" i="94"/>
  <c r="D90" i="94"/>
  <c r="Y104" i="93"/>
  <c r="V103" i="93"/>
  <c r="Y103" i="93" s="1"/>
  <c r="Y27" i="93"/>
  <c r="J46" i="93"/>
  <c r="D90" i="93"/>
  <c r="Y13" i="93"/>
  <c r="J23" i="93"/>
  <c r="Y25" i="93"/>
  <c r="J102" i="93"/>
  <c r="D92" i="93"/>
  <c r="Y26" i="93"/>
  <c r="J104" i="93"/>
  <c r="Y15" i="93"/>
  <c r="Y17" i="93"/>
  <c r="Y18" i="93"/>
  <c r="Y19" i="93"/>
  <c r="Y22" i="93"/>
  <c r="Y50" i="93"/>
  <c r="Y20" i="93"/>
  <c r="Y21" i="93"/>
  <c r="Y23" i="93"/>
  <c r="I84" i="93"/>
  <c r="J84" i="93" s="1"/>
  <c r="Y15" i="92"/>
  <c r="Y96" i="92"/>
  <c r="Y17" i="92"/>
  <c r="Y50" i="92"/>
  <c r="J97" i="92"/>
  <c r="D92" i="92"/>
  <c r="Y18" i="92"/>
  <c r="Y19" i="92"/>
  <c r="I84" i="92"/>
  <c r="J84" i="92" s="1"/>
  <c r="Y20" i="92"/>
  <c r="Y21" i="92"/>
  <c r="Y22" i="92"/>
  <c r="J102" i="92"/>
  <c r="Y23" i="92"/>
  <c r="D90" i="92"/>
  <c r="Y26" i="92"/>
  <c r="J104" i="92"/>
  <c r="J23" i="92"/>
  <c r="Y24" i="92"/>
  <c r="Y25" i="92"/>
  <c r="Y27" i="92"/>
  <c r="J46" i="92"/>
  <c r="J98" i="91"/>
  <c r="Y25" i="91"/>
  <c r="J47" i="91"/>
  <c r="J102" i="91"/>
  <c r="J26" i="91"/>
  <c r="J49" i="91"/>
  <c r="J27" i="91"/>
  <c r="D90" i="91"/>
  <c r="Y27" i="91"/>
  <c r="J27" i="90"/>
  <c r="E14" i="90"/>
  <c r="I14" i="90" s="1"/>
  <c r="J14" i="90" s="1"/>
  <c r="Y17" i="90"/>
  <c r="Y18" i="90"/>
  <c r="Y19" i="90"/>
  <c r="Y22" i="90"/>
  <c r="E24" i="90"/>
  <c r="I24" i="90" s="1"/>
  <c r="J24" i="90" s="1"/>
  <c r="J97" i="90"/>
  <c r="J23" i="90"/>
  <c r="Y104" i="90"/>
  <c r="D92" i="90"/>
  <c r="Y21" i="90"/>
  <c r="Y23" i="90"/>
  <c r="Y24" i="90"/>
  <c r="Y27" i="90"/>
  <c r="J102" i="90"/>
  <c r="Y13" i="90"/>
  <c r="D90" i="90"/>
  <c r="Y15" i="90"/>
  <c r="Y20" i="90"/>
  <c r="Y25" i="90"/>
  <c r="Y104" i="87"/>
  <c r="J47" i="87"/>
  <c r="Y27" i="87"/>
  <c r="J98" i="87"/>
  <c r="J23" i="87"/>
  <c r="V103" i="87"/>
  <c r="Y103" i="87" s="1"/>
  <c r="J102" i="87"/>
  <c r="Y13" i="87"/>
  <c r="E14" i="87"/>
  <c r="I14" i="87" s="1"/>
  <c r="J14" i="87" s="1"/>
  <c r="J38" i="87"/>
  <c r="D92" i="87"/>
  <c r="Y22" i="87"/>
  <c r="Y23" i="87"/>
  <c r="J104" i="86"/>
  <c r="E23" i="86"/>
  <c r="I23" i="86" s="1"/>
  <c r="J23" i="86" s="1"/>
  <c r="X83" i="86"/>
  <c r="Y83" i="86" s="1"/>
  <c r="X97" i="86"/>
  <c r="Y97" i="86" s="1"/>
  <c r="J48" i="86"/>
  <c r="Y26" i="86"/>
  <c r="Y27" i="86"/>
  <c r="J25" i="86"/>
  <c r="D90" i="86"/>
  <c r="J98" i="85"/>
  <c r="X83" i="85"/>
  <c r="Y83" i="85" s="1"/>
  <c r="Y103" i="85"/>
  <c r="J46" i="85"/>
  <c r="D90" i="85"/>
  <c r="J103" i="85"/>
  <c r="Y38" i="85"/>
  <c r="Y15" i="85"/>
  <c r="Y19" i="85"/>
  <c r="Y21" i="85"/>
  <c r="J97" i="85"/>
  <c r="D92" i="85"/>
  <c r="Y18" i="85"/>
  <c r="J102" i="85"/>
  <c r="J23" i="85"/>
  <c r="Y23" i="85"/>
  <c r="Y17" i="85"/>
  <c r="Y20" i="85"/>
  <c r="Y22" i="85"/>
  <c r="Y24" i="85"/>
  <c r="I84" i="85"/>
  <c r="J84" i="85" s="1"/>
  <c r="Y104" i="84"/>
  <c r="J24" i="84"/>
  <c r="Y24" i="84"/>
  <c r="Y25" i="84"/>
  <c r="X97" i="84"/>
  <c r="Y97" i="84" s="1"/>
  <c r="Y26" i="84"/>
  <c r="Y27" i="84"/>
  <c r="Y15" i="84"/>
  <c r="J102" i="84"/>
  <c r="V103" i="84"/>
  <c r="Y103" i="84" s="1"/>
  <c r="D90" i="84"/>
  <c r="Y23" i="84"/>
  <c r="Y17" i="84"/>
  <c r="E18" i="84"/>
  <c r="I18" i="84" s="1"/>
  <c r="J18" i="84" s="1"/>
  <c r="Y18" i="84"/>
  <c r="J38" i="84"/>
  <c r="J27" i="84"/>
  <c r="E17" i="84"/>
  <c r="I17" i="84" s="1"/>
  <c r="J17" i="84" s="1"/>
  <c r="Y19" i="84"/>
  <c r="Y38" i="84"/>
  <c r="J104" i="84"/>
  <c r="Y26" i="83"/>
  <c r="J47" i="83"/>
  <c r="Y27" i="83"/>
  <c r="E17" i="83"/>
  <c r="I17" i="83" s="1"/>
  <c r="J17" i="83" s="1"/>
  <c r="J102" i="83"/>
  <c r="Y25" i="83"/>
  <c r="J97" i="83"/>
  <c r="J23" i="83"/>
  <c r="X83" i="83"/>
  <c r="Y83" i="83" s="1"/>
  <c r="Y15" i="83"/>
  <c r="Y97" i="83"/>
  <c r="Y17" i="83"/>
  <c r="Y18" i="83"/>
  <c r="Y19" i="83"/>
  <c r="Y38" i="83"/>
  <c r="D90" i="83"/>
  <c r="D90" i="81"/>
  <c r="J103" i="81"/>
  <c r="Y27" i="81"/>
  <c r="J46" i="81"/>
  <c r="J23" i="81"/>
  <c r="X83" i="81"/>
  <c r="Y15" i="81"/>
  <c r="D92" i="81"/>
  <c r="Y25" i="81"/>
  <c r="I84" i="81"/>
  <c r="J84" i="81" s="1"/>
  <c r="J102" i="81"/>
  <c r="Y24" i="81"/>
  <c r="Y26" i="81"/>
  <c r="Y17" i="81"/>
  <c r="Y18" i="81"/>
  <c r="Y19" i="81"/>
  <c r="E20" i="81"/>
  <c r="I20" i="81" s="1"/>
  <c r="J20" i="81" s="1"/>
  <c r="J97" i="81"/>
  <c r="E17" i="80"/>
  <c r="I17" i="80" s="1"/>
  <c r="J17" i="80" s="1"/>
  <c r="E18" i="80"/>
  <c r="I18" i="80" s="1"/>
  <c r="J18" i="80" s="1"/>
  <c r="Y18" i="80"/>
  <c r="Y38" i="80"/>
  <c r="Y50" i="80"/>
  <c r="X83" i="80"/>
  <c r="J31" i="80"/>
  <c r="J32" i="80" s="1"/>
  <c r="E24" i="80"/>
  <c r="I24" i="80" s="1"/>
  <c r="J24" i="80" s="1"/>
  <c r="J102" i="80"/>
  <c r="E20" i="80"/>
  <c r="I20" i="80" s="1"/>
  <c r="J20" i="80" s="1"/>
  <c r="E21" i="80"/>
  <c r="I21" i="80" s="1"/>
  <c r="J21" i="80" s="1"/>
  <c r="Y24" i="80"/>
  <c r="Y25" i="80"/>
  <c r="D90" i="79"/>
  <c r="Y17" i="79"/>
  <c r="Y18" i="79"/>
  <c r="Y103" i="79"/>
  <c r="Y27" i="79"/>
  <c r="X97" i="79"/>
  <c r="Y97" i="79" s="1"/>
  <c r="J23" i="79"/>
  <c r="D92" i="79"/>
  <c r="Y19" i="79"/>
  <c r="E20" i="79"/>
  <c r="I20" i="79" s="1"/>
  <c r="J20" i="79" s="1"/>
  <c r="Y20" i="79"/>
  <c r="J102" i="79"/>
  <c r="Y15" i="79"/>
  <c r="E14" i="79"/>
  <c r="I14" i="79" s="1"/>
  <c r="J14" i="79" s="1"/>
  <c r="Y21" i="79"/>
  <c r="Y22" i="79"/>
  <c r="Y23" i="79"/>
  <c r="Y24" i="79"/>
  <c r="Y25" i="79"/>
  <c r="J97" i="79"/>
  <c r="J97" i="78"/>
  <c r="I84" i="78"/>
  <c r="J84" i="78" s="1"/>
  <c r="Y22" i="78"/>
  <c r="J98" i="78"/>
  <c r="Y23" i="78"/>
  <c r="Y104" i="78"/>
  <c r="E27" i="78"/>
  <c r="I27" i="78" s="1"/>
  <c r="J27" i="78" s="1"/>
  <c r="Y27" i="78"/>
  <c r="J46" i="78"/>
  <c r="D90" i="78"/>
  <c r="Y13" i="78"/>
  <c r="J104" i="78"/>
  <c r="Y25" i="78"/>
  <c r="J23" i="78"/>
  <c r="Y26" i="78"/>
  <c r="Y15" i="78"/>
  <c r="J103" i="77"/>
  <c r="J46" i="77"/>
  <c r="I84" i="77"/>
  <c r="J84" i="77" s="1"/>
  <c r="Y38" i="77"/>
  <c r="J38" i="77"/>
  <c r="D92" i="77"/>
  <c r="Y50" i="77"/>
  <c r="J102" i="77"/>
  <c r="J97" i="77"/>
  <c r="J23" i="76"/>
  <c r="Y50" i="76"/>
  <c r="D92" i="76"/>
  <c r="J102" i="76"/>
  <c r="E17" i="76"/>
  <c r="I84" i="76"/>
  <c r="J84" i="76" s="1"/>
  <c r="J103" i="76"/>
  <c r="T23" i="76"/>
  <c r="X23" i="76" s="1"/>
  <c r="Y23" i="76" s="1"/>
  <c r="D90" i="76"/>
  <c r="Y97" i="75"/>
  <c r="Y103" i="75"/>
  <c r="Y24" i="75"/>
  <c r="Y25" i="75"/>
  <c r="Y26" i="75"/>
  <c r="D90" i="75"/>
  <c r="Y27" i="75"/>
  <c r="J104" i="75"/>
  <c r="J23" i="75"/>
  <c r="J46" i="75"/>
  <c r="E27" i="74"/>
  <c r="I27" i="74" s="1"/>
  <c r="J27" i="74" s="1"/>
  <c r="E14" i="74"/>
  <c r="I14" i="74" s="1"/>
  <c r="J14" i="74" s="1"/>
  <c r="X83" i="74"/>
  <c r="V83" i="74"/>
  <c r="J23" i="74"/>
  <c r="Y15" i="74"/>
  <c r="E17" i="74"/>
  <c r="I17" i="74" s="1"/>
  <c r="J17" i="74" s="1"/>
  <c r="I84" i="74"/>
  <c r="J84" i="74" s="1"/>
  <c r="D92" i="74"/>
  <c r="Y26" i="74"/>
  <c r="Y17" i="74"/>
  <c r="Y18" i="74"/>
  <c r="Y19" i="74"/>
  <c r="Y38" i="74"/>
  <c r="J102" i="74"/>
  <c r="Y50" i="74"/>
  <c r="Y27" i="74"/>
  <c r="J46" i="74"/>
  <c r="Y20" i="74"/>
  <c r="Y25" i="74"/>
  <c r="Y21" i="74"/>
  <c r="J97" i="74"/>
  <c r="Y22" i="74"/>
  <c r="Y50" i="73"/>
  <c r="I84" i="73"/>
  <c r="J84" i="73" s="1"/>
  <c r="Y26" i="73"/>
  <c r="J97" i="73"/>
  <c r="Y27" i="73"/>
  <c r="J46" i="73"/>
  <c r="Y24" i="73"/>
  <c r="J23" i="73"/>
  <c r="Y25" i="73"/>
  <c r="Y12" i="73"/>
  <c r="Y17" i="72"/>
  <c r="Y18" i="72"/>
  <c r="X83" i="72"/>
  <c r="Y83" i="72" s="1"/>
  <c r="J24" i="72"/>
  <c r="Y25" i="72"/>
  <c r="D90" i="72"/>
  <c r="Y27" i="72"/>
  <c r="J46" i="72"/>
  <c r="Y15" i="72"/>
  <c r="J23" i="72"/>
  <c r="E17" i="72"/>
  <c r="I17" i="72" s="1"/>
  <c r="J17" i="72" s="1"/>
  <c r="Y19" i="72"/>
  <c r="J102" i="72"/>
  <c r="Y24" i="72"/>
  <c r="Y26" i="72"/>
  <c r="D92" i="72"/>
  <c r="E18" i="72"/>
  <c r="I18" i="72" s="1"/>
  <c r="J18" i="72" s="1"/>
  <c r="E20" i="72"/>
  <c r="I20" i="72" s="1"/>
  <c r="J20" i="72" s="1"/>
  <c r="Y20" i="72"/>
  <c r="Y50" i="72"/>
  <c r="Y18" i="71"/>
  <c r="Y20" i="71"/>
  <c r="J97" i="71"/>
  <c r="J98" i="71"/>
  <c r="J102" i="71"/>
  <c r="Y27" i="71"/>
  <c r="J31" i="71"/>
  <c r="Y31" i="71" s="1"/>
  <c r="Y32" i="71" s="1"/>
  <c r="D90" i="71"/>
  <c r="Y23" i="70"/>
  <c r="Y25" i="70"/>
  <c r="Y17" i="70"/>
  <c r="E18" i="70"/>
  <c r="I18" i="70" s="1"/>
  <c r="J18" i="70" s="1"/>
  <c r="D92" i="70"/>
  <c r="X83" i="70"/>
  <c r="Y83" i="70" s="1"/>
  <c r="V103" i="70"/>
  <c r="Y103" i="70" s="1"/>
  <c r="Y26" i="70"/>
  <c r="J103" i="70"/>
  <c r="Y27" i="70"/>
  <c r="J46" i="70"/>
  <c r="Y15" i="70"/>
  <c r="J23" i="70"/>
  <c r="Y18" i="70"/>
  <c r="J38" i="70"/>
  <c r="J102" i="70"/>
  <c r="Y24" i="70"/>
  <c r="D90" i="70"/>
  <c r="E17" i="70"/>
  <c r="I17" i="70" s="1"/>
  <c r="J17" i="70" s="1"/>
  <c r="E19" i="70"/>
  <c r="I19" i="70" s="1"/>
  <c r="J19" i="70" s="1"/>
  <c r="Y38" i="70"/>
  <c r="D90" i="69"/>
  <c r="J38" i="69"/>
  <c r="Y104" i="69"/>
  <c r="D92" i="69"/>
  <c r="E18" i="69"/>
  <c r="T18" i="69" s="1"/>
  <c r="X18" i="69" s="1"/>
  <c r="Y18" i="69" s="1"/>
  <c r="J98" i="69"/>
  <c r="J102" i="69"/>
  <c r="Y27" i="69"/>
  <c r="Y23" i="69"/>
  <c r="I84" i="69"/>
  <c r="J84" i="69" s="1"/>
  <c r="J21" i="69"/>
  <c r="D92" i="68"/>
  <c r="J97" i="68"/>
  <c r="Y50" i="68"/>
  <c r="E14" i="68"/>
  <c r="I14" i="68" s="1"/>
  <c r="J14" i="68" s="1"/>
  <c r="Y104" i="67"/>
  <c r="V103" i="67"/>
  <c r="Y103" i="67" s="1"/>
  <c r="J102" i="67"/>
  <c r="I84" i="67"/>
  <c r="J84" i="67" s="1"/>
  <c r="J23" i="66"/>
  <c r="D90" i="66"/>
  <c r="Y38" i="66"/>
  <c r="J102" i="66"/>
  <c r="E17" i="66"/>
  <c r="J104" i="66"/>
  <c r="I84" i="66"/>
  <c r="J84" i="66" s="1"/>
  <c r="J97" i="66"/>
  <c r="E20" i="66"/>
  <c r="T23" i="66"/>
  <c r="X23" i="66" s="1"/>
  <c r="Y23" i="66" s="1"/>
  <c r="E24" i="66"/>
  <c r="J31" i="66"/>
  <c r="Y31" i="66" s="1"/>
  <c r="Y32" i="66" s="1"/>
  <c r="T96" i="66"/>
  <c r="Y96" i="66" s="1"/>
  <c r="J102" i="65"/>
  <c r="D90" i="65"/>
  <c r="J23" i="65"/>
  <c r="E14" i="65"/>
  <c r="I14" i="65" s="1"/>
  <c r="J14" i="65" s="1"/>
  <c r="D92" i="65"/>
  <c r="X83" i="65"/>
  <c r="Y83" i="65" s="1"/>
  <c r="Y26" i="65"/>
  <c r="Y27" i="65"/>
  <c r="J46" i="65"/>
  <c r="J104" i="65"/>
  <c r="Y15" i="65"/>
  <c r="Y17" i="65"/>
  <c r="Y18" i="65"/>
  <c r="Y19" i="65"/>
  <c r="E14" i="64"/>
  <c r="I14" i="64" s="1"/>
  <c r="J14" i="64" s="1"/>
  <c r="J38" i="64"/>
  <c r="Y38" i="64"/>
  <c r="J97" i="63"/>
  <c r="E20" i="63"/>
  <c r="I20" i="63" s="1"/>
  <c r="J20" i="63" s="1"/>
  <c r="I23" i="63"/>
  <c r="J23" i="63" s="1"/>
  <c r="I84" i="63"/>
  <c r="J84" i="63" s="1"/>
  <c r="Y23" i="63"/>
  <c r="J103" i="63"/>
  <c r="Y104" i="62"/>
  <c r="E17" i="62"/>
  <c r="T17" i="62" s="1"/>
  <c r="X17" i="62" s="1"/>
  <c r="Y17" i="62" s="1"/>
  <c r="J97" i="62"/>
  <c r="D92" i="62"/>
  <c r="J20" i="62"/>
  <c r="E27" i="62"/>
  <c r="T27" i="62" s="1"/>
  <c r="X27" i="62" s="1"/>
  <c r="Y27" i="62" s="1"/>
  <c r="I84" i="62"/>
  <c r="J84" i="62" s="1"/>
  <c r="Y23" i="62"/>
  <c r="V103" i="62"/>
  <c r="Y103" i="62" s="1"/>
  <c r="D90" i="62"/>
  <c r="J23" i="61"/>
  <c r="I84" i="61"/>
  <c r="J84" i="61" s="1"/>
  <c r="T24" i="61"/>
  <c r="X24" i="61" s="1"/>
  <c r="Y24" i="61" s="1"/>
  <c r="J47" i="61"/>
  <c r="D90" i="61"/>
  <c r="E18" i="61"/>
  <c r="E20" i="61"/>
  <c r="D92" i="61"/>
  <c r="J102" i="61"/>
  <c r="J97" i="61"/>
  <c r="I84" i="60"/>
  <c r="J84" i="60" s="1"/>
  <c r="J102" i="60"/>
  <c r="Y25" i="60"/>
  <c r="E27" i="60"/>
  <c r="I27" i="60" s="1"/>
  <c r="J27" i="60" s="1"/>
  <c r="D90" i="60"/>
  <c r="Y27" i="60"/>
  <c r="J46" i="60"/>
  <c r="J104" i="60"/>
  <c r="J98" i="60"/>
  <c r="X83" i="60"/>
  <c r="Y83" i="60" s="1"/>
  <c r="Y26" i="60"/>
  <c r="J23" i="60"/>
  <c r="Y104" i="59"/>
  <c r="D92" i="59"/>
  <c r="J102" i="59"/>
  <c r="J104" i="59"/>
  <c r="J97" i="59"/>
  <c r="V103" i="59"/>
  <c r="Y103" i="59" s="1"/>
  <c r="X97" i="59"/>
  <c r="Y97" i="59" s="1"/>
  <c r="Y23" i="59"/>
  <c r="Y104" i="58"/>
  <c r="J46" i="58"/>
  <c r="D92" i="58"/>
  <c r="I84" i="58"/>
  <c r="J84" i="58" s="1"/>
  <c r="J102" i="58"/>
  <c r="J97" i="58"/>
  <c r="Y50" i="58"/>
  <c r="T96" i="58"/>
  <c r="I137" i="56"/>
  <c r="J38" i="82"/>
  <c r="J38" i="80"/>
  <c r="C57" i="56"/>
  <c r="D57" i="56"/>
  <c r="C68" i="56"/>
  <c r="D68" i="56"/>
  <c r="Q126" i="57"/>
  <c r="E20" i="105"/>
  <c r="I20" i="105" s="1"/>
  <c r="J20" i="105" s="1"/>
  <c r="E21" i="105"/>
  <c r="I21" i="105" s="1"/>
  <c r="J21" i="105" s="1"/>
  <c r="E22" i="105"/>
  <c r="I22" i="105" s="1"/>
  <c r="J22" i="105" s="1"/>
  <c r="E12" i="105"/>
  <c r="I12" i="105" s="1"/>
  <c r="J12" i="105" s="1"/>
  <c r="E14" i="105"/>
  <c r="I14" i="105" s="1"/>
  <c r="J14" i="105" s="1"/>
  <c r="E24" i="105"/>
  <c r="I24" i="105" s="1"/>
  <c r="J24" i="105" s="1"/>
  <c r="E15" i="105"/>
  <c r="I15" i="105" s="1"/>
  <c r="J15" i="105" s="1"/>
  <c r="E25" i="105"/>
  <c r="I25" i="105" s="1"/>
  <c r="J25" i="105" s="1"/>
  <c r="E17" i="105"/>
  <c r="I17" i="105" s="1"/>
  <c r="J17" i="105" s="1"/>
  <c r="Y50" i="105"/>
  <c r="S92" i="105"/>
  <c r="X92" i="105" s="1"/>
  <c r="Y16" i="105"/>
  <c r="Y83" i="105"/>
  <c r="T28" i="105"/>
  <c r="X13" i="105"/>
  <c r="Y13" i="105" s="1"/>
  <c r="J103" i="105"/>
  <c r="I84" i="105"/>
  <c r="J84" i="105" s="1"/>
  <c r="Y12" i="105"/>
  <c r="S91" i="105"/>
  <c r="X91" i="105" s="1"/>
  <c r="Y14" i="105"/>
  <c r="E46" i="105"/>
  <c r="J46" i="105" s="1"/>
  <c r="E42" i="105"/>
  <c r="J42" i="105" s="1"/>
  <c r="E49" i="105"/>
  <c r="J49" i="105" s="1"/>
  <c r="E45" i="105"/>
  <c r="J45" i="105" s="1"/>
  <c r="E41" i="105"/>
  <c r="E48" i="105"/>
  <c r="J48" i="105" s="1"/>
  <c r="E44" i="105"/>
  <c r="J44" i="105" s="1"/>
  <c r="E43" i="105"/>
  <c r="J43" i="105" s="1"/>
  <c r="V86" i="105"/>
  <c r="D91" i="105"/>
  <c r="E16" i="105"/>
  <c r="I16" i="105" s="1"/>
  <c r="E26" i="105"/>
  <c r="I26" i="105" s="1"/>
  <c r="J26" i="105" s="1"/>
  <c r="E13" i="105"/>
  <c r="E17" i="104"/>
  <c r="I17" i="104" s="1"/>
  <c r="J17" i="104" s="1"/>
  <c r="Y104" i="104"/>
  <c r="S91" i="104"/>
  <c r="X91" i="104" s="1"/>
  <c r="Y14" i="104"/>
  <c r="Y12" i="104"/>
  <c r="X28" i="104"/>
  <c r="S90" i="104"/>
  <c r="J103" i="104"/>
  <c r="S92" i="104"/>
  <c r="X92" i="104" s="1"/>
  <c r="Y16" i="104"/>
  <c r="J98" i="104"/>
  <c r="E44" i="104"/>
  <c r="J44" i="104" s="1"/>
  <c r="E48" i="104"/>
  <c r="J48" i="104" s="1"/>
  <c r="V85" i="104"/>
  <c r="E15" i="104"/>
  <c r="I15" i="104" s="1"/>
  <c r="J15" i="104" s="1"/>
  <c r="E25" i="104"/>
  <c r="I25" i="104" s="1"/>
  <c r="J25" i="104" s="1"/>
  <c r="E12" i="104"/>
  <c r="E22" i="104"/>
  <c r="I22" i="104" s="1"/>
  <c r="J22" i="104" s="1"/>
  <c r="V71" i="104"/>
  <c r="V87" i="104"/>
  <c r="T28" i="104"/>
  <c r="E41" i="104"/>
  <c r="E45" i="104"/>
  <c r="J45" i="104" s="1"/>
  <c r="E49" i="104"/>
  <c r="J49" i="104" s="1"/>
  <c r="E43" i="104"/>
  <c r="J43" i="104" s="1"/>
  <c r="E47" i="104"/>
  <c r="J47" i="104" s="1"/>
  <c r="D91" i="104"/>
  <c r="E16" i="104"/>
  <c r="I16" i="104" s="1"/>
  <c r="E26" i="104"/>
  <c r="I26" i="104" s="1"/>
  <c r="J26" i="104" s="1"/>
  <c r="E13" i="104"/>
  <c r="I13" i="104" s="1"/>
  <c r="J13" i="104" s="1"/>
  <c r="E42" i="104"/>
  <c r="J42" i="104" s="1"/>
  <c r="T28" i="103"/>
  <c r="T64" i="103" s="1"/>
  <c r="X65" i="103" s="1"/>
  <c r="X70" i="103" s="1"/>
  <c r="Y70" i="103" s="1"/>
  <c r="E19" i="103"/>
  <c r="I19" i="103" s="1"/>
  <c r="J19" i="103" s="1"/>
  <c r="E20" i="103"/>
  <c r="I20" i="103" s="1"/>
  <c r="J20" i="103" s="1"/>
  <c r="Y50" i="103"/>
  <c r="Y16" i="103"/>
  <c r="S92" i="103"/>
  <c r="X92" i="103" s="1"/>
  <c r="Y83" i="103"/>
  <c r="Y12" i="103"/>
  <c r="S91" i="103"/>
  <c r="X91" i="103" s="1"/>
  <c r="Y14" i="103"/>
  <c r="E43" i="103"/>
  <c r="J43" i="103" s="1"/>
  <c r="E47" i="103"/>
  <c r="J47" i="103" s="1"/>
  <c r="E21" i="103"/>
  <c r="I21" i="103" s="1"/>
  <c r="J21" i="103" s="1"/>
  <c r="D90" i="103"/>
  <c r="E18" i="103"/>
  <c r="I18" i="103" s="1"/>
  <c r="J18" i="103" s="1"/>
  <c r="E44" i="103"/>
  <c r="J44" i="103" s="1"/>
  <c r="E48" i="103"/>
  <c r="J48" i="103" s="1"/>
  <c r="X13" i="103"/>
  <c r="Y13" i="103" s="1"/>
  <c r="Y104" i="103"/>
  <c r="E41" i="103"/>
  <c r="E45" i="103"/>
  <c r="J45" i="103" s="1"/>
  <c r="E49" i="103"/>
  <c r="J49" i="103" s="1"/>
  <c r="V86" i="103"/>
  <c r="D91" i="103"/>
  <c r="E16" i="103"/>
  <c r="I16" i="103" s="1"/>
  <c r="E26" i="103"/>
  <c r="I26" i="103" s="1"/>
  <c r="J26" i="103" s="1"/>
  <c r="E13" i="103"/>
  <c r="E42" i="103"/>
  <c r="J42" i="103" s="1"/>
  <c r="Y96" i="102"/>
  <c r="E46" i="102"/>
  <c r="J46" i="102" s="1"/>
  <c r="E42" i="102"/>
  <c r="J42" i="102" s="1"/>
  <c r="E48" i="102"/>
  <c r="J48" i="102" s="1"/>
  <c r="E44" i="102"/>
  <c r="J44" i="102" s="1"/>
  <c r="E49" i="102"/>
  <c r="J49" i="102" s="1"/>
  <c r="E45" i="102"/>
  <c r="J45" i="102" s="1"/>
  <c r="E41" i="102"/>
  <c r="E47" i="102"/>
  <c r="J47" i="102" s="1"/>
  <c r="E43" i="102"/>
  <c r="J43" i="102" s="1"/>
  <c r="J103" i="102"/>
  <c r="Y50" i="102"/>
  <c r="Y83" i="102"/>
  <c r="I84" i="102"/>
  <c r="J84" i="102" s="1"/>
  <c r="V87" i="102"/>
  <c r="T14" i="102"/>
  <c r="X14" i="102" s="1"/>
  <c r="T24" i="102"/>
  <c r="X24" i="102" s="1"/>
  <c r="Y24" i="102" s="1"/>
  <c r="E15" i="102"/>
  <c r="E25" i="102"/>
  <c r="T17" i="102"/>
  <c r="X17" i="102" s="1"/>
  <c r="Y17" i="102" s="1"/>
  <c r="T27" i="102"/>
  <c r="X27" i="102" s="1"/>
  <c r="Y27" i="102" s="1"/>
  <c r="D91" i="102"/>
  <c r="E12" i="102"/>
  <c r="E22" i="102"/>
  <c r="V71" i="102"/>
  <c r="E16" i="102"/>
  <c r="E26" i="102"/>
  <c r="E19" i="102"/>
  <c r="E13" i="102"/>
  <c r="Y38" i="101"/>
  <c r="Y96" i="101"/>
  <c r="E17" i="101"/>
  <c r="E18" i="101"/>
  <c r="Y103" i="101"/>
  <c r="J103" i="101"/>
  <c r="E19" i="101"/>
  <c r="E44" i="101"/>
  <c r="J44" i="101" s="1"/>
  <c r="E48" i="101"/>
  <c r="J48" i="101" s="1"/>
  <c r="V85" i="101"/>
  <c r="E12" i="101"/>
  <c r="T12" i="101" s="1"/>
  <c r="X12" i="101" s="1"/>
  <c r="Y12" i="101" s="1"/>
  <c r="E22" i="101"/>
  <c r="D91" i="101"/>
  <c r="E16" i="101"/>
  <c r="E26" i="101"/>
  <c r="E43" i="101"/>
  <c r="J43" i="101" s="1"/>
  <c r="E47" i="101"/>
  <c r="J47" i="101" s="1"/>
  <c r="E41" i="101"/>
  <c r="E45" i="101"/>
  <c r="J45" i="101" s="1"/>
  <c r="E49" i="101"/>
  <c r="J49" i="101" s="1"/>
  <c r="E15" i="101"/>
  <c r="E25" i="101"/>
  <c r="E13" i="101"/>
  <c r="E42" i="101"/>
  <c r="J42" i="101" s="1"/>
  <c r="Y96" i="100"/>
  <c r="T28" i="100"/>
  <c r="T61" i="100" s="1"/>
  <c r="X62" i="100" s="1"/>
  <c r="X67" i="100" s="1"/>
  <c r="Y67" i="100" s="1"/>
  <c r="E18" i="100"/>
  <c r="I18" i="100" s="1"/>
  <c r="J18" i="100" s="1"/>
  <c r="S91" i="100"/>
  <c r="X91" i="100" s="1"/>
  <c r="Y14" i="100"/>
  <c r="Y104" i="100"/>
  <c r="Y12" i="100"/>
  <c r="S92" i="100"/>
  <c r="X92" i="100" s="1"/>
  <c r="Y16" i="100"/>
  <c r="J103" i="100"/>
  <c r="E44" i="100"/>
  <c r="J44" i="100" s="1"/>
  <c r="E48" i="100"/>
  <c r="J48" i="100" s="1"/>
  <c r="J98" i="100"/>
  <c r="E15" i="100"/>
  <c r="I15" i="100" s="1"/>
  <c r="J15" i="100" s="1"/>
  <c r="E25" i="100"/>
  <c r="I25" i="100" s="1"/>
  <c r="J25" i="100" s="1"/>
  <c r="E12" i="100"/>
  <c r="E22" i="100"/>
  <c r="I22" i="100" s="1"/>
  <c r="J22" i="100" s="1"/>
  <c r="V71" i="100"/>
  <c r="E47" i="100"/>
  <c r="J47" i="100" s="1"/>
  <c r="E43" i="100"/>
  <c r="J43" i="100" s="1"/>
  <c r="X13" i="100"/>
  <c r="Y13" i="100" s="1"/>
  <c r="D91" i="100"/>
  <c r="E41" i="100"/>
  <c r="E45" i="100"/>
  <c r="J45" i="100" s="1"/>
  <c r="E49" i="100"/>
  <c r="J49" i="100" s="1"/>
  <c r="E16" i="100"/>
  <c r="I16" i="100" s="1"/>
  <c r="E42" i="100"/>
  <c r="J42" i="100" s="1"/>
  <c r="Y96" i="99"/>
  <c r="E24" i="99"/>
  <c r="I24" i="99" s="1"/>
  <c r="J24" i="99" s="1"/>
  <c r="E17" i="99"/>
  <c r="I17" i="99" s="1"/>
  <c r="J17" i="99" s="1"/>
  <c r="Y12" i="99"/>
  <c r="X28" i="99"/>
  <c r="S90" i="99"/>
  <c r="S91" i="99"/>
  <c r="X91" i="99" s="1"/>
  <c r="Y14" i="99"/>
  <c r="Y103" i="99"/>
  <c r="Y16" i="99"/>
  <c r="S92" i="99"/>
  <c r="X92" i="99" s="1"/>
  <c r="J103" i="99"/>
  <c r="V87" i="99"/>
  <c r="V85" i="99"/>
  <c r="E12" i="99"/>
  <c r="E22" i="99"/>
  <c r="I22" i="99" s="1"/>
  <c r="J22" i="99" s="1"/>
  <c r="V71" i="99"/>
  <c r="E15" i="99"/>
  <c r="I15" i="99" s="1"/>
  <c r="J15" i="99" s="1"/>
  <c r="E25" i="99"/>
  <c r="I25" i="99" s="1"/>
  <c r="J25" i="99" s="1"/>
  <c r="T28" i="99"/>
  <c r="E41" i="99"/>
  <c r="E45" i="99"/>
  <c r="J45" i="99" s="1"/>
  <c r="E49" i="99"/>
  <c r="J49" i="99" s="1"/>
  <c r="E19" i="99"/>
  <c r="I19" i="99" s="1"/>
  <c r="J19" i="99" s="1"/>
  <c r="D91" i="99"/>
  <c r="E16" i="99"/>
  <c r="I16" i="99" s="1"/>
  <c r="E26" i="99"/>
  <c r="I26" i="99" s="1"/>
  <c r="J26" i="99" s="1"/>
  <c r="J98" i="99"/>
  <c r="E44" i="99"/>
  <c r="J44" i="99" s="1"/>
  <c r="E48" i="99"/>
  <c r="J48" i="99" s="1"/>
  <c r="E43" i="99"/>
  <c r="J43" i="99" s="1"/>
  <c r="E47" i="99"/>
  <c r="J47" i="99" s="1"/>
  <c r="E13" i="99"/>
  <c r="I13" i="99" s="1"/>
  <c r="J13" i="99" s="1"/>
  <c r="E42" i="99"/>
  <c r="J42" i="99" s="1"/>
  <c r="Y96" i="98"/>
  <c r="E18" i="98"/>
  <c r="I18" i="98" s="1"/>
  <c r="J18" i="98" s="1"/>
  <c r="E20" i="98"/>
  <c r="I20" i="98" s="1"/>
  <c r="J20" i="98" s="1"/>
  <c r="E21" i="98"/>
  <c r="I21" i="98" s="1"/>
  <c r="J21" i="98" s="1"/>
  <c r="S91" i="98"/>
  <c r="X91" i="98" s="1"/>
  <c r="Y14" i="98"/>
  <c r="S92" i="98"/>
  <c r="X92" i="98" s="1"/>
  <c r="Y16" i="98"/>
  <c r="Y83" i="98"/>
  <c r="Y103" i="98"/>
  <c r="X28" i="98"/>
  <c r="Y12" i="98"/>
  <c r="S90" i="98"/>
  <c r="J103" i="98"/>
  <c r="Y50" i="98"/>
  <c r="V85" i="98"/>
  <c r="E12" i="98"/>
  <c r="E22" i="98"/>
  <c r="I22" i="98" s="1"/>
  <c r="J22" i="98" s="1"/>
  <c r="T28" i="98"/>
  <c r="T52" i="98" s="1"/>
  <c r="E41" i="98"/>
  <c r="E45" i="98"/>
  <c r="J45" i="98" s="1"/>
  <c r="E49" i="98"/>
  <c r="J49" i="98" s="1"/>
  <c r="D91" i="98"/>
  <c r="E16" i="98"/>
  <c r="I16" i="98" s="1"/>
  <c r="E26" i="98"/>
  <c r="I26" i="98" s="1"/>
  <c r="J26" i="98" s="1"/>
  <c r="V87" i="98"/>
  <c r="E44" i="98"/>
  <c r="J44" i="98" s="1"/>
  <c r="E48" i="98"/>
  <c r="J48" i="98" s="1"/>
  <c r="E43" i="98"/>
  <c r="J43" i="98" s="1"/>
  <c r="E47" i="98"/>
  <c r="J47" i="98" s="1"/>
  <c r="E19" i="98"/>
  <c r="I19" i="98" s="1"/>
  <c r="J19" i="98" s="1"/>
  <c r="E13" i="98"/>
  <c r="I13" i="98" s="1"/>
  <c r="J13" i="98" s="1"/>
  <c r="E42" i="98"/>
  <c r="J42" i="98" s="1"/>
  <c r="J38" i="97"/>
  <c r="Y96" i="97"/>
  <c r="E17" i="97"/>
  <c r="I17" i="97" s="1"/>
  <c r="J17" i="97" s="1"/>
  <c r="E18" i="97"/>
  <c r="I18" i="97" s="1"/>
  <c r="J18" i="97" s="1"/>
  <c r="E20" i="97"/>
  <c r="I20" i="97" s="1"/>
  <c r="J20" i="97" s="1"/>
  <c r="Y12" i="97"/>
  <c r="X28" i="97"/>
  <c r="V33" i="97" s="1"/>
  <c r="S90" i="97"/>
  <c r="Y83" i="97"/>
  <c r="S91" i="97"/>
  <c r="X91" i="97" s="1"/>
  <c r="Y14" i="97"/>
  <c r="Y16" i="97"/>
  <c r="S92" i="97"/>
  <c r="X92" i="97" s="1"/>
  <c r="Y103" i="97"/>
  <c r="Y50" i="97"/>
  <c r="V87" i="97"/>
  <c r="E15" i="97"/>
  <c r="I15" i="97" s="1"/>
  <c r="J15" i="97" s="1"/>
  <c r="E25" i="97"/>
  <c r="I25" i="97" s="1"/>
  <c r="J25" i="97" s="1"/>
  <c r="E12" i="97"/>
  <c r="E22" i="97"/>
  <c r="I22" i="97" s="1"/>
  <c r="J22" i="97" s="1"/>
  <c r="T28" i="97"/>
  <c r="E41" i="97"/>
  <c r="E45" i="97"/>
  <c r="J45" i="97" s="1"/>
  <c r="E49" i="97"/>
  <c r="J49" i="97" s="1"/>
  <c r="D91" i="97"/>
  <c r="E16" i="97"/>
  <c r="I16" i="97" s="1"/>
  <c r="E26" i="97"/>
  <c r="I26" i="97" s="1"/>
  <c r="J26" i="97" s="1"/>
  <c r="E43" i="97"/>
  <c r="J43" i="97" s="1"/>
  <c r="E47" i="97"/>
  <c r="J47" i="97" s="1"/>
  <c r="E44" i="97"/>
  <c r="J44" i="97" s="1"/>
  <c r="E48" i="97"/>
  <c r="J48" i="97" s="1"/>
  <c r="E19" i="97"/>
  <c r="I19" i="97" s="1"/>
  <c r="J19" i="97" s="1"/>
  <c r="E13" i="97"/>
  <c r="I13" i="97" s="1"/>
  <c r="J13" i="97" s="1"/>
  <c r="E42" i="97"/>
  <c r="J42" i="97" s="1"/>
  <c r="Y96" i="96"/>
  <c r="T28" i="96"/>
  <c r="T52" i="96" s="1"/>
  <c r="X53" i="96" s="1"/>
  <c r="E17" i="96"/>
  <c r="I17" i="96" s="1"/>
  <c r="J17" i="96" s="1"/>
  <c r="E18" i="96"/>
  <c r="I18" i="96" s="1"/>
  <c r="J18" i="96" s="1"/>
  <c r="E20" i="96"/>
  <c r="I20" i="96" s="1"/>
  <c r="J20" i="96" s="1"/>
  <c r="E21" i="96"/>
  <c r="I21" i="96" s="1"/>
  <c r="J21" i="96" s="1"/>
  <c r="Y12" i="96"/>
  <c r="Y104" i="96"/>
  <c r="J103" i="96"/>
  <c r="S91" i="96"/>
  <c r="X91" i="96" s="1"/>
  <c r="Y14" i="96"/>
  <c r="Y83" i="96"/>
  <c r="Y16" i="96"/>
  <c r="S92" i="96"/>
  <c r="X92" i="96" s="1"/>
  <c r="E44" i="96"/>
  <c r="J44" i="96" s="1"/>
  <c r="E48" i="96"/>
  <c r="J48" i="96" s="1"/>
  <c r="E15" i="96"/>
  <c r="I15" i="96" s="1"/>
  <c r="J15" i="96" s="1"/>
  <c r="E25" i="96"/>
  <c r="I25" i="96" s="1"/>
  <c r="J25" i="96" s="1"/>
  <c r="V103" i="96"/>
  <c r="Y103" i="96" s="1"/>
  <c r="X97" i="96"/>
  <c r="Y97" i="96" s="1"/>
  <c r="E43" i="96"/>
  <c r="J43" i="96" s="1"/>
  <c r="E47" i="96"/>
  <c r="J47" i="96" s="1"/>
  <c r="E12" i="96"/>
  <c r="E22" i="96"/>
  <c r="I22" i="96" s="1"/>
  <c r="J22" i="96" s="1"/>
  <c r="V71" i="96"/>
  <c r="X13" i="96"/>
  <c r="Y13" i="96" s="1"/>
  <c r="D91" i="96"/>
  <c r="E16" i="96"/>
  <c r="I16" i="96" s="1"/>
  <c r="E26" i="96"/>
  <c r="I26" i="96" s="1"/>
  <c r="J26" i="96" s="1"/>
  <c r="E41" i="96"/>
  <c r="E45" i="96"/>
  <c r="J45" i="96" s="1"/>
  <c r="E49" i="96"/>
  <c r="J49" i="96" s="1"/>
  <c r="E19" i="96"/>
  <c r="I19" i="96" s="1"/>
  <c r="J19" i="96" s="1"/>
  <c r="E13" i="96"/>
  <c r="I13" i="96" s="1"/>
  <c r="J13" i="96" s="1"/>
  <c r="E42" i="96"/>
  <c r="J42" i="96" s="1"/>
  <c r="E43" i="95"/>
  <c r="J43" i="95" s="1"/>
  <c r="T28" i="95"/>
  <c r="T61" i="95" s="1"/>
  <c r="X62" i="95" s="1"/>
  <c r="X67" i="95" s="1"/>
  <c r="Y67" i="95" s="1"/>
  <c r="J103" i="95"/>
  <c r="Y12" i="95"/>
  <c r="Y103" i="95"/>
  <c r="Y16" i="95"/>
  <c r="S92" i="95"/>
  <c r="X92" i="95" s="1"/>
  <c r="S91" i="95"/>
  <c r="X91" i="95" s="1"/>
  <c r="Y14" i="95"/>
  <c r="J97" i="95"/>
  <c r="J98" i="95"/>
  <c r="E21" i="95"/>
  <c r="I21" i="95" s="1"/>
  <c r="J21" i="95" s="1"/>
  <c r="V70" i="95"/>
  <c r="I84" i="95"/>
  <c r="J84" i="95" s="1"/>
  <c r="V85" i="95"/>
  <c r="E15" i="95"/>
  <c r="I15" i="95" s="1"/>
  <c r="J15" i="95" s="1"/>
  <c r="E25" i="95"/>
  <c r="I25" i="95" s="1"/>
  <c r="J25" i="95" s="1"/>
  <c r="E12" i="95"/>
  <c r="E22" i="95"/>
  <c r="I22" i="95" s="1"/>
  <c r="J22" i="95" s="1"/>
  <c r="V71" i="95"/>
  <c r="V87" i="95"/>
  <c r="D91" i="95"/>
  <c r="E44" i="95"/>
  <c r="J44" i="95" s="1"/>
  <c r="E48" i="95"/>
  <c r="J48" i="95" s="1"/>
  <c r="E16" i="95"/>
  <c r="I16" i="95" s="1"/>
  <c r="E26" i="95"/>
  <c r="I26" i="95" s="1"/>
  <c r="J26" i="95" s="1"/>
  <c r="X13" i="95"/>
  <c r="Y13" i="95" s="1"/>
  <c r="E41" i="95"/>
  <c r="E45" i="95"/>
  <c r="J45" i="95" s="1"/>
  <c r="E49" i="95"/>
  <c r="J49" i="95" s="1"/>
  <c r="E19" i="95"/>
  <c r="I19" i="95" s="1"/>
  <c r="J19" i="95" s="1"/>
  <c r="E13" i="95"/>
  <c r="I13" i="95" s="1"/>
  <c r="J13" i="95" s="1"/>
  <c r="E42" i="95"/>
  <c r="J42" i="95" s="1"/>
  <c r="J38" i="94"/>
  <c r="T28" i="94"/>
  <c r="T64" i="94" s="1"/>
  <c r="X65" i="94" s="1"/>
  <c r="X70" i="94" s="1"/>
  <c r="Y70" i="94" s="1"/>
  <c r="E17" i="94"/>
  <c r="I17" i="94" s="1"/>
  <c r="J17" i="94" s="1"/>
  <c r="S91" i="94"/>
  <c r="X91" i="94" s="1"/>
  <c r="Y14" i="94"/>
  <c r="Y104" i="94"/>
  <c r="S92" i="94"/>
  <c r="X92" i="94" s="1"/>
  <c r="Y16" i="94"/>
  <c r="J103" i="94"/>
  <c r="Y12" i="94"/>
  <c r="V87" i="94"/>
  <c r="E44" i="94"/>
  <c r="J44" i="94" s="1"/>
  <c r="E48" i="94"/>
  <c r="J48" i="94" s="1"/>
  <c r="E19" i="94"/>
  <c r="I19" i="94" s="1"/>
  <c r="J19" i="94" s="1"/>
  <c r="X13" i="94"/>
  <c r="Y13" i="94" s="1"/>
  <c r="E43" i="94"/>
  <c r="J43" i="94" s="1"/>
  <c r="E47" i="94"/>
  <c r="J47" i="94" s="1"/>
  <c r="V85" i="94"/>
  <c r="E12" i="94"/>
  <c r="E22" i="94"/>
  <c r="I22" i="94" s="1"/>
  <c r="J22" i="94" s="1"/>
  <c r="E41" i="94"/>
  <c r="E49" i="94"/>
  <c r="J49" i="94" s="1"/>
  <c r="D91" i="94"/>
  <c r="E16" i="94"/>
  <c r="I16" i="94" s="1"/>
  <c r="E26" i="94"/>
  <c r="I26" i="94" s="1"/>
  <c r="J26" i="94" s="1"/>
  <c r="V103" i="94"/>
  <c r="Y103" i="94" s="1"/>
  <c r="E45" i="94"/>
  <c r="J45" i="94" s="1"/>
  <c r="E15" i="94"/>
  <c r="I15" i="94" s="1"/>
  <c r="J15" i="94" s="1"/>
  <c r="E25" i="94"/>
  <c r="I25" i="94" s="1"/>
  <c r="J25" i="94" s="1"/>
  <c r="E13" i="94"/>
  <c r="I13" i="94" s="1"/>
  <c r="J13" i="94" s="1"/>
  <c r="E42" i="94"/>
  <c r="J42" i="94" s="1"/>
  <c r="E47" i="93"/>
  <c r="J47" i="93" s="1"/>
  <c r="E17" i="93"/>
  <c r="I17" i="93" s="1"/>
  <c r="J17" i="93" s="1"/>
  <c r="E18" i="93"/>
  <c r="I18" i="93" s="1"/>
  <c r="J18" i="93" s="1"/>
  <c r="J103" i="93"/>
  <c r="S91" i="93"/>
  <c r="X91" i="93" s="1"/>
  <c r="Y14" i="93"/>
  <c r="Y16" i="93"/>
  <c r="S92" i="93"/>
  <c r="X92" i="93" s="1"/>
  <c r="Y83" i="93"/>
  <c r="Y12" i="93"/>
  <c r="X28" i="93"/>
  <c r="S90" i="93"/>
  <c r="J97" i="93"/>
  <c r="J98" i="93"/>
  <c r="E21" i="93"/>
  <c r="I21" i="93" s="1"/>
  <c r="J21" i="93" s="1"/>
  <c r="V70" i="93"/>
  <c r="V87" i="93"/>
  <c r="E44" i="93"/>
  <c r="J44" i="93" s="1"/>
  <c r="E48" i="93"/>
  <c r="J48" i="93" s="1"/>
  <c r="V85" i="93"/>
  <c r="E12" i="93"/>
  <c r="E22" i="93"/>
  <c r="I22" i="93" s="1"/>
  <c r="J22" i="93" s="1"/>
  <c r="V71" i="93"/>
  <c r="T28" i="93"/>
  <c r="E41" i="93"/>
  <c r="E45" i="93"/>
  <c r="J45" i="93" s="1"/>
  <c r="E49" i="93"/>
  <c r="J49" i="93" s="1"/>
  <c r="D91" i="93"/>
  <c r="E16" i="93"/>
  <c r="I16" i="93" s="1"/>
  <c r="E26" i="93"/>
  <c r="I26" i="93" s="1"/>
  <c r="J26" i="93" s="1"/>
  <c r="E15" i="93"/>
  <c r="I15" i="93" s="1"/>
  <c r="J15" i="93" s="1"/>
  <c r="E25" i="93"/>
  <c r="I25" i="93" s="1"/>
  <c r="J25" i="93" s="1"/>
  <c r="E19" i="93"/>
  <c r="I19" i="93" s="1"/>
  <c r="J19" i="93" s="1"/>
  <c r="E13" i="93"/>
  <c r="I13" i="93" s="1"/>
  <c r="J13" i="93" s="1"/>
  <c r="E42" i="93"/>
  <c r="J42" i="93" s="1"/>
  <c r="E17" i="92"/>
  <c r="I17" i="92" s="1"/>
  <c r="J17" i="92" s="1"/>
  <c r="E18" i="92"/>
  <c r="I18" i="92" s="1"/>
  <c r="J18" i="92" s="1"/>
  <c r="T28" i="92"/>
  <c r="T61" i="92" s="1"/>
  <c r="X62" i="92" s="1"/>
  <c r="X67" i="92" s="1"/>
  <c r="Y67" i="92" s="1"/>
  <c r="E20" i="92"/>
  <c r="I20" i="92" s="1"/>
  <c r="J20" i="92" s="1"/>
  <c r="E24" i="92"/>
  <c r="I24" i="92" s="1"/>
  <c r="J24" i="92" s="1"/>
  <c r="E27" i="92"/>
  <c r="I27" i="92" s="1"/>
  <c r="J27" i="92" s="1"/>
  <c r="E14" i="92"/>
  <c r="I14" i="92" s="1"/>
  <c r="J14" i="92" s="1"/>
  <c r="S91" i="92"/>
  <c r="X91" i="92" s="1"/>
  <c r="Y14" i="92"/>
  <c r="S92" i="92"/>
  <c r="X92" i="92" s="1"/>
  <c r="Y16" i="92"/>
  <c r="Y103" i="92"/>
  <c r="Y12" i="92"/>
  <c r="X97" i="92"/>
  <c r="Y97" i="92" s="1"/>
  <c r="E21" i="92"/>
  <c r="I21" i="92" s="1"/>
  <c r="J21" i="92" s="1"/>
  <c r="V70" i="92"/>
  <c r="V85" i="92"/>
  <c r="E15" i="92"/>
  <c r="I15" i="92" s="1"/>
  <c r="J15" i="92" s="1"/>
  <c r="E25" i="92"/>
  <c r="I25" i="92" s="1"/>
  <c r="J25" i="92" s="1"/>
  <c r="E12" i="92"/>
  <c r="E22" i="92"/>
  <c r="I22" i="92" s="1"/>
  <c r="J22" i="92" s="1"/>
  <c r="V71" i="92"/>
  <c r="X13" i="92"/>
  <c r="Y13" i="92" s="1"/>
  <c r="V83" i="92"/>
  <c r="Y83" i="92" s="1"/>
  <c r="E43" i="92"/>
  <c r="J43" i="92" s="1"/>
  <c r="E47" i="92"/>
  <c r="J47" i="92" s="1"/>
  <c r="D91" i="92"/>
  <c r="E44" i="92"/>
  <c r="J44" i="92" s="1"/>
  <c r="E48" i="92"/>
  <c r="J48" i="92" s="1"/>
  <c r="E16" i="92"/>
  <c r="I16" i="92" s="1"/>
  <c r="E26" i="92"/>
  <c r="I26" i="92" s="1"/>
  <c r="J26" i="92" s="1"/>
  <c r="E41" i="92"/>
  <c r="E45" i="92"/>
  <c r="J45" i="92" s="1"/>
  <c r="E49" i="92"/>
  <c r="J49" i="92" s="1"/>
  <c r="E19" i="92"/>
  <c r="I19" i="92" s="1"/>
  <c r="J19" i="92" s="1"/>
  <c r="E13" i="92"/>
  <c r="I13" i="92" s="1"/>
  <c r="J13" i="92" s="1"/>
  <c r="E42" i="92"/>
  <c r="J42" i="92" s="1"/>
  <c r="J38" i="90"/>
  <c r="Y96" i="91"/>
  <c r="E43" i="91"/>
  <c r="J43" i="91" s="1"/>
  <c r="E46" i="91"/>
  <c r="J46" i="91" s="1"/>
  <c r="E23" i="91"/>
  <c r="I23" i="91" s="1"/>
  <c r="J23" i="91" s="1"/>
  <c r="E24" i="91"/>
  <c r="I24" i="91" s="1"/>
  <c r="J24" i="91" s="1"/>
  <c r="E13" i="91"/>
  <c r="I13" i="91" s="1"/>
  <c r="J13" i="91" s="1"/>
  <c r="T28" i="91"/>
  <c r="T58" i="91" s="1"/>
  <c r="X59" i="91" s="1"/>
  <c r="X71" i="91" s="1"/>
  <c r="E17" i="91"/>
  <c r="I17" i="91" s="1"/>
  <c r="J17" i="91" s="1"/>
  <c r="E18" i="91"/>
  <c r="I18" i="91" s="1"/>
  <c r="J18" i="91" s="1"/>
  <c r="Y31" i="91"/>
  <c r="Y32" i="91" s="1"/>
  <c r="Y12" i="91"/>
  <c r="Y83" i="91"/>
  <c r="Y14" i="91"/>
  <c r="S91" i="91"/>
  <c r="X91" i="91" s="1"/>
  <c r="J103" i="91"/>
  <c r="Y16" i="91"/>
  <c r="S92" i="91"/>
  <c r="X92" i="91" s="1"/>
  <c r="J97" i="91"/>
  <c r="X97" i="91"/>
  <c r="Y97" i="91" s="1"/>
  <c r="X13" i="91"/>
  <c r="Y13" i="91" s="1"/>
  <c r="E21" i="91"/>
  <c r="I21" i="91" s="1"/>
  <c r="J21" i="91" s="1"/>
  <c r="V70" i="91"/>
  <c r="V85" i="91"/>
  <c r="E15" i="91"/>
  <c r="I15" i="91" s="1"/>
  <c r="J15" i="91" s="1"/>
  <c r="E25" i="91"/>
  <c r="I25" i="91" s="1"/>
  <c r="J25" i="91" s="1"/>
  <c r="E12" i="91"/>
  <c r="E22" i="91"/>
  <c r="I22" i="91" s="1"/>
  <c r="J22" i="91" s="1"/>
  <c r="V71" i="91"/>
  <c r="D91" i="91"/>
  <c r="E44" i="91"/>
  <c r="J44" i="91" s="1"/>
  <c r="E48" i="91"/>
  <c r="J48" i="91" s="1"/>
  <c r="E41" i="91"/>
  <c r="E45" i="91"/>
  <c r="J45" i="91" s="1"/>
  <c r="E19" i="91"/>
  <c r="I19" i="91" s="1"/>
  <c r="J19" i="91" s="1"/>
  <c r="E16" i="91"/>
  <c r="I16" i="91" s="1"/>
  <c r="Y96" i="90"/>
  <c r="E17" i="90"/>
  <c r="I17" i="90" s="1"/>
  <c r="J17" i="90" s="1"/>
  <c r="E18" i="90"/>
  <c r="I18" i="90" s="1"/>
  <c r="J18" i="90" s="1"/>
  <c r="E20" i="90"/>
  <c r="I20" i="90" s="1"/>
  <c r="J20" i="90" s="1"/>
  <c r="E21" i="90"/>
  <c r="I21" i="90" s="1"/>
  <c r="J21" i="90" s="1"/>
  <c r="Y96" i="89"/>
  <c r="T28" i="89"/>
  <c r="T52" i="89" s="1"/>
  <c r="X53" i="89" s="1"/>
  <c r="E17" i="89"/>
  <c r="I17" i="89" s="1"/>
  <c r="J17" i="89" s="1"/>
  <c r="E18" i="89"/>
  <c r="I18" i="89" s="1"/>
  <c r="J18" i="89" s="1"/>
  <c r="Y12" i="90"/>
  <c r="X28" i="90"/>
  <c r="S90" i="90"/>
  <c r="Y103" i="90"/>
  <c r="S92" i="90"/>
  <c r="X92" i="90" s="1"/>
  <c r="Y16" i="90"/>
  <c r="J103" i="90"/>
  <c r="Y83" i="90"/>
  <c r="S91" i="90"/>
  <c r="X91" i="90" s="1"/>
  <c r="Y14" i="90"/>
  <c r="Y50" i="90"/>
  <c r="E43" i="90"/>
  <c r="J43" i="90" s="1"/>
  <c r="E47" i="90"/>
  <c r="J47" i="90" s="1"/>
  <c r="E15" i="90"/>
  <c r="I15" i="90" s="1"/>
  <c r="J15" i="90" s="1"/>
  <c r="E25" i="90"/>
  <c r="I25" i="90" s="1"/>
  <c r="J25" i="90" s="1"/>
  <c r="E12" i="90"/>
  <c r="E22" i="90"/>
  <c r="I22" i="90" s="1"/>
  <c r="J22" i="90" s="1"/>
  <c r="T28" i="90"/>
  <c r="E41" i="90"/>
  <c r="E45" i="90"/>
  <c r="J45" i="90" s="1"/>
  <c r="E49" i="90"/>
  <c r="J49" i="90" s="1"/>
  <c r="D91" i="90"/>
  <c r="E16" i="90"/>
  <c r="I16" i="90" s="1"/>
  <c r="E26" i="90"/>
  <c r="I26" i="90" s="1"/>
  <c r="J26" i="90" s="1"/>
  <c r="E44" i="90"/>
  <c r="J44" i="90" s="1"/>
  <c r="E48" i="90"/>
  <c r="J48" i="90" s="1"/>
  <c r="E19" i="90"/>
  <c r="I19" i="90" s="1"/>
  <c r="J19" i="90" s="1"/>
  <c r="E13" i="90"/>
  <c r="I13" i="90" s="1"/>
  <c r="J13" i="90" s="1"/>
  <c r="E42" i="90"/>
  <c r="J42" i="90" s="1"/>
  <c r="I84" i="89"/>
  <c r="J84" i="89" s="1"/>
  <c r="Y12" i="89"/>
  <c r="S92" i="89"/>
  <c r="X92" i="89" s="1"/>
  <c r="Y16" i="89"/>
  <c r="J103" i="89"/>
  <c r="Y103" i="89"/>
  <c r="S91" i="89"/>
  <c r="X91" i="89" s="1"/>
  <c r="Y14" i="89"/>
  <c r="J97" i="89"/>
  <c r="Y81" i="89"/>
  <c r="X83" i="89" s="1"/>
  <c r="Y83" i="89" s="1"/>
  <c r="V85" i="89"/>
  <c r="E15" i="89"/>
  <c r="I15" i="89" s="1"/>
  <c r="J15" i="89" s="1"/>
  <c r="E25" i="89"/>
  <c r="I25" i="89" s="1"/>
  <c r="J25" i="89" s="1"/>
  <c r="E12" i="89"/>
  <c r="E22" i="89"/>
  <c r="I22" i="89" s="1"/>
  <c r="J22" i="89" s="1"/>
  <c r="V71" i="89"/>
  <c r="D91" i="89"/>
  <c r="X13" i="89"/>
  <c r="Y13" i="89" s="1"/>
  <c r="E41" i="89"/>
  <c r="E45" i="89"/>
  <c r="J45" i="89" s="1"/>
  <c r="E49" i="89"/>
  <c r="J49" i="89" s="1"/>
  <c r="E19" i="89"/>
  <c r="I19" i="89" s="1"/>
  <c r="J19" i="89" s="1"/>
  <c r="E16" i="89"/>
  <c r="I16" i="89" s="1"/>
  <c r="E26" i="89"/>
  <c r="I26" i="89" s="1"/>
  <c r="J26" i="89" s="1"/>
  <c r="E44" i="89"/>
  <c r="J44" i="89" s="1"/>
  <c r="E48" i="89"/>
  <c r="J48" i="89" s="1"/>
  <c r="E13" i="89"/>
  <c r="I13" i="89" s="1"/>
  <c r="J13" i="89" s="1"/>
  <c r="E42" i="89"/>
  <c r="J42" i="89" s="1"/>
  <c r="Y96" i="88"/>
  <c r="T28" i="88"/>
  <c r="T52" i="88" s="1"/>
  <c r="X53" i="88" s="1"/>
  <c r="Y16" i="88"/>
  <c r="S92" i="88"/>
  <c r="X92" i="88" s="1"/>
  <c r="Y12" i="88"/>
  <c r="J103" i="88"/>
  <c r="Y104" i="88"/>
  <c r="S91" i="88"/>
  <c r="X91" i="88" s="1"/>
  <c r="Y14" i="88"/>
  <c r="J98" i="88"/>
  <c r="E44" i="88"/>
  <c r="J44" i="88" s="1"/>
  <c r="E48" i="88"/>
  <c r="J48" i="88" s="1"/>
  <c r="E15" i="88"/>
  <c r="I15" i="88" s="1"/>
  <c r="J15" i="88" s="1"/>
  <c r="E25" i="88"/>
  <c r="I25" i="88" s="1"/>
  <c r="J25" i="88" s="1"/>
  <c r="V103" i="88"/>
  <c r="Y103" i="88" s="1"/>
  <c r="E12" i="88"/>
  <c r="E22" i="88"/>
  <c r="I22" i="88" s="1"/>
  <c r="J22" i="88" s="1"/>
  <c r="V71" i="88"/>
  <c r="X13" i="88"/>
  <c r="Y13" i="88" s="1"/>
  <c r="E43" i="88"/>
  <c r="J43" i="88" s="1"/>
  <c r="E47" i="88"/>
  <c r="J47" i="88" s="1"/>
  <c r="D91" i="88"/>
  <c r="E16" i="88"/>
  <c r="I16" i="88" s="1"/>
  <c r="E26" i="88"/>
  <c r="I26" i="88" s="1"/>
  <c r="J26" i="88" s="1"/>
  <c r="E41" i="88"/>
  <c r="E45" i="88"/>
  <c r="J45" i="88" s="1"/>
  <c r="E49" i="88"/>
  <c r="J49" i="88" s="1"/>
  <c r="E19" i="88"/>
  <c r="I19" i="88" s="1"/>
  <c r="J19" i="88" s="1"/>
  <c r="E13" i="88"/>
  <c r="I13" i="88" s="1"/>
  <c r="J13" i="88" s="1"/>
  <c r="E42" i="88"/>
  <c r="J42" i="88" s="1"/>
  <c r="Y96" i="87"/>
  <c r="E43" i="87"/>
  <c r="J43" i="87" s="1"/>
  <c r="E18" i="87"/>
  <c r="I18" i="87" s="1"/>
  <c r="J18" i="87" s="1"/>
  <c r="E21" i="87"/>
  <c r="I21" i="87" s="1"/>
  <c r="J21" i="87" s="1"/>
  <c r="T28" i="87"/>
  <c r="T52" i="87" s="1"/>
  <c r="X53" i="87" s="1"/>
  <c r="S92" i="87"/>
  <c r="X92" i="87" s="1"/>
  <c r="Y16" i="87"/>
  <c r="J103" i="87"/>
  <c r="Y50" i="87"/>
  <c r="Y12" i="87"/>
  <c r="S90" i="87"/>
  <c r="E20" i="87"/>
  <c r="I20" i="87" s="1"/>
  <c r="J20" i="87" s="1"/>
  <c r="J104" i="87"/>
  <c r="X97" i="87"/>
  <c r="Y97" i="87" s="1"/>
  <c r="E17" i="87"/>
  <c r="I17" i="87" s="1"/>
  <c r="J17" i="87" s="1"/>
  <c r="E27" i="87"/>
  <c r="I27" i="87" s="1"/>
  <c r="J27" i="87" s="1"/>
  <c r="V83" i="87"/>
  <c r="V70" i="87"/>
  <c r="X14" i="87"/>
  <c r="E44" i="87"/>
  <c r="J44" i="87" s="1"/>
  <c r="E48" i="87"/>
  <c r="J48" i="87" s="1"/>
  <c r="V85" i="87"/>
  <c r="E12" i="87"/>
  <c r="E22" i="87"/>
  <c r="I22" i="87" s="1"/>
  <c r="J22" i="87" s="1"/>
  <c r="E41" i="87"/>
  <c r="E45" i="87"/>
  <c r="J45" i="87" s="1"/>
  <c r="E49" i="87"/>
  <c r="J49" i="87" s="1"/>
  <c r="D91" i="87"/>
  <c r="E16" i="87"/>
  <c r="I16" i="87" s="1"/>
  <c r="E26" i="87"/>
  <c r="I26" i="87" s="1"/>
  <c r="J26" i="87" s="1"/>
  <c r="E15" i="87"/>
  <c r="I15" i="87" s="1"/>
  <c r="J15" i="87" s="1"/>
  <c r="E25" i="87"/>
  <c r="I25" i="87" s="1"/>
  <c r="J25" i="87" s="1"/>
  <c r="E19" i="87"/>
  <c r="I19" i="87" s="1"/>
  <c r="J19" i="87" s="1"/>
  <c r="E13" i="87"/>
  <c r="I13" i="87" s="1"/>
  <c r="J13" i="87" s="1"/>
  <c r="E42" i="87"/>
  <c r="J42" i="87" s="1"/>
  <c r="Y96" i="86"/>
  <c r="E46" i="86"/>
  <c r="J46" i="86" s="1"/>
  <c r="E24" i="86"/>
  <c r="I24" i="86" s="1"/>
  <c r="J24" i="86" s="1"/>
  <c r="E13" i="86"/>
  <c r="I13" i="86" s="1"/>
  <c r="J13" i="86" s="1"/>
  <c r="T28" i="86"/>
  <c r="T52" i="86" s="1"/>
  <c r="X53" i="86" s="1"/>
  <c r="E14" i="86"/>
  <c r="I14" i="86" s="1"/>
  <c r="J14" i="86" s="1"/>
  <c r="E27" i="86"/>
  <c r="I27" i="86" s="1"/>
  <c r="J27" i="86" s="1"/>
  <c r="E18" i="86"/>
  <c r="I18" i="86" s="1"/>
  <c r="J18" i="86" s="1"/>
  <c r="E20" i="86"/>
  <c r="I20" i="86" s="1"/>
  <c r="J20" i="86" s="1"/>
  <c r="Y12" i="86"/>
  <c r="S91" i="86"/>
  <c r="X91" i="86" s="1"/>
  <c r="Y14" i="86"/>
  <c r="Y16" i="86"/>
  <c r="S92" i="86"/>
  <c r="X92" i="86" s="1"/>
  <c r="J103" i="86"/>
  <c r="X13" i="86"/>
  <c r="Y13" i="86" s="1"/>
  <c r="E43" i="86"/>
  <c r="J43" i="86" s="1"/>
  <c r="E47" i="86"/>
  <c r="J47" i="86" s="1"/>
  <c r="V85" i="86"/>
  <c r="E12" i="86"/>
  <c r="E22" i="86"/>
  <c r="I22" i="86" s="1"/>
  <c r="J22" i="86" s="1"/>
  <c r="E41" i="86"/>
  <c r="E45" i="86"/>
  <c r="J45" i="86" s="1"/>
  <c r="E49" i="86"/>
  <c r="J49" i="86" s="1"/>
  <c r="J97" i="86"/>
  <c r="D91" i="86"/>
  <c r="E19" i="86"/>
  <c r="I19" i="86" s="1"/>
  <c r="J19" i="86" s="1"/>
  <c r="E16" i="86"/>
  <c r="I16" i="86" s="1"/>
  <c r="E26" i="86"/>
  <c r="I26" i="86" s="1"/>
  <c r="J26" i="86" s="1"/>
  <c r="E44" i="86"/>
  <c r="J44" i="86" s="1"/>
  <c r="E15" i="86"/>
  <c r="I15" i="86" s="1"/>
  <c r="J15" i="86" s="1"/>
  <c r="Y96" i="85"/>
  <c r="J38" i="85"/>
  <c r="E24" i="85"/>
  <c r="I24" i="85" s="1"/>
  <c r="J24" i="85" s="1"/>
  <c r="T28" i="85"/>
  <c r="T58" i="85" s="1"/>
  <c r="X59" i="85" s="1"/>
  <c r="X71" i="85" s="1"/>
  <c r="Y71" i="85" s="1"/>
  <c r="E27" i="85"/>
  <c r="I27" i="85" s="1"/>
  <c r="J27" i="85" s="1"/>
  <c r="E14" i="85"/>
  <c r="I14" i="85" s="1"/>
  <c r="J14" i="85" s="1"/>
  <c r="E17" i="85"/>
  <c r="I17" i="85" s="1"/>
  <c r="J17" i="85" s="1"/>
  <c r="E18" i="85"/>
  <c r="I18" i="85" s="1"/>
  <c r="J18" i="85" s="1"/>
  <c r="E20" i="85"/>
  <c r="I20" i="85" s="1"/>
  <c r="J20" i="85" s="1"/>
  <c r="E21" i="85"/>
  <c r="I21" i="85" s="1"/>
  <c r="J21" i="85" s="1"/>
  <c r="Y12" i="85"/>
  <c r="S91" i="85"/>
  <c r="X91" i="85" s="1"/>
  <c r="Y14" i="85"/>
  <c r="Y16" i="85"/>
  <c r="S92" i="85"/>
  <c r="X92" i="85" s="1"/>
  <c r="Y50" i="85"/>
  <c r="X97" i="85"/>
  <c r="Y97" i="85" s="1"/>
  <c r="X13" i="85"/>
  <c r="Y13" i="85" s="1"/>
  <c r="E43" i="85"/>
  <c r="J43" i="85" s="1"/>
  <c r="E47" i="85"/>
  <c r="J47" i="85" s="1"/>
  <c r="E19" i="85"/>
  <c r="I19" i="85" s="1"/>
  <c r="J19" i="85" s="1"/>
  <c r="E44" i="85"/>
  <c r="J44" i="85" s="1"/>
  <c r="E48" i="85"/>
  <c r="J48" i="85" s="1"/>
  <c r="V85" i="85"/>
  <c r="E12" i="85"/>
  <c r="E22" i="85"/>
  <c r="I22" i="85" s="1"/>
  <c r="J22" i="85" s="1"/>
  <c r="E41" i="85"/>
  <c r="E49" i="85"/>
  <c r="J49" i="85" s="1"/>
  <c r="D91" i="85"/>
  <c r="E16" i="85"/>
  <c r="I16" i="85" s="1"/>
  <c r="E26" i="85"/>
  <c r="I26" i="85" s="1"/>
  <c r="J26" i="85" s="1"/>
  <c r="E45" i="85"/>
  <c r="J45" i="85" s="1"/>
  <c r="E15" i="85"/>
  <c r="I15" i="85" s="1"/>
  <c r="J15" i="85" s="1"/>
  <c r="E25" i="85"/>
  <c r="I25" i="85" s="1"/>
  <c r="J25" i="85" s="1"/>
  <c r="E13" i="85"/>
  <c r="I13" i="85" s="1"/>
  <c r="J13" i="85" s="1"/>
  <c r="E42" i="85"/>
  <c r="J42" i="85" s="1"/>
  <c r="Y96" i="84"/>
  <c r="T28" i="84"/>
  <c r="T64" i="84" s="1"/>
  <c r="X65" i="84" s="1"/>
  <c r="X70" i="84" s="1"/>
  <c r="Y70" i="84" s="1"/>
  <c r="S92" i="84"/>
  <c r="X92" i="84" s="1"/>
  <c r="Y16" i="84"/>
  <c r="X13" i="84"/>
  <c r="Y13" i="84" s="1"/>
  <c r="Y50" i="84"/>
  <c r="J103" i="84"/>
  <c r="J14" i="84"/>
  <c r="S91" i="84"/>
  <c r="X91" i="84" s="1"/>
  <c r="Y14" i="84"/>
  <c r="E46" i="84"/>
  <c r="J46" i="84" s="1"/>
  <c r="E42" i="84"/>
  <c r="J42" i="84" s="1"/>
  <c r="E48" i="84"/>
  <c r="J48" i="84" s="1"/>
  <c r="E44" i="84"/>
  <c r="J44" i="84" s="1"/>
  <c r="E49" i="84"/>
  <c r="J49" i="84" s="1"/>
  <c r="E45" i="84"/>
  <c r="J45" i="84" s="1"/>
  <c r="E41" i="84"/>
  <c r="E47" i="84"/>
  <c r="J47" i="84" s="1"/>
  <c r="E43" i="84"/>
  <c r="J43" i="84" s="1"/>
  <c r="Y12" i="84"/>
  <c r="I84" i="84"/>
  <c r="J84" i="84" s="1"/>
  <c r="V87" i="84"/>
  <c r="V83" i="84"/>
  <c r="Y83" i="84" s="1"/>
  <c r="V85" i="84"/>
  <c r="E12" i="84"/>
  <c r="E22" i="84"/>
  <c r="I22" i="84" s="1"/>
  <c r="J22" i="84" s="1"/>
  <c r="D91" i="84"/>
  <c r="E16" i="84"/>
  <c r="I16" i="84" s="1"/>
  <c r="E26" i="84"/>
  <c r="I26" i="84" s="1"/>
  <c r="J26" i="84" s="1"/>
  <c r="E19" i="84"/>
  <c r="I19" i="84" s="1"/>
  <c r="J19" i="84" s="1"/>
  <c r="E15" i="84"/>
  <c r="I15" i="84" s="1"/>
  <c r="J15" i="84" s="1"/>
  <c r="E25" i="84"/>
  <c r="I25" i="84" s="1"/>
  <c r="J25" i="84" s="1"/>
  <c r="E13" i="84"/>
  <c r="I13" i="84" s="1"/>
  <c r="J13" i="84" s="1"/>
  <c r="Y96" i="83"/>
  <c r="J38" i="83"/>
  <c r="E18" i="83"/>
  <c r="I18" i="83" s="1"/>
  <c r="J18" i="83" s="1"/>
  <c r="E22" i="83"/>
  <c r="I22" i="83" s="1"/>
  <c r="J22" i="83" s="1"/>
  <c r="E12" i="83"/>
  <c r="I12" i="83" s="1"/>
  <c r="J12" i="83" s="1"/>
  <c r="E24" i="83"/>
  <c r="I24" i="83" s="1"/>
  <c r="J24" i="83" s="1"/>
  <c r="Y50" i="83"/>
  <c r="S92" i="83"/>
  <c r="X92" i="83" s="1"/>
  <c r="Y16" i="83"/>
  <c r="J98" i="83"/>
  <c r="Y104" i="83"/>
  <c r="V87" i="83"/>
  <c r="I84" i="83"/>
  <c r="J84" i="83" s="1"/>
  <c r="S91" i="83"/>
  <c r="X91" i="83" s="1"/>
  <c r="Y14" i="83"/>
  <c r="E46" i="83"/>
  <c r="J46" i="83" s="1"/>
  <c r="E42" i="83"/>
  <c r="J42" i="83" s="1"/>
  <c r="E49" i="83"/>
  <c r="J49" i="83" s="1"/>
  <c r="E45" i="83"/>
  <c r="J45" i="83" s="1"/>
  <c r="E41" i="83"/>
  <c r="E48" i="83"/>
  <c r="J48" i="83" s="1"/>
  <c r="E44" i="83"/>
  <c r="J44" i="83" s="1"/>
  <c r="E43" i="83"/>
  <c r="J43" i="83" s="1"/>
  <c r="Y12" i="83"/>
  <c r="T28" i="83"/>
  <c r="X13" i="83"/>
  <c r="Y13" i="83" s="1"/>
  <c r="E15" i="83"/>
  <c r="I15" i="83" s="1"/>
  <c r="J15" i="83" s="1"/>
  <c r="E25" i="83"/>
  <c r="I25" i="83" s="1"/>
  <c r="J25" i="83" s="1"/>
  <c r="V103" i="83"/>
  <c r="Y103" i="83" s="1"/>
  <c r="E19" i="83"/>
  <c r="I19" i="83" s="1"/>
  <c r="J19" i="83" s="1"/>
  <c r="V86" i="83"/>
  <c r="D91" i="83"/>
  <c r="E16" i="83"/>
  <c r="I16" i="83" s="1"/>
  <c r="E26" i="83"/>
  <c r="I26" i="83" s="1"/>
  <c r="J26" i="83" s="1"/>
  <c r="E13" i="83"/>
  <c r="I13" i="83" s="1"/>
  <c r="J13" i="83" s="1"/>
  <c r="Y96" i="82"/>
  <c r="E17" i="82"/>
  <c r="I17" i="82" s="1"/>
  <c r="J17" i="82" s="1"/>
  <c r="T28" i="82"/>
  <c r="T52" i="82" s="1"/>
  <c r="X53" i="82" s="1"/>
  <c r="Y12" i="82"/>
  <c r="J103" i="82"/>
  <c r="Y16" i="82"/>
  <c r="S92" i="82"/>
  <c r="X92" i="82" s="1"/>
  <c r="S91" i="82"/>
  <c r="X91" i="82" s="1"/>
  <c r="Y14" i="82"/>
  <c r="J98" i="82"/>
  <c r="E15" i="82"/>
  <c r="I15" i="82" s="1"/>
  <c r="J15" i="82" s="1"/>
  <c r="E25" i="82"/>
  <c r="I25" i="82" s="1"/>
  <c r="J25" i="82" s="1"/>
  <c r="X13" i="82"/>
  <c r="Y13" i="82" s="1"/>
  <c r="E43" i="82"/>
  <c r="J43" i="82" s="1"/>
  <c r="E47" i="82"/>
  <c r="J47" i="82" s="1"/>
  <c r="E12" i="82"/>
  <c r="E22" i="82"/>
  <c r="I22" i="82" s="1"/>
  <c r="J22" i="82" s="1"/>
  <c r="V71" i="82"/>
  <c r="V87" i="82"/>
  <c r="V83" i="82"/>
  <c r="Y83" i="82" s="1"/>
  <c r="E41" i="82"/>
  <c r="E49" i="82"/>
  <c r="J49" i="82" s="1"/>
  <c r="E19" i="82"/>
  <c r="I19" i="82" s="1"/>
  <c r="J19" i="82" s="1"/>
  <c r="D91" i="82"/>
  <c r="E44" i="82"/>
  <c r="J44" i="82" s="1"/>
  <c r="E48" i="82"/>
  <c r="J48" i="82" s="1"/>
  <c r="E45" i="82"/>
  <c r="J45" i="82" s="1"/>
  <c r="E16" i="82"/>
  <c r="I16" i="82" s="1"/>
  <c r="E26" i="82"/>
  <c r="I26" i="82" s="1"/>
  <c r="J26" i="82" s="1"/>
  <c r="E13" i="82"/>
  <c r="I13" i="82" s="1"/>
  <c r="J13" i="82" s="1"/>
  <c r="E42" i="82"/>
  <c r="J42" i="82" s="1"/>
  <c r="Y96" i="81"/>
  <c r="T28" i="81"/>
  <c r="T52" i="81" s="1"/>
  <c r="X53" i="81" s="1"/>
  <c r="E17" i="81"/>
  <c r="I17" i="81" s="1"/>
  <c r="J17" i="81" s="1"/>
  <c r="Y12" i="81"/>
  <c r="S91" i="81"/>
  <c r="X91" i="81" s="1"/>
  <c r="Y14" i="81"/>
  <c r="Y103" i="81"/>
  <c r="S92" i="81"/>
  <c r="X92" i="81" s="1"/>
  <c r="Y16" i="81"/>
  <c r="X13" i="81"/>
  <c r="Y13" i="81" s="1"/>
  <c r="E43" i="81"/>
  <c r="J43" i="81" s="1"/>
  <c r="E47" i="81"/>
  <c r="J47" i="81" s="1"/>
  <c r="V85" i="81"/>
  <c r="E15" i="81"/>
  <c r="I15" i="81" s="1"/>
  <c r="J15" i="81" s="1"/>
  <c r="E25" i="81"/>
  <c r="I25" i="81" s="1"/>
  <c r="J25" i="81" s="1"/>
  <c r="E12" i="81"/>
  <c r="E22" i="81"/>
  <c r="I22" i="81" s="1"/>
  <c r="J22" i="81" s="1"/>
  <c r="V71" i="81"/>
  <c r="X97" i="81"/>
  <c r="Y97" i="81" s="1"/>
  <c r="V83" i="81"/>
  <c r="E44" i="81"/>
  <c r="J44" i="81" s="1"/>
  <c r="E48" i="81"/>
  <c r="J48" i="81" s="1"/>
  <c r="E41" i="81"/>
  <c r="E45" i="81"/>
  <c r="J45" i="81" s="1"/>
  <c r="E49" i="81"/>
  <c r="J49" i="81" s="1"/>
  <c r="E19" i="81"/>
  <c r="I19" i="81" s="1"/>
  <c r="J19" i="81" s="1"/>
  <c r="D91" i="81"/>
  <c r="E16" i="81"/>
  <c r="I16" i="81" s="1"/>
  <c r="E26" i="81"/>
  <c r="I26" i="81" s="1"/>
  <c r="J26" i="81" s="1"/>
  <c r="E13" i="81"/>
  <c r="I13" i="81" s="1"/>
  <c r="J13" i="81" s="1"/>
  <c r="E42" i="81"/>
  <c r="J42" i="81" s="1"/>
  <c r="Y96" i="80"/>
  <c r="T28" i="80"/>
  <c r="T52" i="80" s="1"/>
  <c r="X53" i="80" s="1"/>
  <c r="Y104" i="80"/>
  <c r="Y12" i="80"/>
  <c r="J103" i="80"/>
  <c r="S91" i="80"/>
  <c r="X91" i="80" s="1"/>
  <c r="Y14" i="80"/>
  <c r="S92" i="80"/>
  <c r="X92" i="80" s="1"/>
  <c r="Y16" i="80"/>
  <c r="V87" i="80"/>
  <c r="E15" i="80"/>
  <c r="I15" i="80" s="1"/>
  <c r="J15" i="80" s="1"/>
  <c r="E25" i="80"/>
  <c r="I25" i="80" s="1"/>
  <c r="J25" i="80" s="1"/>
  <c r="V103" i="80"/>
  <c r="Y103" i="80" s="1"/>
  <c r="E43" i="80"/>
  <c r="J43" i="80" s="1"/>
  <c r="E47" i="80"/>
  <c r="J47" i="80" s="1"/>
  <c r="E12" i="80"/>
  <c r="E22" i="80"/>
  <c r="I22" i="80" s="1"/>
  <c r="J22" i="80" s="1"/>
  <c r="V71" i="80"/>
  <c r="X13" i="80"/>
  <c r="Y13" i="80" s="1"/>
  <c r="V83" i="80"/>
  <c r="X97" i="80"/>
  <c r="Y97" i="80" s="1"/>
  <c r="D91" i="80"/>
  <c r="E16" i="80"/>
  <c r="I16" i="80" s="1"/>
  <c r="E26" i="80"/>
  <c r="I26" i="80" s="1"/>
  <c r="J26" i="80" s="1"/>
  <c r="E44" i="80"/>
  <c r="J44" i="80" s="1"/>
  <c r="E48" i="80"/>
  <c r="J48" i="80" s="1"/>
  <c r="E41" i="80"/>
  <c r="E45" i="80"/>
  <c r="J45" i="80" s="1"/>
  <c r="E49" i="80"/>
  <c r="J49" i="80" s="1"/>
  <c r="E19" i="80"/>
  <c r="I19" i="80" s="1"/>
  <c r="J19" i="80" s="1"/>
  <c r="E13" i="80"/>
  <c r="I13" i="80" s="1"/>
  <c r="J13" i="80" s="1"/>
  <c r="E42" i="80"/>
  <c r="J42" i="80" s="1"/>
  <c r="Y96" i="79"/>
  <c r="J38" i="79"/>
  <c r="T28" i="79"/>
  <c r="T61" i="79" s="1"/>
  <c r="X62" i="79" s="1"/>
  <c r="X67" i="79" s="1"/>
  <c r="Y67" i="79" s="1"/>
  <c r="E17" i="79"/>
  <c r="I17" i="79" s="1"/>
  <c r="J17" i="79" s="1"/>
  <c r="E18" i="79"/>
  <c r="I18" i="79" s="1"/>
  <c r="J18" i="79" s="1"/>
  <c r="E21" i="79"/>
  <c r="I21" i="79" s="1"/>
  <c r="J21" i="79" s="1"/>
  <c r="E24" i="79"/>
  <c r="I24" i="79" s="1"/>
  <c r="J24" i="79" s="1"/>
  <c r="S92" i="79"/>
  <c r="X92" i="79" s="1"/>
  <c r="Y16" i="79"/>
  <c r="Y12" i="79"/>
  <c r="X13" i="79"/>
  <c r="Y13" i="79" s="1"/>
  <c r="E46" i="79"/>
  <c r="J46" i="79" s="1"/>
  <c r="E42" i="79"/>
  <c r="J42" i="79" s="1"/>
  <c r="E49" i="79"/>
  <c r="J49" i="79" s="1"/>
  <c r="E45" i="79"/>
  <c r="J45" i="79" s="1"/>
  <c r="E41" i="79"/>
  <c r="E48" i="79"/>
  <c r="J48" i="79" s="1"/>
  <c r="E44" i="79"/>
  <c r="J44" i="79" s="1"/>
  <c r="E47" i="79"/>
  <c r="J47" i="79" s="1"/>
  <c r="E43" i="79"/>
  <c r="J43" i="79" s="1"/>
  <c r="S91" i="79"/>
  <c r="X91" i="79" s="1"/>
  <c r="Y14" i="79"/>
  <c r="Y50" i="79"/>
  <c r="J103" i="79"/>
  <c r="I84" i="79"/>
  <c r="J84" i="79" s="1"/>
  <c r="Y83" i="79"/>
  <c r="E15" i="79"/>
  <c r="I15" i="79" s="1"/>
  <c r="J15" i="79" s="1"/>
  <c r="E25" i="79"/>
  <c r="I25" i="79" s="1"/>
  <c r="J25" i="79" s="1"/>
  <c r="E19" i="79"/>
  <c r="I19" i="79" s="1"/>
  <c r="J19" i="79" s="1"/>
  <c r="D91" i="79"/>
  <c r="E16" i="79"/>
  <c r="I16" i="79" s="1"/>
  <c r="E26" i="79"/>
  <c r="I26" i="79" s="1"/>
  <c r="J26" i="79" s="1"/>
  <c r="E12" i="79"/>
  <c r="E22" i="79"/>
  <c r="I22" i="79" s="1"/>
  <c r="J22" i="79" s="1"/>
  <c r="E13" i="79"/>
  <c r="I13" i="79" s="1"/>
  <c r="J13" i="79" s="1"/>
  <c r="Y96" i="78"/>
  <c r="E24" i="78"/>
  <c r="I24" i="78" s="1"/>
  <c r="J24" i="78" s="1"/>
  <c r="E17" i="78"/>
  <c r="I17" i="78" s="1"/>
  <c r="J17" i="78" s="1"/>
  <c r="J103" i="78"/>
  <c r="Y83" i="78"/>
  <c r="Y12" i="78"/>
  <c r="X28" i="78"/>
  <c r="S90" i="78"/>
  <c r="S91" i="78"/>
  <c r="X91" i="78" s="1"/>
  <c r="Y14" i="78"/>
  <c r="Y103" i="78"/>
  <c r="S92" i="78"/>
  <c r="X92" i="78" s="1"/>
  <c r="Y16" i="78"/>
  <c r="X97" i="78"/>
  <c r="Y97" i="78" s="1"/>
  <c r="V87" i="78"/>
  <c r="E15" i="78"/>
  <c r="I15" i="78" s="1"/>
  <c r="J15" i="78" s="1"/>
  <c r="E25" i="78"/>
  <c r="I25" i="78" s="1"/>
  <c r="J25" i="78" s="1"/>
  <c r="E12" i="78"/>
  <c r="E22" i="78"/>
  <c r="I22" i="78" s="1"/>
  <c r="J22" i="78" s="1"/>
  <c r="V71" i="78"/>
  <c r="E43" i="78"/>
  <c r="J43" i="78" s="1"/>
  <c r="E47" i="78"/>
  <c r="J47" i="78" s="1"/>
  <c r="T28" i="78"/>
  <c r="E41" i="78"/>
  <c r="E45" i="78"/>
  <c r="J45" i="78" s="1"/>
  <c r="E49" i="78"/>
  <c r="J49" i="78" s="1"/>
  <c r="E19" i="78"/>
  <c r="I19" i="78" s="1"/>
  <c r="J19" i="78" s="1"/>
  <c r="D91" i="78"/>
  <c r="E44" i="78"/>
  <c r="J44" i="78" s="1"/>
  <c r="E48" i="78"/>
  <c r="J48" i="78" s="1"/>
  <c r="E16" i="78"/>
  <c r="I16" i="78" s="1"/>
  <c r="E26" i="78"/>
  <c r="I26" i="78" s="1"/>
  <c r="J26" i="78" s="1"/>
  <c r="E13" i="78"/>
  <c r="I13" i="78" s="1"/>
  <c r="J13" i="78" s="1"/>
  <c r="E42" i="78"/>
  <c r="J42" i="78" s="1"/>
  <c r="T96" i="77"/>
  <c r="Y96" i="77" s="1"/>
  <c r="E14" i="77"/>
  <c r="T14" i="77" s="1"/>
  <c r="X14" i="77" s="1"/>
  <c r="Y14" i="77" s="1"/>
  <c r="E20" i="77"/>
  <c r="T20" i="77" s="1"/>
  <c r="X20" i="77" s="1"/>
  <c r="Y20" i="77" s="1"/>
  <c r="Y104" i="77"/>
  <c r="I23" i="77"/>
  <c r="J23" i="77" s="1"/>
  <c r="T23" i="77"/>
  <c r="X23" i="77" s="1"/>
  <c r="Y23" i="77" s="1"/>
  <c r="Y31" i="77"/>
  <c r="Y32" i="77" s="1"/>
  <c r="J32" i="77"/>
  <c r="X97" i="77"/>
  <c r="Y97" i="77" s="1"/>
  <c r="E17" i="77"/>
  <c r="E27" i="77"/>
  <c r="V83" i="77"/>
  <c r="Y83" i="77" s="1"/>
  <c r="E21" i="77"/>
  <c r="V70" i="77"/>
  <c r="D90" i="77"/>
  <c r="E18" i="77"/>
  <c r="E44" i="77"/>
  <c r="J44" i="77" s="1"/>
  <c r="E48" i="77"/>
  <c r="J48" i="77" s="1"/>
  <c r="E15" i="77"/>
  <c r="E25" i="77"/>
  <c r="V103" i="77"/>
  <c r="Y103" i="77" s="1"/>
  <c r="E43" i="77"/>
  <c r="J43" i="77" s="1"/>
  <c r="E47" i="77"/>
  <c r="J47" i="77" s="1"/>
  <c r="D91" i="77"/>
  <c r="E16" i="77"/>
  <c r="E12" i="77"/>
  <c r="E22" i="77"/>
  <c r="E41" i="77"/>
  <c r="E45" i="77"/>
  <c r="J45" i="77" s="1"/>
  <c r="E49" i="77"/>
  <c r="J49" i="77" s="1"/>
  <c r="E19" i="77"/>
  <c r="E13" i="77"/>
  <c r="E42" i="77"/>
  <c r="J42" i="77" s="1"/>
  <c r="Y96" i="76"/>
  <c r="E18" i="76"/>
  <c r="E20" i="76"/>
  <c r="E21" i="76"/>
  <c r="E24" i="76"/>
  <c r="E14" i="76"/>
  <c r="E27" i="76"/>
  <c r="Y83" i="76"/>
  <c r="Y103" i="76"/>
  <c r="E44" i="76"/>
  <c r="J44" i="76" s="1"/>
  <c r="E48" i="76"/>
  <c r="J48" i="76" s="1"/>
  <c r="V70" i="76"/>
  <c r="V85" i="76"/>
  <c r="E15" i="76"/>
  <c r="E25" i="76"/>
  <c r="E12" i="76"/>
  <c r="T12" i="76" s="1"/>
  <c r="X12" i="76" s="1"/>
  <c r="Y12" i="76" s="1"/>
  <c r="E22" i="76"/>
  <c r="V71" i="76"/>
  <c r="X97" i="76"/>
  <c r="Y97" i="76" s="1"/>
  <c r="E43" i="76"/>
  <c r="J43" i="76" s="1"/>
  <c r="E47" i="76"/>
  <c r="J47" i="76" s="1"/>
  <c r="D91" i="76"/>
  <c r="E16" i="76"/>
  <c r="E26" i="76"/>
  <c r="E41" i="76"/>
  <c r="E45" i="76"/>
  <c r="J45" i="76" s="1"/>
  <c r="E49" i="76"/>
  <c r="J49" i="76" s="1"/>
  <c r="E19" i="76"/>
  <c r="E13" i="76"/>
  <c r="E42" i="76"/>
  <c r="J42" i="76" s="1"/>
  <c r="I84" i="75"/>
  <c r="J84" i="75" s="1"/>
  <c r="Y96" i="75"/>
  <c r="T28" i="75"/>
  <c r="T52" i="75" s="1"/>
  <c r="X53" i="75" s="1"/>
  <c r="Y16" i="75"/>
  <c r="S92" i="75"/>
  <c r="X92" i="75" s="1"/>
  <c r="J103" i="75"/>
  <c r="Y12" i="75"/>
  <c r="S91" i="75"/>
  <c r="X91" i="75" s="1"/>
  <c r="Y14" i="75"/>
  <c r="J97" i="75"/>
  <c r="Y81" i="75"/>
  <c r="X83" i="75" s="1"/>
  <c r="J98" i="75"/>
  <c r="E21" i="75"/>
  <c r="I21" i="75" s="1"/>
  <c r="J21" i="75" s="1"/>
  <c r="V70" i="75"/>
  <c r="V85" i="75"/>
  <c r="E15" i="75"/>
  <c r="I15" i="75" s="1"/>
  <c r="J15" i="75" s="1"/>
  <c r="E25" i="75"/>
  <c r="I25" i="75" s="1"/>
  <c r="J25" i="75" s="1"/>
  <c r="E12" i="75"/>
  <c r="E22" i="75"/>
  <c r="I22" i="75" s="1"/>
  <c r="J22" i="75" s="1"/>
  <c r="V71" i="75"/>
  <c r="V87" i="75"/>
  <c r="X13" i="75"/>
  <c r="Y13" i="75" s="1"/>
  <c r="V83" i="75"/>
  <c r="E44" i="75"/>
  <c r="J44" i="75" s="1"/>
  <c r="E48" i="75"/>
  <c r="J48" i="75" s="1"/>
  <c r="E41" i="75"/>
  <c r="E49" i="75"/>
  <c r="J49" i="75" s="1"/>
  <c r="D91" i="75"/>
  <c r="E45" i="75"/>
  <c r="J45" i="75" s="1"/>
  <c r="E19" i="75"/>
  <c r="I19" i="75" s="1"/>
  <c r="J19" i="75" s="1"/>
  <c r="E16" i="75"/>
  <c r="I16" i="75" s="1"/>
  <c r="E26" i="75"/>
  <c r="I26" i="75" s="1"/>
  <c r="J26" i="75" s="1"/>
  <c r="E13" i="75"/>
  <c r="I13" i="75" s="1"/>
  <c r="J13" i="75" s="1"/>
  <c r="E42" i="75"/>
  <c r="J42" i="75" s="1"/>
  <c r="Y96" i="74"/>
  <c r="J38" i="74"/>
  <c r="T28" i="74"/>
  <c r="T52" i="74" s="1"/>
  <c r="X53" i="74" s="1"/>
  <c r="Y12" i="74"/>
  <c r="S91" i="74"/>
  <c r="X91" i="74" s="1"/>
  <c r="Y14" i="74"/>
  <c r="Y104" i="74"/>
  <c r="Y16" i="74"/>
  <c r="S92" i="74"/>
  <c r="X92" i="74" s="1"/>
  <c r="V87" i="74"/>
  <c r="D90" i="74"/>
  <c r="J98" i="74"/>
  <c r="E21" i="74"/>
  <c r="I21" i="74" s="1"/>
  <c r="J21" i="74" s="1"/>
  <c r="V70" i="74"/>
  <c r="E18" i="74"/>
  <c r="I18" i="74" s="1"/>
  <c r="J18" i="74" s="1"/>
  <c r="E44" i="74"/>
  <c r="J44" i="74" s="1"/>
  <c r="E48" i="74"/>
  <c r="J48" i="74" s="1"/>
  <c r="X13" i="74"/>
  <c r="Y13" i="74" s="1"/>
  <c r="E43" i="74"/>
  <c r="J43" i="74" s="1"/>
  <c r="E47" i="74"/>
  <c r="J47" i="74" s="1"/>
  <c r="E15" i="74"/>
  <c r="I15" i="74" s="1"/>
  <c r="J15" i="74" s="1"/>
  <c r="E25" i="74"/>
  <c r="I25" i="74" s="1"/>
  <c r="J25" i="74" s="1"/>
  <c r="V103" i="74"/>
  <c r="Y103" i="74" s="1"/>
  <c r="D91" i="74"/>
  <c r="E12" i="74"/>
  <c r="E22" i="74"/>
  <c r="I22" i="74" s="1"/>
  <c r="J22" i="74" s="1"/>
  <c r="V71" i="74"/>
  <c r="E41" i="74"/>
  <c r="E45" i="74"/>
  <c r="J45" i="74" s="1"/>
  <c r="E49" i="74"/>
  <c r="J49" i="74" s="1"/>
  <c r="E16" i="74"/>
  <c r="I16" i="74" s="1"/>
  <c r="E26" i="74"/>
  <c r="I26" i="74" s="1"/>
  <c r="J26" i="74" s="1"/>
  <c r="E19" i="74"/>
  <c r="I19" i="74" s="1"/>
  <c r="J19" i="74" s="1"/>
  <c r="E13" i="74"/>
  <c r="I13" i="74" s="1"/>
  <c r="J13" i="74" s="1"/>
  <c r="E42" i="74"/>
  <c r="J42" i="74" s="1"/>
  <c r="Y96" i="73"/>
  <c r="E43" i="73"/>
  <c r="J43" i="73" s="1"/>
  <c r="E47" i="73"/>
  <c r="J47" i="73" s="1"/>
  <c r="J38" i="73"/>
  <c r="T28" i="73"/>
  <c r="T52" i="73" s="1"/>
  <c r="X53" i="73" s="1"/>
  <c r="J103" i="73"/>
  <c r="S92" i="73"/>
  <c r="X92" i="73" s="1"/>
  <c r="Y16" i="73"/>
  <c r="Y14" i="73"/>
  <c r="Y103" i="73"/>
  <c r="S90" i="73"/>
  <c r="Y13" i="73"/>
  <c r="E20" i="73"/>
  <c r="I20" i="73" s="1"/>
  <c r="J20" i="73" s="1"/>
  <c r="X97" i="73"/>
  <c r="Y97" i="73" s="1"/>
  <c r="E17" i="73"/>
  <c r="I17" i="73" s="1"/>
  <c r="J17" i="73" s="1"/>
  <c r="E27" i="73"/>
  <c r="I27" i="73" s="1"/>
  <c r="J27" i="73" s="1"/>
  <c r="V83" i="73"/>
  <c r="E21" i="73"/>
  <c r="I21" i="73" s="1"/>
  <c r="J21" i="73" s="1"/>
  <c r="V70" i="73"/>
  <c r="D90" i="73"/>
  <c r="E18" i="73"/>
  <c r="I18" i="73" s="1"/>
  <c r="J18" i="73" s="1"/>
  <c r="E44" i="73"/>
  <c r="J44" i="73" s="1"/>
  <c r="E48" i="73"/>
  <c r="J48" i="73" s="1"/>
  <c r="J102" i="73"/>
  <c r="E12" i="73"/>
  <c r="E22" i="73"/>
  <c r="I22" i="73" s="1"/>
  <c r="J22" i="73" s="1"/>
  <c r="V71" i="73"/>
  <c r="D91" i="73"/>
  <c r="X15" i="73"/>
  <c r="Y15" i="73" s="1"/>
  <c r="E19" i="73"/>
  <c r="I19" i="73" s="1"/>
  <c r="J19" i="73" s="1"/>
  <c r="V86" i="73"/>
  <c r="E15" i="73"/>
  <c r="I15" i="73" s="1"/>
  <c r="J15" i="73" s="1"/>
  <c r="E25" i="73"/>
  <c r="I25" i="73" s="1"/>
  <c r="J25" i="73" s="1"/>
  <c r="E41" i="73"/>
  <c r="E45" i="73"/>
  <c r="J45" i="73" s="1"/>
  <c r="E49" i="73"/>
  <c r="J49" i="73" s="1"/>
  <c r="E16" i="73"/>
  <c r="I16" i="73" s="1"/>
  <c r="E26" i="73"/>
  <c r="I26" i="73" s="1"/>
  <c r="J26" i="73" s="1"/>
  <c r="E13" i="73"/>
  <c r="I13" i="73" s="1"/>
  <c r="J13" i="73" s="1"/>
  <c r="E42" i="73"/>
  <c r="J42" i="73" s="1"/>
  <c r="Y96" i="72"/>
  <c r="E47" i="72"/>
  <c r="J47" i="72" s="1"/>
  <c r="T28" i="72"/>
  <c r="T61" i="72" s="1"/>
  <c r="X62" i="72" s="1"/>
  <c r="X67" i="72" s="1"/>
  <c r="Y67" i="72" s="1"/>
  <c r="Y12" i="72"/>
  <c r="J103" i="72"/>
  <c r="S91" i="72"/>
  <c r="X91" i="72" s="1"/>
  <c r="Y14" i="72"/>
  <c r="Y103" i="72"/>
  <c r="Y16" i="72"/>
  <c r="S92" i="72"/>
  <c r="X92" i="72" s="1"/>
  <c r="J97" i="72"/>
  <c r="V87" i="72"/>
  <c r="E44" i="72"/>
  <c r="J44" i="72" s="1"/>
  <c r="E48" i="72"/>
  <c r="J48" i="72" s="1"/>
  <c r="J98" i="72"/>
  <c r="I84" i="72"/>
  <c r="J84" i="72" s="1"/>
  <c r="V85" i="72"/>
  <c r="X13" i="72"/>
  <c r="Y13" i="72" s="1"/>
  <c r="E15" i="72"/>
  <c r="I15" i="72" s="1"/>
  <c r="J15" i="72" s="1"/>
  <c r="E25" i="72"/>
  <c r="I25" i="72" s="1"/>
  <c r="J25" i="72" s="1"/>
  <c r="E12" i="72"/>
  <c r="E22" i="72"/>
  <c r="I22" i="72" s="1"/>
  <c r="J22" i="72" s="1"/>
  <c r="V71" i="72"/>
  <c r="D91" i="72"/>
  <c r="E16" i="72"/>
  <c r="I16" i="72" s="1"/>
  <c r="E26" i="72"/>
  <c r="I26" i="72" s="1"/>
  <c r="J26" i="72" s="1"/>
  <c r="E41" i="72"/>
  <c r="E45" i="72"/>
  <c r="J45" i="72" s="1"/>
  <c r="E49" i="72"/>
  <c r="J49" i="72" s="1"/>
  <c r="E19" i="72"/>
  <c r="I19" i="72" s="1"/>
  <c r="J19" i="72" s="1"/>
  <c r="E13" i="72"/>
  <c r="I13" i="72" s="1"/>
  <c r="J13" i="72" s="1"/>
  <c r="E42" i="72"/>
  <c r="J42" i="72" s="1"/>
  <c r="J38" i="71"/>
  <c r="Y96" i="71"/>
  <c r="E18" i="71"/>
  <c r="I18" i="71" s="1"/>
  <c r="J18" i="71" s="1"/>
  <c r="E20" i="71"/>
  <c r="I20" i="71" s="1"/>
  <c r="J20" i="71" s="1"/>
  <c r="E21" i="71"/>
  <c r="I21" i="71" s="1"/>
  <c r="J21" i="71" s="1"/>
  <c r="E24" i="71"/>
  <c r="I24" i="71" s="1"/>
  <c r="J24" i="71" s="1"/>
  <c r="E14" i="71"/>
  <c r="I14" i="71" s="1"/>
  <c r="J14" i="71" s="1"/>
  <c r="E27" i="71"/>
  <c r="I27" i="71" s="1"/>
  <c r="J27" i="71" s="1"/>
  <c r="S92" i="71"/>
  <c r="X92" i="71" s="1"/>
  <c r="Y16" i="71"/>
  <c r="Y83" i="71"/>
  <c r="T28" i="71"/>
  <c r="X13" i="71"/>
  <c r="Y13" i="71" s="1"/>
  <c r="Y50" i="71"/>
  <c r="S91" i="71"/>
  <c r="X91" i="71" s="1"/>
  <c r="Y14" i="71"/>
  <c r="V87" i="71"/>
  <c r="E46" i="71"/>
  <c r="J46" i="71" s="1"/>
  <c r="E42" i="71"/>
  <c r="J42" i="71" s="1"/>
  <c r="E48" i="71"/>
  <c r="J48" i="71" s="1"/>
  <c r="E44" i="71"/>
  <c r="J44" i="71" s="1"/>
  <c r="E49" i="71"/>
  <c r="J49" i="71" s="1"/>
  <c r="E45" i="71"/>
  <c r="J45" i="71" s="1"/>
  <c r="E41" i="71"/>
  <c r="E47" i="71"/>
  <c r="J47" i="71" s="1"/>
  <c r="E43" i="71"/>
  <c r="J43" i="71" s="1"/>
  <c r="I84" i="71"/>
  <c r="J84" i="71" s="1"/>
  <c r="Y12" i="71"/>
  <c r="J103" i="71"/>
  <c r="Y97" i="71"/>
  <c r="E19" i="71"/>
  <c r="I19" i="71" s="1"/>
  <c r="J19" i="71" s="1"/>
  <c r="V85" i="71"/>
  <c r="E12" i="71"/>
  <c r="E22" i="71"/>
  <c r="I22" i="71" s="1"/>
  <c r="J22" i="71" s="1"/>
  <c r="D91" i="71"/>
  <c r="E16" i="71"/>
  <c r="I16" i="71" s="1"/>
  <c r="E26" i="71"/>
  <c r="I26" i="71" s="1"/>
  <c r="J26" i="71" s="1"/>
  <c r="E15" i="71"/>
  <c r="I15" i="71" s="1"/>
  <c r="J15" i="71" s="1"/>
  <c r="E25" i="71"/>
  <c r="I25" i="71" s="1"/>
  <c r="J25" i="71" s="1"/>
  <c r="E13" i="71"/>
  <c r="I13" i="71" s="1"/>
  <c r="J13" i="71" s="1"/>
  <c r="Y96" i="70"/>
  <c r="T28" i="70"/>
  <c r="T58" i="70" s="1"/>
  <c r="X59" i="70" s="1"/>
  <c r="X71" i="70" s="1"/>
  <c r="Y12" i="70"/>
  <c r="Y104" i="70"/>
  <c r="S91" i="70"/>
  <c r="X91" i="70" s="1"/>
  <c r="Y14" i="70"/>
  <c r="S92" i="70"/>
  <c r="X92" i="70" s="1"/>
  <c r="Y16" i="70"/>
  <c r="V87" i="70"/>
  <c r="E44" i="70"/>
  <c r="J44" i="70" s="1"/>
  <c r="E48" i="70"/>
  <c r="J48" i="70" s="1"/>
  <c r="X13" i="70"/>
  <c r="Y13" i="70" s="1"/>
  <c r="V85" i="70"/>
  <c r="E15" i="70"/>
  <c r="I15" i="70" s="1"/>
  <c r="J15" i="70" s="1"/>
  <c r="E25" i="70"/>
  <c r="I25" i="70" s="1"/>
  <c r="J25" i="70" s="1"/>
  <c r="E12" i="70"/>
  <c r="E22" i="70"/>
  <c r="I22" i="70" s="1"/>
  <c r="J22" i="70" s="1"/>
  <c r="V71" i="70"/>
  <c r="X97" i="70"/>
  <c r="Y97" i="70" s="1"/>
  <c r="E43" i="70"/>
  <c r="J43" i="70" s="1"/>
  <c r="E47" i="70"/>
  <c r="J47" i="70" s="1"/>
  <c r="E41" i="70"/>
  <c r="E45" i="70"/>
  <c r="J45" i="70" s="1"/>
  <c r="E49" i="70"/>
  <c r="J49" i="70" s="1"/>
  <c r="D91" i="70"/>
  <c r="E16" i="70"/>
  <c r="I16" i="70" s="1"/>
  <c r="E26" i="70"/>
  <c r="I26" i="70" s="1"/>
  <c r="J26" i="70" s="1"/>
  <c r="E13" i="70"/>
  <c r="I13" i="70" s="1"/>
  <c r="J13" i="70" s="1"/>
  <c r="E42" i="70"/>
  <c r="J42" i="70" s="1"/>
  <c r="Y96" i="69"/>
  <c r="Y83" i="69"/>
  <c r="E46" i="69"/>
  <c r="J46" i="69" s="1"/>
  <c r="E42" i="69"/>
  <c r="J42" i="69" s="1"/>
  <c r="E48" i="69"/>
  <c r="J48" i="69" s="1"/>
  <c r="E44" i="69"/>
  <c r="J44" i="69" s="1"/>
  <c r="E47" i="69"/>
  <c r="J47" i="69" s="1"/>
  <c r="E43" i="69"/>
  <c r="J43" i="69" s="1"/>
  <c r="E49" i="69"/>
  <c r="J49" i="69" s="1"/>
  <c r="E45" i="69"/>
  <c r="J45" i="69" s="1"/>
  <c r="E41" i="69"/>
  <c r="Y50" i="69"/>
  <c r="T20" i="69"/>
  <c r="X20" i="69" s="1"/>
  <c r="Y20" i="69" s="1"/>
  <c r="J103" i="69"/>
  <c r="I23" i="69"/>
  <c r="J23" i="69" s="1"/>
  <c r="V87" i="69"/>
  <c r="V85" i="69"/>
  <c r="E12" i="69"/>
  <c r="E22" i="69"/>
  <c r="D91" i="69"/>
  <c r="E16" i="69"/>
  <c r="E26" i="69"/>
  <c r="I27" i="69"/>
  <c r="J27" i="69" s="1"/>
  <c r="T21" i="69"/>
  <c r="X21" i="69" s="1"/>
  <c r="Y21" i="69" s="1"/>
  <c r="E15" i="69"/>
  <c r="E25" i="69"/>
  <c r="E19" i="69"/>
  <c r="E13" i="69"/>
  <c r="Y96" i="68"/>
  <c r="E20" i="68"/>
  <c r="I20" i="68" s="1"/>
  <c r="J20" i="68" s="1"/>
  <c r="E21" i="68"/>
  <c r="T21" i="68" s="1"/>
  <c r="X21" i="68" s="1"/>
  <c r="Y21" i="68" s="1"/>
  <c r="E24" i="68"/>
  <c r="I24" i="68" s="1"/>
  <c r="J24" i="68" s="1"/>
  <c r="E27" i="68"/>
  <c r="T27" i="68" s="1"/>
  <c r="X27" i="68" s="1"/>
  <c r="Y27" i="68" s="1"/>
  <c r="Y104" i="68"/>
  <c r="J103" i="68"/>
  <c r="I23" i="68"/>
  <c r="J23" i="68" s="1"/>
  <c r="T23" i="68"/>
  <c r="X23" i="68" s="1"/>
  <c r="Y23" i="68" s="1"/>
  <c r="J98" i="68"/>
  <c r="V70" i="68"/>
  <c r="E15" i="68"/>
  <c r="E25" i="68"/>
  <c r="V103" i="68"/>
  <c r="Y103" i="68" s="1"/>
  <c r="E12" i="68"/>
  <c r="E22" i="68"/>
  <c r="V71" i="68"/>
  <c r="V87" i="68"/>
  <c r="V83" i="68"/>
  <c r="Y83" i="68" s="1"/>
  <c r="E43" i="68"/>
  <c r="J43" i="68" s="1"/>
  <c r="E47" i="68"/>
  <c r="J47" i="68" s="1"/>
  <c r="D91" i="68"/>
  <c r="E16" i="68"/>
  <c r="E26" i="68"/>
  <c r="E44" i="68"/>
  <c r="J44" i="68" s="1"/>
  <c r="E48" i="68"/>
  <c r="J48" i="68" s="1"/>
  <c r="E41" i="68"/>
  <c r="E45" i="68"/>
  <c r="J45" i="68" s="1"/>
  <c r="E49" i="68"/>
  <c r="J49" i="68" s="1"/>
  <c r="E13" i="68"/>
  <c r="E42" i="68"/>
  <c r="J42" i="68" s="1"/>
  <c r="Y97" i="67"/>
  <c r="J98" i="67"/>
  <c r="Y96" i="67"/>
  <c r="E21" i="67"/>
  <c r="I21" i="67" s="1"/>
  <c r="J21" i="67" s="1"/>
  <c r="E24" i="67"/>
  <c r="I24" i="67" s="1"/>
  <c r="J24" i="67" s="1"/>
  <c r="E27" i="67"/>
  <c r="T27" i="67" s="1"/>
  <c r="X27" i="67" s="1"/>
  <c r="Y27" i="67" s="1"/>
  <c r="E46" i="67"/>
  <c r="J46" i="67" s="1"/>
  <c r="E42" i="67"/>
  <c r="J42" i="67" s="1"/>
  <c r="E48" i="67"/>
  <c r="J48" i="67" s="1"/>
  <c r="E44" i="67"/>
  <c r="J44" i="67" s="1"/>
  <c r="E49" i="67"/>
  <c r="J49" i="67" s="1"/>
  <c r="E45" i="67"/>
  <c r="J45" i="67" s="1"/>
  <c r="E41" i="67"/>
  <c r="E47" i="67"/>
  <c r="J47" i="67" s="1"/>
  <c r="E43" i="67"/>
  <c r="J43" i="67" s="1"/>
  <c r="Y83" i="67"/>
  <c r="Y50" i="67"/>
  <c r="J103" i="67"/>
  <c r="I23" i="67"/>
  <c r="J23" i="67" s="1"/>
  <c r="V85" i="67"/>
  <c r="E12" i="67"/>
  <c r="E22" i="67"/>
  <c r="D91" i="67"/>
  <c r="E16" i="67"/>
  <c r="E26" i="67"/>
  <c r="E15" i="67"/>
  <c r="E25" i="67"/>
  <c r="E19" i="67"/>
  <c r="E13" i="67"/>
  <c r="J98" i="66"/>
  <c r="E18" i="66"/>
  <c r="E21" i="66"/>
  <c r="E22" i="66"/>
  <c r="Y104" i="66"/>
  <c r="J103" i="66"/>
  <c r="E46" i="66"/>
  <c r="J46" i="66" s="1"/>
  <c r="E42" i="66"/>
  <c r="J42" i="66" s="1"/>
  <c r="E49" i="66"/>
  <c r="J49" i="66" s="1"/>
  <c r="E45" i="66"/>
  <c r="J45" i="66" s="1"/>
  <c r="E41" i="66"/>
  <c r="E48" i="66"/>
  <c r="J48" i="66" s="1"/>
  <c r="E44" i="66"/>
  <c r="J44" i="66" s="1"/>
  <c r="E47" i="66"/>
  <c r="J47" i="66" s="1"/>
  <c r="E43" i="66"/>
  <c r="J43" i="66" s="1"/>
  <c r="Y83" i="66"/>
  <c r="Y97" i="66"/>
  <c r="Y50" i="66"/>
  <c r="V87" i="66"/>
  <c r="E15" i="66"/>
  <c r="E25" i="66"/>
  <c r="V103" i="66"/>
  <c r="Y103" i="66" s="1"/>
  <c r="E19" i="66"/>
  <c r="V86" i="66"/>
  <c r="D91" i="66"/>
  <c r="E16" i="66"/>
  <c r="E26" i="66"/>
  <c r="E13" i="66"/>
  <c r="Y96" i="65"/>
  <c r="J38" i="65"/>
  <c r="E24" i="65"/>
  <c r="I24" i="65" s="1"/>
  <c r="J24" i="65" s="1"/>
  <c r="T28" i="65"/>
  <c r="T52" i="65" s="1"/>
  <c r="X53" i="65" s="1"/>
  <c r="E17" i="65"/>
  <c r="I17" i="65" s="1"/>
  <c r="J17" i="65" s="1"/>
  <c r="E18" i="65"/>
  <c r="I18" i="65" s="1"/>
  <c r="J18" i="65" s="1"/>
  <c r="Y97" i="65"/>
  <c r="S92" i="65"/>
  <c r="X92" i="65" s="1"/>
  <c r="Y16" i="65"/>
  <c r="Y12" i="65"/>
  <c r="S91" i="65"/>
  <c r="X91" i="65" s="1"/>
  <c r="Y14" i="65"/>
  <c r="J103" i="65"/>
  <c r="D91" i="65"/>
  <c r="V87" i="65"/>
  <c r="J98" i="65"/>
  <c r="E44" i="65"/>
  <c r="J44" i="65" s="1"/>
  <c r="E48" i="65"/>
  <c r="J48" i="65" s="1"/>
  <c r="E19" i="65"/>
  <c r="I19" i="65" s="1"/>
  <c r="J19" i="65" s="1"/>
  <c r="E16" i="65"/>
  <c r="I16" i="65" s="1"/>
  <c r="E26" i="65"/>
  <c r="I26" i="65" s="1"/>
  <c r="J26" i="65" s="1"/>
  <c r="X13" i="65"/>
  <c r="Y13" i="65" s="1"/>
  <c r="E43" i="65"/>
  <c r="J43" i="65" s="1"/>
  <c r="E47" i="65"/>
  <c r="J47" i="65" s="1"/>
  <c r="V85" i="65"/>
  <c r="E22" i="65"/>
  <c r="I22" i="65" s="1"/>
  <c r="J22" i="65" s="1"/>
  <c r="E41" i="65"/>
  <c r="E45" i="65"/>
  <c r="J45" i="65" s="1"/>
  <c r="E49" i="65"/>
  <c r="J49" i="65" s="1"/>
  <c r="E15" i="65"/>
  <c r="I15" i="65" s="1"/>
  <c r="J15" i="65" s="1"/>
  <c r="E25" i="65"/>
  <c r="I25" i="65" s="1"/>
  <c r="J25" i="65" s="1"/>
  <c r="E12" i="65"/>
  <c r="E13" i="65"/>
  <c r="I13" i="65" s="1"/>
  <c r="J13" i="65" s="1"/>
  <c r="E42" i="65"/>
  <c r="J42" i="65" s="1"/>
  <c r="E17" i="64"/>
  <c r="T17" i="64" s="1"/>
  <c r="X17" i="64" s="1"/>
  <c r="Y17" i="64" s="1"/>
  <c r="Y102" i="64"/>
  <c r="I84" i="64"/>
  <c r="J84" i="64" s="1"/>
  <c r="D90" i="64"/>
  <c r="E18" i="64"/>
  <c r="T18" i="64" s="1"/>
  <c r="X18" i="64" s="1"/>
  <c r="Y18" i="64" s="1"/>
  <c r="E20" i="64"/>
  <c r="T20" i="64" s="1"/>
  <c r="X20" i="64" s="1"/>
  <c r="Y20" i="64" s="1"/>
  <c r="E24" i="64"/>
  <c r="I24" i="64" s="1"/>
  <c r="J24" i="64" s="1"/>
  <c r="E27" i="64"/>
  <c r="T27" i="64" s="1"/>
  <c r="X27" i="64" s="1"/>
  <c r="Y27" i="64" s="1"/>
  <c r="J46" i="64"/>
  <c r="Y50" i="64"/>
  <c r="J102" i="64"/>
  <c r="D92" i="64"/>
  <c r="Y96" i="64"/>
  <c r="J103" i="64"/>
  <c r="I23" i="64"/>
  <c r="J23" i="64" s="1"/>
  <c r="T23" i="64"/>
  <c r="X23" i="64" s="1"/>
  <c r="Y23" i="64" s="1"/>
  <c r="J97" i="64"/>
  <c r="J98" i="64"/>
  <c r="E21" i="64"/>
  <c r="V70" i="64"/>
  <c r="T14" i="64"/>
  <c r="X14" i="64" s="1"/>
  <c r="T24" i="64"/>
  <c r="X24" i="64" s="1"/>
  <c r="Y24" i="64" s="1"/>
  <c r="V85" i="64"/>
  <c r="E12" i="64"/>
  <c r="E22" i="64"/>
  <c r="V71" i="64"/>
  <c r="V83" i="64"/>
  <c r="Y83" i="64" s="1"/>
  <c r="E43" i="64"/>
  <c r="J43" i="64" s="1"/>
  <c r="E47" i="64"/>
  <c r="J47" i="64" s="1"/>
  <c r="D91" i="64"/>
  <c r="E44" i="64"/>
  <c r="J44" i="64" s="1"/>
  <c r="E48" i="64"/>
  <c r="J48" i="64" s="1"/>
  <c r="E16" i="64"/>
  <c r="E26" i="64"/>
  <c r="E15" i="64"/>
  <c r="E25" i="64"/>
  <c r="E41" i="64"/>
  <c r="E45" i="64"/>
  <c r="J45" i="64" s="1"/>
  <c r="E49" i="64"/>
  <c r="J49" i="64" s="1"/>
  <c r="E19" i="64"/>
  <c r="E13" i="64"/>
  <c r="E42" i="64"/>
  <c r="J42" i="64" s="1"/>
  <c r="Y38" i="63"/>
  <c r="Y97" i="63"/>
  <c r="J98" i="63"/>
  <c r="Y96" i="63"/>
  <c r="E46" i="63"/>
  <c r="J46" i="63" s="1"/>
  <c r="E42" i="63"/>
  <c r="J42" i="63" s="1"/>
  <c r="E49" i="63"/>
  <c r="J49" i="63" s="1"/>
  <c r="E45" i="63"/>
  <c r="J45" i="63" s="1"/>
  <c r="E41" i="63"/>
  <c r="E48" i="63"/>
  <c r="J48" i="63" s="1"/>
  <c r="E44" i="63"/>
  <c r="J44" i="63" s="1"/>
  <c r="E47" i="63"/>
  <c r="J47" i="63" s="1"/>
  <c r="E43" i="63"/>
  <c r="J43" i="63" s="1"/>
  <c r="Y83" i="63"/>
  <c r="Y104" i="63"/>
  <c r="Y50" i="63"/>
  <c r="T17" i="63"/>
  <c r="X17" i="63" s="1"/>
  <c r="Y17" i="63" s="1"/>
  <c r="D92" i="63"/>
  <c r="E14" i="63"/>
  <c r="E24" i="63"/>
  <c r="E21" i="63"/>
  <c r="V70" i="63"/>
  <c r="D90" i="63"/>
  <c r="E18" i="63"/>
  <c r="E15" i="63"/>
  <c r="E25" i="63"/>
  <c r="V103" i="63"/>
  <c r="Y103" i="63" s="1"/>
  <c r="E19" i="63"/>
  <c r="E12" i="63"/>
  <c r="E22" i="63"/>
  <c r="D91" i="63"/>
  <c r="E16" i="63"/>
  <c r="E26" i="63"/>
  <c r="E13" i="63"/>
  <c r="Y38" i="62"/>
  <c r="Y97" i="62"/>
  <c r="J98" i="62"/>
  <c r="Y96" i="62"/>
  <c r="D45" i="56"/>
  <c r="C45" i="56"/>
  <c r="Y83" i="62"/>
  <c r="E46" i="62"/>
  <c r="J46" i="62" s="1"/>
  <c r="E42" i="62"/>
  <c r="J42" i="62" s="1"/>
  <c r="E48" i="62"/>
  <c r="J48" i="62" s="1"/>
  <c r="E44" i="62"/>
  <c r="J44" i="62" s="1"/>
  <c r="E47" i="62"/>
  <c r="J47" i="62" s="1"/>
  <c r="E43" i="62"/>
  <c r="J43" i="62" s="1"/>
  <c r="E49" i="62"/>
  <c r="J49" i="62" s="1"/>
  <c r="E45" i="62"/>
  <c r="J45" i="62" s="1"/>
  <c r="E41" i="62"/>
  <c r="Y50" i="62"/>
  <c r="V87" i="62"/>
  <c r="V85" i="62"/>
  <c r="E12" i="62"/>
  <c r="E22" i="62"/>
  <c r="D91" i="62"/>
  <c r="E16" i="62"/>
  <c r="E26" i="62"/>
  <c r="E15" i="62"/>
  <c r="E25" i="62"/>
  <c r="E19" i="62"/>
  <c r="E13" i="62"/>
  <c r="Y96" i="61"/>
  <c r="Y96" i="58"/>
  <c r="Y96" i="59"/>
  <c r="E43" i="61"/>
  <c r="J43" i="61" s="1"/>
  <c r="E21" i="61"/>
  <c r="Y31" i="61"/>
  <c r="Y32" i="61" s="1"/>
  <c r="J103" i="61"/>
  <c r="Y50" i="61"/>
  <c r="Y103" i="61"/>
  <c r="J104" i="61"/>
  <c r="X97" i="61"/>
  <c r="Y97" i="61" s="1"/>
  <c r="E17" i="61"/>
  <c r="E27" i="61"/>
  <c r="V83" i="61"/>
  <c r="Y83" i="61" s="1"/>
  <c r="E44" i="61"/>
  <c r="J44" i="61" s="1"/>
  <c r="E48" i="61"/>
  <c r="J48" i="61" s="1"/>
  <c r="D91" i="61"/>
  <c r="E16" i="61"/>
  <c r="E26" i="61"/>
  <c r="V85" i="61"/>
  <c r="E12" i="61"/>
  <c r="T12" i="61" s="1"/>
  <c r="X12" i="61" s="1"/>
  <c r="Y12" i="61" s="1"/>
  <c r="E22" i="61"/>
  <c r="E41" i="61"/>
  <c r="E45" i="61"/>
  <c r="J45" i="61" s="1"/>
  <c r="E49" i="61"/>
  <c r="J49" i="61" s="1"/>
  <c r="E19" i="61"/>
  <c r="E15" i="61"/>
  <c r="E25" i="61"/>
  <c r="E13" i="61"/>
  <c r="E42" i="61"/>
  <c r="J42" i="61" s="1"/>
  <c r="E24" i="60"/>
  <c r="I24" i="60" s="1"/>
  <c r="J24" i="60" s="1"/>
  <c r="T28" i="60"/>
  <c r="T58" i="60" s="1"/>
  <c r="X59" i="60" s="1"/>
  <c r="X71" i="60" s="1"/>
  <c r="E17" i="60"/>
  <c r="I17" i="60" s="1"/>
  <c r="J17" i="60" s="1"/>
  <c r="S91" i="60"/>
  <c r="X91" i="60" s="1"/>
  <c r="Y14" i="60"/>
  <c r="Y103" i="60"/>
  <c r="Y31" i="60"/>
  <c r="Y32" i="60" s="1"/>
  <c r="J103" i="60"/>
  <c r="S92" i="60"/>
  <c r="X92" i="60" s="1"/>
  <c r="Y16" i="60"/>
  <c r="Y12" i="60"/>
  <c r="E44" i="60"/>
  <c r="J44" i="60" s="1"/>
  <c r="E48" i="60"/>
  <c r="J48" i="60" s="1"/>
  <c r="E15" i="60"/>
  <c r="I15" i="60" s="1"/>
  <c r="J15" i="60" s="1"/>
  <c r="E25" i="60"/>
  <c r="I25" i="60" s="1"/>
  <c r="J25" i="60" s="1"/>
  <c r="X97" i="60"/>
  <c r="Y97" i="60" s="1"/>
  <c r="X13" i="60"/>
  <c r="Y13" i="60" s="1"/>
  <c r="E43" i="60"/>
  <c r="J43" i="60" s="1"/>
  <c r="E47" i="60"/>
  <c r="J47" i="60" s="1"/>
  <c r="E12" i="60"/>
  <c r="E22" i="60"/>
  <c r="I22" i="60" s="1"/>
  <c r="J22" i="60" s="1"/>
  <c r="V71" i="60"/>
  <c r="D91" i="60"/>
  <c r="E41" i="60"/>
  <c r="E45" i="60"/>
  <c r="J45" i="60" s="1"/>
  <c r="E49" i="60"/>
  <c r="J49" i="60" s="1"/>
  <c r="E19" i="60"/>
  <c r="I19" i="60" s="1"/>
  <c r="J19" i="60" s="1"/>
  <c r="E16" i="60"/>
  <c r="I16" i="60" s="1"/>
  <c r="E26" i="60"/>
  <c r="I26" i="60" s="1"/>
  <c r="J26" i="60" s="1"/>
  <c r="E13" i="60"/>
  <c r="I13" i="60" s="1"/>
  <c r="J13" i="60" s="1"/>
  <c r="E42" i="60"/>
  <c r="J42" i="60" s="1"/>
  <c r="Y38" i="59"/>
  <c r="E12" i="59"/>
  <c r="I12" i="59" s="1"/>
  <c r="J12" i="59" s="1"/>
  <c r="E14" i="59"/>
  <c r="I14" i="59" s="1"/>
  <c r="J14" i="59" s="1"/>
  <c r="E15" i="59"/>
  <c r="T15" i="59" s="1"/>
  <c r="X15" i="59" s="1"/>
  <c r="Y15" i="59" s="1"/>
  <c r="E17" i="59"/>
  <c r="I17" i="59" s="1"/>
  <c r="J17" i="59" s="1"/>
  <c r="E18" i="59"/>
  <c r="I23" i="59"/>
  <c r="J23" i="59" s="1"/>
  <c r="E24" i="59"/>
  <c r="I24" i="59" s="1"/>
  <c r="J24" i="59" s="1"/>
  <c r="E21" i="59"/>
  <c r="I21" i="59" s="1"/>
  <c r="J21" i="59" s="1"/>
  <c r="E25" i="59"/>
  <c r="T25" i="59" s="1"/>
  <c r="X25" i="59" s="1"/>
  <c r="Y25" i="59" s="1"/>
  <c r="E19" i="59"/>
  <c r="T19" i="59" s="1"/>
  <c r="X19" i="59" s="1"/>
  <c r="Y19" i="59" s="1"/>
  <c r="E20" i="59"/>
  <c r="T20" i="59" s="1"/>
  <c r="X20" i="59" s="1"/>
  <c r="Y20" i="59" s="1"/>
  <c r="E22" i="59"/>
  <c r="I22" i="59" s="1"/>
  <c r="J22" i="59" s="1"/>
  <c r="E27" i="59"/>
  <c r="T27" i="59" s="1"/>
  <c r="X27" i="59" s="1"/>
  <c r="Y27" i="59" s="1"/>
  <c r="E46" i="59"/>
  <c r="J46" i="59" s="1"/>
  <c r="E42" i="59"/>
  <c r="J42" i="59" s="1"/>
  <c r="E49" i="59"/>
  <c r="J49" i="59" s="1"/>
  <c r="E45" i="59"/>
  <c r="J45" i="59" s="1"/>
  <c r="E41" i="59"/>
  <c r="E47" i="59"/>
  <c r="J47" i="59" s="1"/>
  <c r="E43" i="59"/>
  <c r="J43" i="59" s="1"/>
  <c r="E48" i="59"/>
  <c r="J48" i="59" s="1"/>
  <c r="E44" i="59"/>
  <c r="J44" i="59" s="1"/>
  <c r="Y50" i="59"/>
  <c r="J103" i="59"/>
  <c r="I84" i="59"/>
  <c r="J84" i="59" s="1"/>
  <c r="Y83" i="59"/>
  <c r="T17" i="59"/>
  <c r="X17" i="59" s="1"/>
  <c r="Y17" i="59" s="1"/>
  <c r="T21" i="59"/>
  <c r="X21" i="59" s="1"/>
  <c r="Y21" i="59" s="1"/>
  <c r="T14" i="59"/>
  <c r="X14" i="59" s="1"/>
  <c r="T24" i="59"/>
  <c r="X24" i="59" s="1"/>
  <c r="Y24" i="59" s="1"/>
  <c r="T12" i="59"/>
  <c r="V86" i="59"/>
  <c r="D91" i="59"/>
  <c r="E16" i="59"/>
  <c r="E26" i="59"/>
  <c r="E13" i="59"/>
  <c r="J38" i="58"/>
  <c r="Y103" i="58"/>
  <c r="Y83" i="58"/>
  <c r="J103" i="58"/>
  <c r="J98" i="58"/>
  <c r="D90" i="58"/>
  <c r="E44" i="58"/>
  <c r="J44" i="58" s="1"/>
  <c r="E48" i="58"/>
  <c r="J48" i="58" s="1"/>
  <c r="V71" i="58"/>
  <c r="E43" i="58"/>
  <c r="J43" i="58" s="1"/>
  <c r="E47" i="58"/>
  <c r="J47" i="58" s="1"/>
  <c r="E45" i="58"/>
  <c r="J45" i="58" s="1"/>
  <c r="D91" i="58"/>
  <c r="E41" i="58"/>
  <c r="E49" i="58"/>
  <c r="J49" i="58" s="1"/>
  <c r="E42" i="58"/>
  <c r="J42" i="58" s="1"/>
  <c r="X28" i="84" l="1"/>
  <c r="V33" i="84" s="1"/>
  <c r="T24" i="62"/>
  <c r="X24" i="62" s="1"/>
  <c r="Y24" i="62" s="1"/>
  <c r="I21" i="62"/>
  <c r="J21" i="62" s="1"/>
  <c r="V33" i="98"/>
  <c r="T55" i="98"/>
  <c r="V33" i="93"/>
  <c r="T55" i="93"/>
  <c r="I18" i="102"/>
  <c r="J18" i="102" s="1"/>
  <c r="V33" i="104"/>
  <c r="T55" i="104"/>
  <c r="V33" i="90"/>
  <c r="T55" i="90"/>
  <c r="V33" i="78"/>
  <c r="T55" i="78"/>
  <c r="I17" i="69"/>
  <c r="J17" i="69" s="1"/>
  <c r="V33" i="99"/>
  <c r="T55" i="99"/>
  <c r="T20" i="63"/>
  <c r="X20" i="63" s="1"/>
  <c r="Y20" i="63" s="1"/>
  <c r="T14" i="61"/>
  <c r="X14" i="61" s="1"/>
  <c r="Y14" i="61" s="1"/>
  <c r="Y83" i="73"/>
  <c r="Y31" i="58"/>
  <c r="Y32" i="58" s="1"/>
  <c r="J32" i="86"/>
  <c r="Y31" i="62"/>
  <c r="Y32" i="62" s="1"/>
  <c r="J32" i="92"/>
  <c r="J32" i="70"/>
  <c r="Y31" i="76"/>
  <c r="Y32" i="76" s="1"/>
  <c r="J32" i="98"/>
  <c r="J32" i="74"/>
  <c r="J32" i="63"/>
  <c r="J32" i="68"/>
  <c r="J32" i="81"/>
  <c r="J32" i="72"/>
  <c r="Y31" i="101"/>
  <c r="Y32" i="101" s="1"/>
  <c r="T58" i="103"/>
  <c r="X59" i="103" s="1"/>
  <c r="X71" i="103" s="1"/>
  <c r="Y71" i="103" s="1"/>
  <c r="T52" i="103"/>
  <c r="X53" i="103" s="1"/>
  <c r="X87" i="103" s="1"/>
  <c r="Y87" i="103" s="1"/>
  <c r="T61" i="103"/>
  <c r="X62" i="103" s="1"/>
  <c r="X67" i="103" s="1"/>
  <c r="Y67" i="103" s="1"/>
  <c r="I21" i="102"/>
  <c r="J21" i="102" s="1"/>
  <c r="I20" i="102"/>
  <c r="J20" i="102" s="1"/>
  <c r="T14" i="101"/>
  <c r="X14" i="101" s="1"/>
  <c r="Y14" i="101" s="1"/>
  <c r="T64" i="95"/>
  <c r="X65" i="95" s="1"/>
  <c r="X70" i="95" s="1"/>
  <c r="Y70" i="95" s="1"/>
  <c r="T58" i="95"/>
  <c r="X59" i="95" s="1"/>
  <c r="X71" i="95" s="1"/>
  <c r="Y71" i="95" s="1"/>
  <c r="T61" i="94"/>
  <c r="X62" i="94" s="1"/>
  <c r="X67" i="94" s="1"/>
  <c r="Y67" i="94" s="1"/>
  <c r="T58" i="94"/>
  <c r="X59" i="94" s="1"/>
  <c r="X71" i="94" s="1"/>
  <c r="Y71" i="94" s="1"/>
  <c r="T52" i="94"/>
  <c r="X53" i="94" s="1"/>
  <c r="X87" i="94" s="1"/>
  <c r="Y87" i="94" s="1"/>
  <c r="T64" i="89"/>
  <c r="X65" i="89" s="1"/>
  <c r="X70" i="89" s="1"/>
  <c r="Y70" i="89" s="1"/>
  <c r="T58" i="89"/>
  <c r="X59" i="89" s="1"/>
  <c r="X71" i="89" s="1"/>
  <c r="Y71" i="89" s="1"/>
  <c r="S90" i="88"/>
  <c r="X90" i="88" s="1"/>
  <c r="Y93" i="88" s="1"/>
  <c r="T61" i="85"/>
  <c r="X62" i="85" s="1"/>
  <c r="X67" i="85" s="1"/>
  <c r="Y67" i="85" s="1"/>
  <c r="T52" i="85"/>
  <c r="X53" i="85" s="1"/>
  <c r="X87" i="85" s="1"/>
  <c r="Y87" i="85" s="1"/>
  <c r="T64" i="82"/>
  <c r="X65" i="82" s="1"/>
  <c r="X70" i="82" s="1"/>
  <c r="Y70" i="82" s="1"/>
  <c r="T61" i="82"/>
  <c r="X62" i="82" s="1"/>
  <c r="X67" i="82" s="1"/>
  <c r="Y67" i="82" s="1"/>
  <c r="T58" i="82"/>
  <c r="X59" i="82" s="1"/>
  <c r="X71" i="82" s="1"/>
  <c r="Y71" i="82" s="1"/>
  <c r="T64" i="81"/>
  <c r="X65" i="81" s="1"/>
  <c r="X70" i="81" s="1"/>
  <c r="Y70" i="81" s="1"/>
  <c r="T58" i="81"/>
  <c r="X59" i="81" s="1"/>
  <c r="X71" i="81" s="1"/>
  <c r="I14" i="69"/>
  <c r="T20" i="68"/>
  <c r="X20" i="68" s="1"/>
  <c r="Y20" i="68" s="1"/>
  <c r="T14" i="66"/>
  <c r="X14" i="66" s="1"/>
  <c r="T27" i="66"/>
  <c r="X27" i="66" s="1"/>
  <c r="Y27" i="66" s="1"/>
  <c r="I18" i="62"/>
  <c r="J18" i="62" s="1"/>
  <c r="J32" i="65"/>
  <c r="J32" i="75"/>
  <c r="T61" i="81"/>
  <c r="X62" i="81" s="1"/>
  <c r="X67" i="81" s="1"/>
  <c r="Y67" i="81" s="1"/>
  <c r="I24" i="77"/>
  <c r="J24" i="77" s="1"/>
  <c r="T58" i="73"/>
  <c r="X59" i="73" s="1"/>
  <c r="X71" i="73" s="1"/>
  <c r="Y71" i="73" s="1"/>
  <c r="T52" i="72"/>
  <c r="X53" i="72" s="1"/>
  <c r="X69" i="72" s="1"/>
  <c r="T58" i="72"/>
  <c r="X59" i="72" s="1"/>
  <c r="X71" i="72" s="1"/>
  <c r="Y71" i="72" s="1"/>
  <c r="I24" i="69"/>
  <c r="J24" i="69" s="1"/>
  <c r="I17" i="68"/>
  <c r="J17" i="68" s="1"/>
  <c r="I18" i="68"/>
  <c r="J18" i="68" s="1"/>
  <c r="I19" i="68"/>
  <c r="J19" i="68" s="1"/>
  <c r="I27" i="68"/>
  <c r="J27" i="68" s="1"/>
  <c r="T12" i="66"/>
  <c r="X12" i="66" s="1"/>
  <c r="Y12" i="66" s="1"/>
  <c r="X28" i="65"/>
  <c r="S90" i="65"/>
  <c r="X90" i="65" s="1"/>
  <c r="Y93" i="65" s="1"/>
  <c r="I18" i="64"/>
  <c r="J18" i="64" s="1"/>
  <c r="I20" i="64"/>
  <c r="J20" i="64" s="1"/>
  <c r="I27" i="64"/>
  <c r="J27" i="64" s="1"/>
  <c r="T27" i="63"/>
  <c r="X27" i="63" s="1"/>
  <c r="Y27" i="63" s="1"/>
  <c r="T20" i="62"/>
  <c r="X20" i="62" s="1"/>
  <c r="Y20" i="62" s="1"/>
  <c r="T14" i="62"/>
  <c r="X14" i="62" s="1"/>
  <c r="Y14" i="62" s="1"/>
  <c r="Y31" i="96"/>
  <c r="Y32" i="96" s="1"/>
  <c r="T20" i="101"/>
  <c r="X20" i="101" s="1"/>
  <c r="Y20" i="101" s="1"/>
  <c r="J32" i="99"/>
  <c r="J105" i="68"/>
  <c r="J32" i="82"/>
  <c r="Y31" i="85"/>
  <c r="Y32" i="85" s="1"/>
  <c r="Y31" i="97"/>
  <c r="Y32" i="97" s="1"/>
  <c r="J32" i="90"/>
  <c r="J32" i="88"/>
  <c r="Y31" i="94"/>
  <c r="Y32" i="94" s="1"/>
  <c r="J32" i="105"/>
  <c r="J32" i="73"/>
  <c r="J105" i="97"/>
  <c r="J32" i="69"/>
  <c r="J105" i="69"/>
  <c r="J32" i="100"/>
  <c r="J105" i="81"/>
  <c r="J105" i="62"/>
  <c r="J32" i="67"/>
  <c r="Y83" i="87"/>
  <c r="J105" i="75"/>
  <c r="T21" i="101"/>
  <c r="X21" i="101" s="1"/>
  <c r="Y21" i="101" s="1"/>
  <c r="T24" i="101"/>
  <c r="X24" i="101" s="1"/>
  <c r="Y24" i="101" s="1"/>
  <c r="J32" i="89"/>
  <c r="J32" i="87"/>
  <c r="Y31" i="80"/>
  <c r="Y32" i="80" s="1"/>
  <c r="J105" i="70"/>
  <c r="J105" i="67"/>
  <c r="J32" i="84"/>
  <c r="J105" i="92"/>
  <c r="Y102" i="78"/>
  <c r="Y105" i="78" s="1"/>
  <c r="J32" i="104"/>
  <c r="J105" i="71"/>
  <c r="J105" i="94"/>
  <c r="J105" i="59"/>
  <c r="J32" i="64"/>
  <c r="J32" i="78"/>
  <c r="J32" i="79"/>
  <c r="J32" i="59"/>
  <c r="J105" i="96"/>
  <c r="Y102" i="61"/>
  <c r="Y105" i="61" s="1"/>
  <c r="J105" i="74"/>
  <c r="Y102" i="103"/>
  <c r="Y105" i="103" s="1"/>
  <c r="Y102" i="100"/>
  <c r="Y105" i="100" s="1"/>
  <c r="J105" i="82"/>
  <c r="J32" i="95"/>
  <c r="J32" i="103"/>
  <c r="J105" i="63"/>
  <c r="J105" i="89"/>
  <c r="J32" i="93"/>
  <c r="J105" i="101"/>
  <c r="J105" i="104"/>
  <c r="J105" i="86"/>
  <c r="J105" i="65"/>
  <c r="Y102" i="104"/>
  <c r="Y105" i="104" s="1"/>
  <c r="Y83" i="74"/>
  <c r="J32" i="83"/>
  <c r="J105" i="83"/>
  <c r="Y105" i="98"/>
  <c r="T64" i="72"/>
  <c r="X65" i="72" s="1"/>
  <c r="X70" i="72" s="1"/>
  <c r="Y70" i="72" s="1"/>
  <c r="X28" i="71"/>
  <c r="V33" i="71" s="1"/>
  <c r="S90" i="71"/>
  <c r="X90" i="71" s="1"/>
  <c r="Y93" i="71" s="1"/>
  <c r="J105" i="58"/>
  <c r="I20" i="67"/>
  <c r="J20" i="67" s="1"/>
  <c r="I17" i="67"/>
  <c r="J17" i="67" s="1"/>
  <c r="I27" i="67"/>
  <c r="J27" i="67" s="1"/>
  <c r="T14" i="67"/>
  <c r="X14" i="67" s="1"/>
  <c r="Y14" i="67" s="1"/>
  <c r="I18" i="67"/>
  <c r="J18" i="67" s="1"/>
  <c r="I20" i="59"/>
  <c r="J20" i="59" s="1"/>
  <c r="J105" i="102"/>
  <c r="J105" i="80"/>
  <c r="J105" i="100"/>
  <c r="J105" i="90"/>
  <c r="J105" i="87"/>
  <c r="Y102" i="90"/>
  <c r="Y105" i="90" s="1"/>
  <c r="J105" i="77"/>
  <c r="J105" i="60"/>
  <c r="Y102" i="58"/>
  <c r="Y105" i="58" s="1"/>
  <c r="J105" i="99"/>
  <c r="Y105" i="69"/>
  <c r="Y102" i="97"/>
  <c r="Y105" i="97" s="1"/>
  <c r="Y102" i="94"/>
  <c r="Y105" i="94" s="1"/>
  <c r="Y102" i="82"/>
  <c r="Y105" i="82" s="1"/>
  <c r="Y102" i="63"/>
  <c r="Y105" i="63" s="1"/>
  <c r="J105" i="61"/>
  <c r="J32" i="66"/>
  <c r="J105" i="91"/>
  <c r="J105" i="79"/>
  <c r="J105" i="93"/>
  <c r="J105" i="78"/>
  <c r="J105" i="84"/>
  <c r="J105" i="98"/>
  <c r="J105" i="85"/>
  <c r="J105" i="66"/>
  <c r="Y83" i="81"/>
  <c r="T52" i="95"/>
  <c r="X53" i="95" s="1"/>
  <c r="X69" i="95" s="1"/>
  <c r="T64" i="88"/>
  <c r="X65" i="88" s="1"/>
  <c r="X70" i="88" s="1"/>
  <c r="Y70" i="88" s="1"/>
  <c r="T61" i="88"/>
  <c r="X62" i="88" s="1"/>
  <c r="X67" i="88" s="1"/>
  <c r="Y67" i="88" s="1"/>
  <c r="T58" i="88"/>
  <c r="X59" i="88" s="1"/>
  <c r="X71" i="88" s="1"/>
  <c r="Y71" i="88" s="1"/>
  <c r="B91" i="80"/>
  <c r="I91" i="80" s="1"/>
  <c r="I14" i="77"/>
  <c r="J14" i="77" s="1"/>
  <c r="I20" i="77"/>
  <c r="J20" i="77" s="1"/>
  <c r="T61" i="73"/>
  <c r="X62" i="73" s="1"/>
  <c r="X67" i="73" s="1"/>
  <c r="Y67" i="73" s="1"/>
  <c r="T64" i="73"/>
  <c r="X65" i="73" s="1"/>
  <c r="X70" i="73" s="1"/>
  <c r="Y70" i="73" s="1"/>
  <c r="T52" i="70"/>
  <c r="X53" i="70" s="1"/>
  <c r="X87" i="70" s="1"/>
  <c r="Y87" i="70" s="1"/>
  <c r="T64" i="70"/>
  <c r="X65" i="70" s="1"/>
  <c r="X70" i="70" s="1"/>
  <c r="Y70" i="70" s="1"/>
  <c r="T61" i="70"/>
  <c r="X62" i="70" s="1"/>
  <c r="X67" i="70" s="1"/>
  <c r="Y67" i="70" s="1"/>
  <c r="I18" i="69"/>
  <c r="J18" i="69" s="1"/>
  <c r="T14" i="68"/>
  <c r="X14" i="68" s="1"/>
  <c r="Y14" i="68" s="1"/>
  <c r="T21" i="67"/>
  <c r="X21" i="67" s="1"/>
  <c r="Y21" i="67" s="1"/>
  <c r="T64" i="65"/>
  <c r="X65" i="65" s="1"/>
  <c r="X70" i="65" s="1"/>
  <c r="Y70" i="65" s="1"/>
  <c r="I27" i="62"/>
  <c r="J27" i="62" s="1"/>
  <c r="I17" i="62"/>
  <c r="J17" i="62" s="1"/>
  <c r="Y102" i="88"/>
  <c r="Y105" i="88" s="1"/>
  <c r="J105" i="88"/>
  <c r="Y28" i="89"/>
  <c r="Y33" i="89" s="1"/>
  <c r="Y102" i="89"/>
  <c r="Y104" i="89"/>
  <c r="T61" i="89"/>
  <c r="X62" i="89" s="1"/>
  <c r="X67" i="89" s="1"/>
  <c r="Y67" i="89" s="1"/>
  <c r="B91" i="103"/>
  <c r="I91" i="103" s="1"/>
  <c r="J105" i="103"/>
  <c r="J105" i="105"/>
  <c r="Y102" i="105"/>
  <c r="Y104" i="105"/>
  <c r="Y31" i="102"/>
  <c r="Y32" i="102" s="1"/>
  <c r="J32" i="102"/>
  <c r="Y102" i="102"/>
  <c r="Y105" i="102" s="1"/>
  <c r="I25" i="101"/>
  <c r="J25" i="101" s="1"/>
  <c r="T25" i="101"/>
  <c r="X25" i="101" s="1"/>
  <c r="Y25" i="101" s="1"/>
  <c r="I26" i="101"/>
  <c r="J26" i="101" s="1"/>
  <c r="T26" i="101"/>
  <c r="X26" i="101" s="1"/>
  <c r="Y26" i="101" s="1"/>
  <c r="I16" i="101"/>
  <c r="T16" i="101"/>
  <c r="X16" i="101" s="1"/>
  <c r="I13" i="101"/>
  <c r="J13" i="101" s="1"/>
  <c r="T13" i="101"/>
  <c r="I17" i="101"/>
  <c r="J17" i="101" s="1"/>
  <c r="T17" i="101"/>
  <c r="X17" i="101" s="1"/>
  <c r="Y17" i="101" s="1"/>
  <c r="I22" i="101"/>
  <c r="J22" i="101" s="1"/>
  <c r="T22" i="101"/>
  <c r="X22" i="101" s="1"/>
  <c r="Y22" i="101" s="1"/>
  <c r="I27" i="101"/>
  <c r="J27" i="101" s="1"/>
  <c r="T27" i="101"/>
  <c r="X27" i="101" s="1"/>
  <c r="Y27" i="101" s="1"/>
  <c r="I19" i="101"/>
  <c r="J19" i="101" s="1"/>
  <c r="T19" i="101"/>
  <c r="X19" i="101" s="1"/>
  <c r="Y19" i="101" s="1"/>
  <c r="I15" i="101"/>
  <c r="J15" i="101" s="1"/>
  <c r="T15" i="101"/>
  <c r="X15" i="101" s="1"/>
  <c r="I18" i="101"/>
  <c r="J18" i="101" s="1"/>
  <c r="T18" i="101"/>
  <c r="X18" i="101" s="1"/>
  <c r="Y18" i="101" s="1"/>
  <c r="T58" i="100"/>
  <c r="X59" i="100" s="1"/>
  <c r="X71" i="100" s="1"/>
  <c r="Y71" i="100" s="1"/>
  <c r="T52" i="100"/>
  <c r="X53" i="100" s="1"/>
  <c r="X87" i="100" s="1"/>
  <c r="Y87" i="100" s="1"/>
  <c r="T64" i="100"/>
  <c r="X65" i="100" s="1"/>
  <c r="X70" i="100" s="1"/>
  <c r="Y70" i="100" s="1"/>
  <c r="X28" i="96"/>
  <c r="J105" i="95"/>
  <c r="Y102" i="93"/>
  <c r="Y105" i="93" s="1"/>
  <c r="Y28" i="92"/>
  <c r="Y33" i="92" s="1"/>
  <c r="X28" i="92"/>
  <c r="T61" i="87"/>
  <c r="X62" i="87" s="1"/>
  <c r="X67" i="87" s="1"/>
  <c r="Y67" i="87" s="1"/>
  <c r="T64" i="87"/>
  <c r="X65" i="87" s="1"/>
  <c r="X70" i="87" s="1"/>
  <c r="Y70" i="87" s="1"/>
  <c r="T58" i="87"/>
  <c r="X59" i="87" s="1"/>
  <c r="X71" i="87" s="1"/>
  <c r="Y71" i="87" s="1"/>
  <c r="Y102" i="87"/>
  <c r="Y105" i="87" s="1"/>
  <c r="T61" i="86"/>
  <c r="X62" i="86" s="1"/>
  <c r="X67" i="86" s="1"/>
  <c r="Y67" i="86" s="1"/>
  <c r="T64" i="86"/>
  <c r="X65" i="86" s="1"/>
  <c r="X70" i="86" s="1"/>
  <c r="Y70" i="86" s="1"/>
  <c r="Y102" i="85"/>
  <c r="Y104" i="85"/>
  <c r="S90" i="84"/>
  <c r="Y102" i="84"/>
  <c r="Y105" i="84" s="1"/>
  <c r="Y102" i="83"/>
  <c r="Y105" i="83" s="1"/>
  <c r="Y102" i="81"/>
  <c r="Y104" i="81"/>
  <c r="S90" i="80"/>
  <c r="X90" i="80" s="1"/>
  <c r="Y93" i="80" s="1"/>
  <c r="T61" i="80"/>
  <c r="X62" i="80" s="1"/>
  <c r="X67" i="80" s="1"/>
  <c r="Y67" i="80" s="1"/>
  <c r="T58" i="80"/>
  <c r="X59" i="80" s="1"/>
  <c r="X71" i="80" s="1"/>
  <c r="Y71" i="80" s="1"/>
  <c r="X28" i="80"/>
  <c r="T64" i="80"/>
  <c r="X65" i="80" s="1"/>
  <c r="X70" i="80" s="1"/>
  <c r="Y70" i="80" s="1"/>
  <c r="Y83" i="80"/>
  <c r="Y102" i="79"/>
  <c r="Y104" i="79"/>
  <c r="I15" i="76"/>
  <c r="J15" i="76" s="1"/>
  <c r="T15" i="76"/>
  <c r="X15" i="76" s="1"/>
  <c r="Y15" i="76" s="1"/>
  <c r="I26" i="76"/>
  <c r="J26" i="76" s="1"/>
  <c r="T26" i="76"/>
  <c r="X26" i="76" s="1"/>
  <c r="Y26" i="76" s="1"/>
  <c r="I13" i="76"/>
  <c r="J13" i="76" s="1"/>
  <c r="T13" i="76"/>
  <c r="I18" i="76"/>
  <c r="J18" i="76" s="1"/>
  <c r="T18" i="76"/>
  <c r="X18" i="76" s="1"/>
  <c r="Y18" i="76" s="1"/>
  <c r="I17" i="76"/>
  <c r="J17" i="76" s="1"/>
  <c r="T17" i="76"/>
  <c r="X17" i="76" s="1"/>
  <c r="Y17" i="76" s="1"/>
  <c r="J105" i="76"/>
  <c r="I14" i="76"/>
  <c r="J14" i="76" s="1"/>
  <c r="T14" i="76"/>
  <c r="X14" i="76" s="1"/>
  <c r="I21" i="76"/>
  <c r="J21" i="76" s="1"/>
  <c r="T21" i="76"/>
  <c r="X21" i="76" s="1"/>
  <c r="Y21" i="76" s="1"/>
  <c r="I20" i="76"/>
  <c r="J20" i="76" s="1"/>
  <c r="T20" i="76"/>
  <c r="X20" i="76" s="1"/>
  <c r="Y20" i="76" s="1"/>
  <c r="I16" i="76"/>
  <c r="J16" i="76" s="1"/>
  <c r="T16" i="76"/>
  <c r="X16" i="76" s="1"/>
  <c r="I22" i="76"/>
  <c r="J22" i="76" s="1"/>
  <c r="T22" i="76"/>
  <c r="X22" i="76" s="1"/>
  <c r="Y22" i="76" s="1"/>
  <c r="I19" i="76"/>
  <c r="J19" i="76" s="1"/>
  <c r="T19" i="76"/>
  <c r="X19" i="76" s="1"/>
  <c r="Y19" i="76" s="1"/>
  <c r="I24" i="76"/>
  <c r="J24" i="76" s="1"/>
  <c r="T24" i="76"/>
  <c r="X24" i="76" s="1"/>
  <c r="Y24" i="76" s="1"/>
  <c r="I25" i="76"/>
  <c r="J25" i="76" s="1"/>
  <c r="T25" i="76"/>
  <c r="X25" i="76" s="1"/>
  <c r="Y25" i="76" s="1"/>
  <c r="I27" i="76"/>
  <c r="J27" i="76" s="1"/>
  <c r="T27" i="76"/>
  <c r="X27" i="76" s="1"/>
  <c r="Y27" i="76" s="1"/>
  <c r="T64" i="74"/>
  <c r="X65" i="74" s="1"/>
  <c r="X70" i="74" s="1"/>
  <c r="Y70" i="74" s="1"/>
  <c r="T61" i="74"/>
  <c r="X62" i="74" s="1"/>
  <c r="X67" i="74" s="1"/>
  <c r="Y67" i="74" s="1"/>
  <c r="T58" i="74"/>
  <c r="X59" i="74" s="1"/>
  <c r="X71" i="74" s="1"/>
  <c r="Y71" i="74" s="1"/>
  <c r="J105" i="72"/>
  <c r="S90" i="72"/>
  <c r="X90" i="72" s="1"/>
  <c r="Y93" i="72" s="1"/>
  <c r="X28" i="72"/>
  <c r="J32" i="71"/>
  <c r="Y102" i="70"/>
  <c r="Y105" i="70" s="1"/>
  <c r="T24" i="68"/>
  <c r="X24" i="68" s="1"/>
  <c r="Y24" i="68" s="1"/>
  <c r="I21" i="68"/>
  <c r="J21" i="68" s="1"/>
  <c r="T24" i="67"/>
  <c r="X24" i="67" s="1"/>
  <c r="Y24" i="67" s="1"/>
  <c r="Y102" i="67"/>
  <c r="Y105" i="67" s="1"/>
  <c r="I19" i="66"/>
  <c r="J19" i="66" s="1"/>
  <c r="T19" i="66"/>
  <c r="X19" i="66" s="1"/>
  <c r="Y19" i="66" s="1"/>
  <c r="I24" i="66"/>
  <c r="J24" i="66" s="1"/>
  <c r="T24" i="66"/>
  <c r="X24" i="66" s="1"/>
  <c r="Y24" i="66" s="1"/>
  <c r="I25" i="66"/>
  <c r="J25" i="66" s="1"/>
  <c r="T25" i="66"/>
  <c r="X25" i="66" s="1"/>
  <c r="Y25" i="66" s="1"/>
  <c r="I26" i="66"/>
  <c r="J26" i="66" s="1"/>
  <c r="T26" i="66"/>
  <c r="X26" i="66" s="1"/>
  <c r="Y26" i="66" s="1"/>
  <c r="I17" i="66"/>
  <c r="J17" i="66" s="1"/>
  <c r="T17" i="66"/>
  <c r="X17" i="66" s="1"/>
  <c r="Y17" i="66" s="1"/>
  <c r="I13" i="66"/>
  <c r="J13" i="66" s="1"/>
  <c r="T13" i="66"/>
  <c r="X13" i="66" s="1"/>
  <c r="Y13" i="66" s="1"/>
  <c r="I16" i="66"/>
  <c r="J16" i="66" s="1"/>
  <c r="T16" i="66"/>
  <c r="X16" i="66" s="1"/>
  <c r="Y14" i="66"/>
  <c r="I22" i="66"/>
  <c r="J22" i="66" s="1"/>
  <c r="T22" i="66"/>
  <c r="X22" i="66" s="1"/>
  <c r="Y22" i="66" s="1"/>
  <c r="I15" i="66"/>
  <c r="T15" i="66"/>
  <c r="X15" i="66" s="1"/>
  <c r="Y15" i="66" s="1"/>
  <c r="I21" i="66"/>
  <c r="J21" i="66" s="1"/>
  <c r="T21" i="66"/>
  <c r="X21" i="66" s="1"/>
  <c r="Y21" i="66" s="1"/>
  <c r="I20" i="66"/>
  <c r="J20" i="66" s="1"/>
  <c r="T20" i="66"/>
  <c r="X20" i="66" s="1"/>
  <c r="Y20" i="66" s="1"/>
  <c r="I18" i="66"/>
  <c r="J18" i="66" s="1"/>
  <c r="T18" i="66"/>
  <c r="X18" i="66" s="1"/>
  <c r="Y18" i="66" s="1"/>
  <c r="Y102" i="65"/>
  <c r="Y104" i="65"/>
  <c r="T58" i="65"/>
  <c r="X59" i="65" s="1"/>
  <c r="X71" i="65" s="1"/>
  <c r="Y71" i="65" s="1"/>
  <c r="T61" i="65"/>
  <c r="X62" i="65" s="1"/>
  <c r="X67" i="65" s="1"/>
  <c r="Y67" i="65" s="1"/>
  <c r="Y28" i="65"/>
  <c r="Y33" i="65" s="1"/>
  <c r="J105" i="64"/>
  <c r="I17" i="64"/>
  <c r="J17" i="64" s="1"/>
  <c r="Y102" i="62"/>
  <c r="Y105" i="62" s="1"/>
  <c r="I21" i="61"/>
  <c r="J21" i="61" s="1"/>
  <c r="T21" i="61"/>
  <c r="X21" i="61" s="1"/>
  <c r="Y21" i="61" s="1"/>
  <c r="I25" i="61"/>
  <c r="J25" i="61" s="1"/>
  <c r="T25" i="61"/>
  <c r="X25" i="61" s="1"/>
  <c r="Y25" i="61" s="1"/>
  <c r="I22" i="61"/>
  <c r="J22" i="61" s="1"/>
  <c r="T22" i="61"/>
  <c r="X22" i="61" s="1"/>
  <c r="Y22" i="61" s="1"/>
  <c r="I18" i="61"/>
  <c r="J18" i="61" s="1"/>
  <c r="T18" i="61"/>
  <c r="X18" i="61" s="1"/>
  <c r="Y18" i="61" s="1"/>
  <c r="I27" i="61"/>
  <c r="J27" i="61" s="1"/>
  <c r="T27" i="61"/>
  <c r="X27" i="61" s="1"/>
  <c r="Y27" i="61" s="1"/>
  <c r="I13" i="61"/>
  <c r="J13" i="61" s="1"/>
  <c r="T13" i="61"/>
  <c r="I15" i="61"/>
  <c r="J15" i="61" s="1"/>
  <c r="T15" i="61"/>
  <c r="X15" i="61" s="1"/>
  <c r="Y15" i="61" s="1"/>
  <c r="I19" i="61"/>
  <c r="J19" i="61" s="1"/>
  <c r="T19" i="61"/>
  <c r="X19" i="61" s="1"/>
  <c r="Y19" i="61" s="1"/>
  <c r="I20" i="61"/>
  <c r="J20" i="61" s="1"/>
  <c r="T20" i="61"/>
  <c r="X20" i="61" s="1"/>
  <c r="Y20" i="61" s="1"/>
  <c r="I16" i="61"/>
  <c r="J16" i="61" s="1"/>
  <c r="T16" i="61"/>
  <c r="X16" i="61" s="1"/>
  <c r="I17" i="61"/>
  <c r="J17" i="61" s="1"/>
  <c r="T17" i="61"/>
  <c r="X17" i="61" s="1"/>
  <c r="Y17" i="61" s="1"/>
  <c r="I26" i="61"/>
  <c r="J26" i="61" s="1"/>
  <c r="T26" i="61"/>
  <c r="X26" i="61" s="1"/>
  <c r="Y26" i="61" s="1"/>
  <c r="Y102" i="60"/>
  <c r="Y104" i="60"/>
  <c r="Y102" i="59"/>
  <c r="Y105" i="59" s="1"/>
  <c r="B91" i="105"/>
  <c r="I91" i="105" s="1"/>
  <c r="J41" i="105"/>
  <c r="J50" i="105" s="1"/>
  <c r="E50" i="105"/>
  <c r="T58" i="105"/>
  <c r="X59" i="105" s="1"/>
  <c r="X71" i="105" s="1"/>
  <c r="Y71" i="105" s="1"/>
  <c r="T64" i="105"/>
  <c r="X65" i="105" s="1"/>
  <c r="X70" i="105" s="1"/>
  <c r="Y70" i="105" s="1"/>
  <c r="T52" i="105"/>
  <c r="X53" i="105" s="1"/>
  <c r="T61" i="105"/>
  <c r="X62" i="105" s="1"/>
  <c r="X67" i="105" s="1"/>
  <c r="Y67" i="105" s="1"/>
  <c r="E28" i="105"/>
  <c r="O56" i="54" s="1" a="1"/>
  <c r="O56" i="54" s="1"/>
  <c r="I13" i="105"/>
  <c r="J16" i="105"/>
  <c r="B92" i="105"/>
  <c r="I92" i="105" s="1"/>
  <c r="S90" i="105"/>
  <c r="X28" i="105"/>
  <c r="Y28" i="105"/>
  <c r="Y33" i="105" s="1"/>
  <c r="Y28" i="104"/>
  <c r="Y33" i="104" s="1"/>
  <c r="J16" i="104"/>
  <c r="B92" i="104"/>
  <c r="I92" i="104" s="1"/>
  <c r="I12" i="104"/>
  <c r="E28" i="104"/>
  <c r="O55" i="54" s="1" a="1"/>
  <c r="O55" i="54" s="1"/>
  <c r="X90" i="104"/>
  <c r="Y93" i="104" s="1"/>
  <c r="S93" i="104"/>
  <c r="B91" i="104"/>
  <c r="I91" i="104" s="1"/>
  <c r="J41" i="104"/>
  <c r="J50" i="104" s="1"/>
  <c r="E50" i="104"/>
  <c r="T52" i="104"/>
  <c r="X53" i="104" s="1"/>
  <c r="T58" i="104"/>
  <c r="X59" i="104" s="1"/>
  <c r="X71" i="104" s="1"/>
  <c r="Y71" i="104" s="1"/>
  <c r="T61" i="104"/>
  <c r="X62" i="104" s="1"/>
  <c r="X67" i="104" s="1"/>
  <c r="Y67" i="104" s="1"/>
  <c r="T64" i="104"/>
  <c r="X65" i="104" s="1"/>
  <c r="X70" i="104" s="1"/>
  <c r="Y70" i="104" s="1"/>
  <c r="J16" i="103"/>
  <c r="B92" i="103"/>
  <c r="I92" i="103" s="1"/>
  <c r="E28" i="103"/>
  <c r="O54" i="54" s="1" a="1"/>
  <c r="O54" i="54" s="1"/>
  <c r="I13" i="103"/>
  <c r="X28" i="103"/>
  <c r="S90" i="103"/>
  <c r="Y28" i="103"/>
  <c r="Y33" i="103" s="1"/>
  <c r="E50" i="103"/>
  <c r="J41" i="103"/>
  <c r="J50" i="103" s="1"/>
  <c r="Y14" i="102"/>
  <c r="J41" i="102"/>
  <c r="J50" i="102" s="1"/>
  <c r="E50" i="102"/>
  <c r="I16" i="102"/>
  <c r="T16" i="102"/>
  <c r="X16" i="102" s="1"/>
  <c r="I26" i="102"/>
  <c r="J26" i="102" s="1"/>
  <c r="T26" i="102"/>
  <c r="X26" i="102" s="1"/>
  <c r="Y26" i="102" s="1"/>
  <c r="T22" i="102"/>
  <c r="X22" i="102" s="1"/>
  <c r="Y22" i="102" s="1"/>
  <c r="I22" i="102"/>
  <c r="J22" i="102" s="1"/>
  <c r="T13" i="102"/>
  <c r="X13" i="102" s="1"/>
  <c r="Y13" i="102" s="1"/>
  <c r="I13" i="102"/>
  <c r="J13" i="102" s="1"/>
  <c r="T19" i="102"/>
  <c r="X19" i="102" s="1"/>
  <c r="Y19" i="102" s="1"/>
  <c r="I19" i="102"/>
  <c r="J19" i="102" s="1"/>
  <c r="T12" i="102"/>
  <c r="I12" i="102"/>
  <c r="E28" i="102"/>
  <c r="O53" i="54" s="1" a="1"/>
  <c r="O53" i="54" s="1"/>
  <c r="T25" i="102"/>
  <c r="X25" i="102" s="1"/>
  <c r="Y25" i="102" s="1"/>
  <c r="I25" i="102"/>
  <c r="J25" i="102" s="1"/>
  <c r="T15" i="102"/>
  <c r="X15" i="102" s="1"/>
  <c r="Y15" i="102" s="1"/>
  <c r="I15" i="102"/>
  <c r="E28" i="101"/>
  <c r="O52" i="54" s="1" a="1"/>
  <c r="O52" i="54" s="1"/>
  <c r="I12" i="101"/>
  <c r="Y104" i="101"/>
  <c r="Y102" i="101"/>
  <c r="J41" i="101"/>
  <c r="J50" i="101" s="1"/>
  <c r="E50" i="101"/>
  <c r="S90" i="100"/>
  <c r="X90" i="100" s="1"/>
  <c r="Y93" i="100" s="1"/>
  <c r="X28" i="100"/>
  <c r="V33" i="100" s="1"/>
  <c r="X56" i="100" s="1"/>
  <c r="X86" i="100" s="1"/>
  <c r="Y86" i="100" s="1"/>
  <c r="Y28" i="100"/>
  <c r="Y33" i="100" s="1"/>
  <c r="J16" i="100"/>
  <c r="B92" i="100"/>
  <c r="I92" i="100" s="1"/>
  <c r="J41" i="100"/>
  <c r="J50" i="100" s="1"/>
  <c r="E50" i="100"/>
  <c r="B91" i="100"/>
  <c r="I91" i="100" s="1"/>
  <c r="I12" i="100"/>
  <c r="E28" i="100"/>
  <c r="O51" i="54" s="1" a="1"/>
  <c r="O51" i="54" s="1"/>
  <c r="E50" i="99"/>
  <c r="J41" i="99"/>
  <c r="J50" i="99" s="1"/>
  <c r="T64" i="99"/>
  <c r="X65" i="99" s="1"/>
  <c r="X70" i="99" s="1"/>
  <c r="Y70" i="99" s="1"/>
  <c r="T61" i="99"/>
  <c r="X62" i="99" s="1"/>
  <c r="X67" i="99" s="1"/>
  <c r="Y67" i="99" s="1"/>
  <c r="T58" i="99"/>
  <c r="X59" i="99" s="1"/>
  <c r="X71" i="99" s="1"/>
  <c r="Y71" i="99" s="1"/>
  <c r="T52" i="99"/>
  <c r="X53" i="99" s="1"/>
  <c r="I12" i="99"/>
  <c r="E28" i="99"/>
  <c r="O50" i="54" s="1" a="1"/>
  <c r="O50" i="54" s="1"/>
  <c r="Y102" i="99"/>
  <c r="Y104" i="99"/>
  <c r="B91" i="99"/>
  <c r="I91" i="99" s="1"/>
  <c r="J16" i="99"/>
  <c r="B92" i="99"/>
  <c r="I92" i="99" s="1"/>
  <c r="X90" i="99"/>
  <c r="Y93" i="99" s="1"/>
  <c r="S93" i="99"/>
  <c r="Y28" i="99"/>
  <c r="Y33" i="99" s="1"/>
  <c r="T64" i="98"/>
  <c r="X65" i="98" s="1"/>
  <c r="X70" i="98" s="1"/>
  <c r="Y70" i="98" s="1"/>
  <c r="X53" i="98"/>
  <c r="T61" i="98"/>
  <c r="X62" i="98" s="1"/>
  <c r="X67" i="98" s="1"/>
  <c r="Y67" i="98" s="1"/>
  <c r="T58" i="98"/>
  <c r="X59" i="98" s="1"/>
  <c r="X71" i="98" s="1"/>
  <c r="Y71" i="98" s="1"/>
  <c r="B91" i="98"/>
  <c r="I91" i="98" s="1"/>
  <c r="E28" i="98"/>
  <c r="O49" i="54" s="1" a="1"/>
  <c r="O49" i="54" s="1"/>
  <c r="I12" i="98"/>
  <c r="X90" i="98"/>
  <c r="Y93" i="98" s="1"/>
  <c r="S93" i="98"/>
  <c r="J16" i="98"/>
  <c r="B92" i="98"/>
  <c r="I92" i="98" s="1"/>
  <c r="Y28" i="98"/>
  <c r="Y33" i="98" s="1"/>
  <c r="J41" i="98"/>
  <c r="J50" i="98" s="1"/>
  <c r="E50" i="98"/>
  <c r="T64" i="97"/>
  <c r="X65" i="97" s="1"/>
  <c r="X70" i="97" s="1"/>
  <c r="Y70" i="97" s="1"/>
  <c r="T52" i="97"/>
  <c r="X53" i="97" s="1"/>
  <c r="T61" i="97"/>
  <c r="X62" i="97" s="1"/>
  <c r="X67" i="97" s="1"/>
  <c r="Y67" i="97" s="1"/>
  <c r="T58" i="97"/>
  <c r="X59" i="97" s="1"/>
  <c r="X71" i="97" s="1"/>
  <c r="Y71" i="97" s="1"/>
  <c r="B91" i="97"/>
  <c r="I91" i="97" s="1"/>
  <c r="J41" i="97"/>
  <c r="J50" i="97" s="1"/>
  <c r="E50" i="97"/>
  <c r="I12" i="97"/>
  <c r="E28" i="97"/>
  <c r="X90" i="97"/>
  <c r="Y93" i="97" s="1"/>
  <c r="S93" i="97"/>
  <c r="J16" i="97"/>
  <c r="B92" i="97"/>
  <c r="I92" i="97" s="1"/>
  <c r="Y28" i="97"/>
  <c r="B91" i="96"/>
  <c r="I91" i="96" s="1"/>
  <c r="T64" i="96"/>
  <c r="X65" i="96" s="1"/>
  <c r="X70" i="96" s="1"/>
  <c r="Y70" i="96" s="1"/>
  <c r="T61" i="96"/>
  <c r="X62" i="96" s="1"/>
  <c r="X67" i="96" s="1"/>
  <c r="Y67" i="96" s="1"/>
  <c r="T58" i="96"/>
  <c r="X59" i="96" s="1"/>
  <c r="X71" i="96" s="1"/>
  <c r="Y71" i="96" s="1"/>
  <c r="S90" i="96"/>
  <c r="S93" i="96" s="1"/>
  <c r="X90" i="96"/>
  <c r="Y93" i="96" s="1"/>
  <c r="X87" i="96"/>
  <c r="Y87" i="96" s="1"/>
  <c r="X69" i="96"/>
  <c r="J16" i="96"/>
  <c r="B92" i="96"/>
  <c r="I92" i="96" s="1"/>
  <c r="I12" i="96"/>
  <c r="E28" i="96"/>
  <c r="O47" i="54" s="1" a="1"/>
  <c r="O47" i="54" s="1"/>
  <c r="Y28" i="96"/>
  <c r="Y102" i="96"/>
  <c r="Y105" i="96" s="1"/>
  <c r="J41" i="96"/>
  <c r="J50" i="96" s="1"/>
  <c r="E50" i="96"/>
  <c r="S90" i="95"/>
  <c r="X90" i="95" s="1"/>
  <c r="Y93" i="95" s="1"/>
  <c r="Y104" i="95"/>
  <c r="Y102" i="95"/>
  <c r="J41" i="95"/>
  <c r="J50" i="95" s="1"/>
  <c r="E50" i="95"/>
  <c r="Y28" i="95"/>
  <c r="Y33" i="95" s="1"/>
  <c r="B91" i="95"/>
  <c r="I91" i="95" s="1"/>
  <c r="J16" i="95"/>
  <c r="B92" i="95"/>
  <c r="I92" i="95" s="1"/>
  <c r="X28" i="95"/>
  <c r="I12" i="95"/>
  <c r="E28" i="95"/>
  <c r="O46" i="54" s="1" a="1"/>
  <c r="O46" i="54" s="1"/>
  <c r="J16" i="94"/>
  <c r="B92" i="94"/>
  <c r="I92" i="94" s="1"/>
  <c r="Y28" i="94"/>
  <c r="B91" i="94"/>
  <c r="I91" i="94" s="1"/>
  <c r="E50" i="94"/>
  <c r="J41" i="94"/>
  <c r="J50" i="94" s="1"/>
  <c r="E28" i="94"/>
  <c r="O45" i="54" s="1" a="1"/>
  <c r="O45" i="54" s="1"/>
  <c r="I12" i="94"/>
  <c r="X28" i="94"/>
  <c r="S90" i="94"/>
  <c r="J16" i="93"/>
  <c r="B92" i="93"/>
  <c r="I92" i="93" s="1"/>
  <c r="X90" i="93"/>
  <c r="Y93" i="93" s="1"/>
  <c r="S93" i="93"/>
  <c r="E28" i="93"/>
  <c r="O44" i="54" s="1" a="1"/>
  <c r="O44" i="54" s="1"/>
  <c r="I12" i="93"/>
  <c r="E50" i="93"/>
  <c r="J41" i="93"/>
  <c r="J50" i="93" s="1"/>
  <c r="Y28" i="93"/>
  <c r="Y33" i="93" s="1"/>
  <c r="B91" i="93"/>
  <c r="I91" i="93" s="1"/>
  <c r="T58" i="93"/>
  <c r="X59" i="93" s="1"/>
  <c r="X71" i="93" s="1"/>
  <c r="Y71" i="93" s="1"/>
  <c r="T61" i="93"/>
  <c r="X62" i="93" s="1"/>
  <c r="X67" i="93" s="1"/>
  <c r="Y67" i="93" s="1"/>
  <c r="T64" i="93"/>
  <c r="X65" i="93" s="1"/>
  <c r="X70" i="93" s="1"/>
  <c r="Y70" i="93" s="1"/>
  <c r="T52" i="93"/>
  <c r="X53" i="93" s="1"/>
  <c r="T64" i="92"/>
  <c r="X65" i="92" s="1"/>
  <c r="X70" i="92" s="1"/>
  <c r="Y70" i="92" s="1"/>
  <c r="T58" i="92"/>
  <c r="X59" i="92" s="1"/>
  <c r="X71" i="92" s="1"/>
  <c r="Y71" i="92" s="1"/>
  <c r="T52" i="92"/>
  <c r="X53" i="92" s="1"/>
  <c r="X87" i="92" s="1"/>
  <c r="Y87" i="92" s="1"/>
  <c r="S90" i="92"/>
  <c r="Y104" i="92"/>
  <c r="Y102" i="92"/>
  <c r="J16" i="92"/>
  <c r="B92" i="92"/>
  <c r="I92" i="92" s="1"/>
  <c r="B91" i="92"/>
  <c r="I91" i="92" s="1"/>
  <c r="J41" i="92"/>
  <c r="J50" i="92" s="1"/>
  <c r="E50" i="92"/>
  <c r="I12" i="92"/>
  <c r="E28" i="92"/>
  <c r="O43" i="54" s="1" a="1"/>
  <c r="O43" i="54" s="1"/>
  <c r="T52" i="91"/>
  <c r="X53" i="91" s="1"/>
  <c r="X69" i="91" s="1"/>
  <c r="T64" i="91"/>
  <c r="X65" i="91" s="1"/>
  <c r="X70" i="91" s="1"/>
  <c r="Y70" i="91" s="1"/>
  <c r="T61" i="91"/>
  <c r="X62" i="91" s="1"/>
  <c r="X67" i="91" s="1"/>
  <c r="Y67" i="91" s="1"/>
  <c r="Y71" i="91"/>
  <c r="J16" i="91"/>
  <c r="B92" i="91"/>
  <c r="I92" i="91" s="1"/>
  <c r="B91" i="91"/>
  <c r="I91" i="91" s="1"/>
  <c r="Y104" i="91"/>
  <c r="Y102" i="91"/>
  <c r="J41" i="91"/>
  <c r="J50" i="91" s="1"/>
  <c r="E50" i="91"/>
  <c r="S90" i="91"/>
  <c r="X28" i="91"/>
  <c r="V33" i="91" s="1"/>
  <c r="Y28" i="91"/>
  <c r="Y33" i="91" s="1"/>
  <c r="I12" i="91"/>
  <c r="E28" i="91"/>
  <c r="O42" i="54" s="1" a="1"/>
  <c r="O42" i="54" s="1"/>
  <c r="B91" i="90"/>
  <c r="I91" i="90" s="1"/>
  <c r="X90" i="90"/>
  <c r="Y93" i="90" s="1"/>
  <c r="S93" i="90"/>
  <c r="Y28" i="90"/>
  <c r="Y33" i="90" s="1"/>
  <c r="T64" i="90"/>
  <c r="X65" i="90" s="1"/>
  <c r="X70" i="90" s="1"/>
  <c r="Y70" i="90" s="1"/>
  <c r="T52" i="90"/>
  <c r="X53" i="90" s="1"/>
  <c r="T58" i="90"/>
  <c r="X59" i="90" s="1"/>
  <c r="X71" i="90" s="1"/>
  <c r="Y71" i="90" s="1"/>
  <c r="T61" i="90"/>
  <c r="X62" i="90" s="1"/>
  <c r="X67" i="90" s="1"/>
  <c r="Y67" i="90" s="1"/>
  <c r="J41" i="90"/>
  <c r="J50" i="90" s="1"/>
  <c r="E50" i="90"/>
  <c r="I12" i="90"/>
  <c r="E28" i="90"/>
  <c r="O41" i="54" s="1" a="1"/>
  <c r="O41" i="54" s="1"/>
  <c r="J16" i="90"/>
  <c r="B92" i="90"/>
  <c r="I92" i="90" s="1"/>
  <c r="B91" i="89"/>
  <c r="I91" i="89" s="1"/>
  <c r="J41" i="89"/>
  <c r="J50" i="89" s="1"/>
  <c r="E50" i="89"/>
  <c r="I12" i="89"/>
  <c r="E28" i="89"/>
  <c r="O40" i="54" s="1" a="1"/>
  <c r="O40" i="54" s="1"/>
  <c r="J16" i="89"/>
  <c r="B92" i="89"/>
  <c r="I92" i="89" s="1"/>
  <c r="S90" i="89"/>
  <c r="X28" i="89"/>
  <c r="X87" i="89"/>
  <c r="Y87" i="89" s="1"/>
  <c r="X69" i="89"/>
  <c r="X28" i="88"/>
  <c r="Y28" i="88"/>
  <c r="Y33" i="88" s="1"/>
  <c r="B91" i="88"/>
  <c r="I91" i="88" s="1"/>
  <c r="J16" i="88"/>
  <c r="B92" i="88"/>
  <c r="I92" i="88" s="1"/>
  <c r="X87" i="88"/>
  <c r="Y87" i="88" s="1"/>
  <c r="X69" i="88"/>
  <c r="I12" i="88"/>
  <c r="E28" i="88"/>
  <c r="J41" i="88"/>
  <c r="J50" i="88" s="1"/>
  <c r="E50" i="88"/>
  <c r="B91" i="87"/>
  <c r="I91" i="87" s="1"/>
  <c r="S91" i="87"/>
  <c r="X91" i="87" s="1"/>
  <c r="Y14" i="87"/>
  <c r="Y28" i="87" s="1"/>
  <c r="Y33" i="87" s="1"/>
  <c r="J16" i="87"/>
  <c r="B92" i="87"/>
  <c r="I92" i="87" s="1"/>
  <c r="J41" i="87"/>
  <c r="J50" i="87" s="1"/>
  <c r="E50" i="87"/>
  <c r="X90" i="87"/>
  <c r="X87" i="87"/>
  <c r="Y87" i="87" s="1"/>
  <c r="X69" i="87"/>
  <c r="E28" i="87"/>
  <c r="O38" i="54" s="1" a="1"/>
  <c r="O38" i="54" s="1"/>
  <c r="I12" i="87"/>
  <c r="X28" i="87"/>
  <c r="T58" i="86"/>
  <c r="X59" i="86" s="1"/>
  <c r="X71" i="86" s="1"/>
  <c r="Y71" i="86" s="1"/>
  <c r="B91" i="86"/>
  <c r="I91" i="86" s="1"/>
  <c r="X87" i="86"/>
  <c r="Y87" i="86" s="1"/>
  <c r="X69" i="86"/>
  <c r="Y104" i="86"/>
  <c r="Y102" i="86"/>
  <c r="X28" i="86"/>
  <c r="J41" i="86"/>
  <c r="J50" i="86" s="1"/>
  <c r="E50" i="86"/>
  <c r="S90" i="86"/>
  <c r="E28" i="86"/>
  <c r="O37" i="54" s="1" a="1"/>
  <c r="O37" i="54" s="1"/>
  <c r="I12" i="86"/>
  <c r="J16" i="86"/>
  <c r="B92" i="86"/>
  <c r="I92" i="86" s="1"/>
  <c r="Y28" i="86"/>
  <c r="Y33" i="86" s="1"/>
  <c r="T64" i="85"/>
  <c r="X65" i="85" s="1"/>
  <c r="X70" i="85" s="1"/>
  <c r="Y70" i="85" s="1"/>
  <c r="E50" i="85"/>
  <c r="J41" i="85"/>
  <c r="J50" i="85" s="1"/>
  <c r="X28" i="85"/>
  <c r="B91" i="85"/>
  <c r="I91" i="85" s="1"/>
  <c r="E28" i="85"/>
  <c r="O36" i="54" s="1" a="1"/>
  <c r="O36" i="54" s="1"/>
  <c r="I12" i="85"/>
  <c r="S90" i="85"/>
  <c r="J16" i="85"/>
  <c r="B92" i="85"/>
  <c r="I92" i="85" s="1"/>
  <c r="Y28" i="85"/>
  <c r="T61" i="84"/>
  <c r="X62" i="84" s="1"/>
  <c r="X67" i="84" s="1"/>
  <c r="Y67" i="84" s="1"/>
  <c r="B91" i="84"/>
  <c r="I91" i="84" s="1"/>
  <c r="Y28" i="84"/>
  <c r="Y33" i="84" s="1"/>
  <c r="T52" i="84"/>
  <c r="X53" i="84" s="1"/>
  <c r="X87" i="84" s="1"/>
  <c r="Y87" i="84" s="1"/>
  <c r="T58" i="84"/>
  <c r="X59" i="84" s="1"/>
  <c r="X71" i="84" s="1"/>
  <c r="Y71" i="84" s="1"/>
  <c r="J41" i="84"/>
  <c r="J50" i="84" s="1"/>
  <c r="E50" i="84"/>
  <c r="E28" i="84"/>
  <c r="I12" i="84"/>
  <c r="X90" i="84"/>
  <c r="Y93" i="84" s="1"/>
  <c r="S93" i="84"/>
  <c r="J16" i="84"/>
  <c r="B92" i="84"/>
  <c r="I92" i="84" s="1"/>
  <c r="B91" i="83"/>
  <c r="I91" i="83" s="1"/>
  <c r="S90" i="83"/>
  <c r="S93" i="83" s="1"/>
  <c r="X28" i="83"/>
  <c r="J16" i="83"/>
  <c r="J28" i="83" s="1"/>
  <c r="B92" i="83"/>
  <c r="I92" i="83" s="1"/>
  <c r="I28" i="83"/>
  <c r="G33" i="83" s="1"/>
  <c r="E56" i="83" s="1"/>
  <c r="E28" i="83"/>
  <c r="O34" i="54" s="1" a="1"/>
  <c r="O34" i="54" s="1"/>
  <c r="B90" i="83"/>
  <c r="Y28" i="83"/>
  <c r="Y33" i="83" s="1"/>
  <c r="T58" i="83"/>
  <c r="X59" i="83" s="1"/>
  <c r="X71" i="83" s="1"/>
  <c r="Y71" i="83" s="1"/>
  <c r="T64" i="83"/>
  <c r="X65" i="83" s="1"/>
  <c r="X70" i="83" s="1"/>
  <c r="Y70" i="83" s="1"/>
  <c r="T52" i="83"/>
  <c r="X53" i="83" s="1"/>
  <c r="T61" i="83"/>
  <c r="X62" i="83" s="1"/>
  <c r="X67" i="83" s="1"/>
  <c r="Y67" i="83" s="1"/>
  <c r="J41" i="83"/>
  <c r="J50" i="83" s="1"/>
  <c r="E50" i="83"/>
  <c r="B91" i="82"/>
  <c r="I91" i="82" s="1"/>
  <c r="J16" i="82"/>
  <c r="B92" i="82"/>
  <c r="I92" i="82" s="1"/>
  <c r="X69" i="82"/>
  <c r="X87" i="82"/>
  <c r="Y87" i="82" s="1"/>
  <c r="Y28" i="82"/>
  <c r="Y33" i="82" s="1"/>
  <c r="S90" i="82"/>
  <c r="J41" i="82"/>
  <c r="J50" i="82" s="1"/>
  <c r="E50" i="82"/>
  <c r="X28" i="82"/>
  <c r="V33" i="82" s="1"/>
  <c r="I12" i="82"/>
  <c r="E28" i="82"/>
  <c r="O33" i="54" s="1" a="1"/>
  <c r="O33" i="54" s="1"/>
  <c r="I12" i="81"/>
  <c r="E28" i="81"/>
  <c r="O32" i="54" s="1" a="1"/>
  <c r="O32" i="54" s="1"/>
  <c r="X28" i="81"/>
  <c r="V33" i="81" s="1"/>
  <c r="X56" i="81" s="1"/>
  <c r="X87" i="81"/>
  <c r="Y87" i="81" s="1"/>
  <c r="X69" i="81"/>
  <c r="J16" i="81"/>
  <c r="B92" i="81"/>
  <c r="I92" i="81" s="1"/>
  <c r="J41" i="81"/>
  <c r="J50" i="81" s="1"/>
  <c r="E50" i="81"/>
  <c r="B91" i="81"/>
  <c r="I91" i="81" s="1"/>
  <c r="S90" i="81"/>
  <c r="Y28" i="81"/>
  <c r="Y33" i="81" s="1"/>
  <c r="Y71" i="81"/>
  <c r="I12" i="80"/>
  <c r="E28" i="80"/>
  <c r="O31" i="54" s="1" a="1"/>
  <c r="O31" i="54" s="1"/>
  <c r="Y102" i="80"/>
  <c r="Y105" i="80" s="1"/>
  <c r="Y28" i="80"/>
  <c r="X87" i="80"/>
  <c r="Y87" i="80" s="1"/>
  <c r="X69" i="80"/>
  <c r="J41" i="80"/>
  <c r="J50" i="80" s="1"/>
  <c r="E50" i="80"/>
  <c r="J16" i="80"/>
  <c r="B92" i="80"/>
  <c r="I92" i="80" s="1"/>
  <c r="T52" i="79"/>
  <c r="X53" i="79" s="1"/>
  <c r="X87" i="79" s="1"/>
  <c r="Y87" i="79" s="1"/>
  <c r="T58" i="79"/>
  <c r="X59" i="79" s="1"/>
  <c r="X71" i="79" s="1"/>
  <c r="Y71" i="79" s="1"/>
  <c r="T64" i="79"/>
  <c r="X65" i="79" s="1"/>
  <c r="X70" i="79" s="1"/>
  <c r="Y70" i="79" s="1"/>
  <c r="J16" i="79"/>
  <c r="B92" i="79"/>
  <c r="I92" i="79" s="1"/>
  <c r="Y28" i="79"/>
  <c r="Y33" i="79" s="1"/>
  <c r="X28" i="79"/>
  <c r="B91" i="79"/>
  <c r="I91" i="79" s="1"/>
  <c r="S90" i="79"/>
  <c r="J41" i="79"/>
  <c r="J50" i="79" s="1"/>
  <c r="E50" i="79"/>
  <c r="I12" i="79"/>
  <c r="E28" i="79"/>
  <c r="O30" i="54" s="1" a="1"/>
  <c r="O30" i="54" s="1"/>
  <c r="T52" i="78"/>
  <c r="X53" i="78" s="1"/>
  <c r="T58" i="78"/>
  <c r="X59" i="78" s="1"/>
  <c r="X71" i="78" s="1"/>
  <c r="Y71" i="78" s="1"/>
  <c r="T64" i="78"/>
  <c r="X65" i="78" s="1"/>
  <c r="X70" i="78" s="1"/>
  <c r="Y70" i="78" s="1"/>
  <c r="T61" i="78"/>
  <c r="X62" i="78" s="1"/>
  <c r="X67" i="78" s="1"/>
  <c r="Y67" i="78" s="1"/>
  <c r="I12" i="78"/>
  <c r="E28" i="78"/>
  <c r="O29" i="54" s="1" a="1"/>
  <c r="O29" i="54" s="1"/>
  <c r="X90" i="78"/>
  <c r="Y93" i="78" s="1"/>
  <c r="S93" i="78"/>
  <c r="Y28" i="78"/>
  <c r="Y33" i="78" s="1"/>
  <c r="B91" i="78"/>
  <c r="I91" i="78" s="1"/>
  <c r="J16" i="78"/>
  <c r="B92" i="78"/>
  <c r="I92" i="78" s="1"/>
  <c r="J41" i="78"/>
  <c r="J50" i="78" s="1"/>
  <c r="E50" i="78"/>
  <c r="J41" i="77"/>
  <c r="J50" i="77" s="1"/>
  <c r="E50" i="77"/>
  <c r="T15" i="77"/>
  <c r="X15" i="77" s="1"/>
  <c r="I15" i="77"/>
  <c r="J15" i="77" s="1"/>
  <c r="I22" i="77"/>
  <c r="J22" i="77" s="1"/>
  <c r="T22" i="77"/>
  <c r="X22" i="77" s="1"/>
  <c r="Y22" i="77" s="1"/>
  <c r="I12" i="77"/>
  <c r="E28" i="77"/>
  <c r="O28" i="54" s="1" a="1"/>
  <c r="O28" i="54" s="1"/>
  <c r="Y102" i="77"/>
  <c r="T25" i="77"/>
  <c r="X25" i="77" s="1"/>
  <c r="Y25" i="77" s="1"/>
  <c r="I25" i="77"/>
  <c r="J25" i="77" s="1"/>
  <c r="I27" i="77"/>
  <c r="J27" i="77" s="1"/>
  <c r="T27" i="77"/>
  <c r="X27" i="77" s="1"/>
  <c r="Y27" i="77" s="1"/>
  <c r="I13" i="77"/>
  <c r="J13" i="77" s="1"/>
  <c r="T13" i="77"/>
  <c r="X13" i="77" s="1"/>
  <c r="Y13" i="77" s="1"/>
  <c r="I26" i="77"/>
  <c r="J26" i="77" s="1"/>
  <c r="T26" i="77"/>
  <c r="X26" i="77" s="1"/>
  <c r="Y26" i="77" s="1"/>
  <c r="I17" i="77"/>
  <c r="J17" i="77" s="1"/>
  <c r="T17" i="77"/>
  <c r="X17" i="77" s="1"/>
  <c r="Y17" i="77" s="1"/>
  <c r="I16" i="77"/>
  <c r="T16" i="77"/>
  <c r="X16" i="77" s="1"/>
  <c r="I18" i="77"/>
  <c r="J18" i="77" s="1"/>
  <c r="T18" i="77"/>
  <c r="X18" i="77" s="1"/>
  <c r="Y18" i="77" s="1"/>
  <c r="T19" i="77"/>
  <c r="X19" i="77" s="1"/>
  <c r="Y19" i="77" s="1"/>
  <c r="I19" i="77"/>
  <c r="J19" i="77" s="1"/>
  <c r="T21" i="77"/>
  <c r="X21" i="77" s="1"/>
  <c r="Y21" i="77" s="1"/>
  <c r="I21" i="77"/>
  <c r="J21" i="77" s="1"/>
  <c r="Y104" i="76"/>
  <c r="Y102" i="76"/>
  <c r="I12" i="76"/>
  <c r="E28" i="76"/>
  <c r="O27" i="54" s="1" a="1"/>
  <c r="O27" i="54" s="1"/>
  <c r="J41" i="76"/>
  <c r="J50" i="76" s="1"/>
  <c r="E50" i="76"/>
  <c r="T61" i="75"/>
  <c r="X62" i="75" s="1"/>
  <c r="X67" i="75" s="1"/>
  <c r="Y67" i="75" s="1"/>
  <c r="T64" i="75"/>
  <c r="X65" i="75" s="1"/>
  <c r="X70" i="75" s="1"/>
  <c r="Y70" i="75" s="1"/>
  <c r="T58" i="75"/>
  <c r="X59" i="75" s="1"/>
  <c r="X71" i="75" s="1"/>
  <c r="Y71" i="75" s="1"/>
  <c r="S90" i="75"/>
  <c r="X90" i="75" s="1"/>
  <c r="Y93" i="75" s="1"/>
  <c r="X28" i="75"/>
  <c r="Y28" i="75"/>
  <c r="Y33" i="75" s="1"/>
  <c r="I12" i="75"/>
  <c r="E28" i="75"/>
  <c r="O26" i="54" s="1" a="1"/>
  <c r="O26" i="54" s="1"/>
  <c r="Y104" i="75"/>
  <c r="Y102" i="75"/>
  <c r="Y83" i="75"/>
  <c r="X87" i="75"/>
  <c r="Y87" i="75" s="1"/>
  <c r="X69" i="75"/>
  <c r="B91" i="75"/>
  <c r="I91" i="75" s="1"/>
  <c r="J16" i="75"/>
  <c r="B92" i="75"/>
  <c r="I92" i="75" s="1"/>
  <c r="J41" i="75"/>
  <c r="J50" i="75" s="1"/>
  <c r="E50" i="75"/>
  <c r="J16" i="74"/>
  <c r="B92" i="74"/>
  <c r="I92" i="74" s="1"/>
  <c r="B91" i="74"/>
  <c r="I91" i="74" s="1"/>
  <c r="S90" i="74"/>
  <c r="X28" i="74"/>
  <c r="J41" i="74"/>
  <c r="J50" i="74" s="1"/>
  <c r="E50" i="74"/>
  <c r="I12" i="74"/>
  <c r="E28" i="74"/>
  <c r="O25" i="54" s="1" a="1"/>
  <c r="O25" i="54" s="1"/>
  <c r="Y102" i="74"/>
  <c r="Y105" i="74" s="1"/>
  <c r="X69" i="74"/>
  <c r="X87" i="74"/>
  <c r="Y87" i="74" s="1"/>
  <c r="Y28" i="74"/>
  <c r="Y33" i="74" s="1"/>
  <c r="Y28" i="73"/>
  <c r="Y33" i="73" s="1"/>
  <c r="S91" i="73"/>
  <c r="X91" i="73" s="1"/>
  <c r="X28" i="73"/>
  <c r="J16" i="73"/>
  <c r="B92" i="73"/>
  <c r="I92" i="73" s="1"/>
  <c r="J41" i="73"/>
  <c r="J50" i="73" s="1"/>
  <c r="E50" i="73"/>
  <c r="X87" i="73"/>
  <c r="Y87" i="73" s="1"/>
  <c r="X69" i="73"/>
  <c r="B91" i="73"/>
  <c r="I91" i="73" s="1"/>
  <c r="I12" i="73"/>
  <c r="E28" i="73"/>
  <c r="O24" i="54" s="1" a="1"/>
  <c r="O24" i="54" s="1"/>
  <c r="X90" i="73"/>
  <c r="Y104" i="73"/>
  <c r="Y102" i="73"/>
  <c r="J105" i="73"/>
  <c r="B91" i="72"/>
  <c r="I91" i="72" s="1"/>
  <c r="Y28" i="72"/>
  <c r="Y33" i="72" s="1"/>
  <c r="I12" i="72"/>
  <c r="E28" i="72"/>
  <c r="O23" i="54" s="1" a="1"/>
  <c r="O23" i="54" s="1"/>
  <c r="J41" i="72"/>
  <c r="J50" i="72" s="1"/>
  <c r="E50" i="72"/>
  <c r="J16" i="72"/>
  <c r="B92" i="72"/>
  <c r="I92" i="72" s="1"/>
  <c r="Y102" i="72"/>
  <c r="Y104" i="72"/>
  <c r="Y28" i="71"/>
  <c r="Y33" i="71" s="1"/>
  <c r="J16" i="71"/>
  <c r="B92" i="71"/>
  <c r="I92" i="71" s="1"/>
  <c r="Y102" i="71"/>
  <c r="Y104" i="71"/>
  <c r="B91" i="71"/>
  <c r="I91" i="71" s="1"/>
  <c r="E28" i="71"/>
  <c r="I12" i="71"/>
  <c r="T64" i="71"/>
  <c r="X65" i="71" s="1"/>
  <c r="X70" i="71" s="1"/>
  <c r="Y70" i="71" s="1"/>
  <c r="T52" i="71"/>
  <c r="X53" i="71" s="1"/>
  <c r="T58" i="71"/>
  <c r="X59" i="71" s="1"/>
  <c r="X71" i="71" s="1"/>
  <c r="Y71" i="71" s="1"/>
  <c r="T61" i="71"/>
  <c r="X62" i="71" s="1"/>
  <c r="X67" i="71" s="1"/>
  <c r="Y67" i="71" s="1"/>
  <c r="J41" i="71"/>
  <c r="J50" i="71" s="1"/>
  <c r="E50" i="71"/>
  <c r="Y71" i="70"/>
  <c r="J16" i="70"/>
  <c r="B92" i="70"/>
  <c r="I92" i="70" s="1"/>
  <c r="S90" i="70"/>
  <c r="X28" i="70"/>
  <c r="J41" i="70"/>
  <c r="J50" i="70" s="1"/>
  <c r="E50" i="70"/>
  <c r="Y28" i="70"/>
  <c r="Y33" i="70" s="1"/>
  <c r="B91" i="70"/>
  <c r="I91" i="70" s="1"/>
  <c r="I12" i="70"/>
  <c r="E28" i="70"/>
  <c r="T12" i="69"/>
  <c r="E28" i="69"/>
  <c r="I12" i="69"/>
  <c r="T13" i="69"/>
  <c r="X13" i="69" s="1"/>
  <c r="Y13" i="69" s="1"/>
  <c r="I13" i="69"/>
  <c r="J13" i="69" s="1"/>
  <c r="T19" i="69"/>
  <c r="X19" i="69" s="1"/>
  <c r="Y19" i="69" s="1"/>
  <c r="I19" i="69"/>
  <c r="J19" i="69" s="1"/>
  <c r="T22" i="69"/>
  <c r="X22" i="69" s="1"/>
  <c r="Y22" i="69" s="1"/>
  <c r="I22" i="69"/>
  <c r="J22" i="69" s="1"/>
  <c r="J41" i="69"/>
  <c r="J50" i="69" s="1"/>
  <c r="E50" i="69"/>
  <c r="J14" i="69"/>
  <c r="I15" i="69"/>
  <c r="J15" i="69" s="1"/>
  <c r="T15" i="69"/>
  <c r="X15" i="69" s="1"/>
  <c r="I16" i="69"/>
  <c r="T16" i="69"/>
  <c r="X16" i="69" s="1"/>
  <c r="I25" i="69"/>
  <c r="J25" i="69" s="1"/>
  <c r="T25" i="69"/>
  <c r="X25" i="69" s="1"/>
  <c r="Y25" i="69" s="1"/>
  <c r="I26" i="69"/>
  <c r="J26" i="69" s="1"/>
  <c r="T26" i="69"/>
  <c r="X26" i="69" s="1"/>
  <c r="Y26" i="69" s="1"/>
  <c r="I26" i="68"/>
  <c r="J26" i="68" s="1"/>
  <c r="T26" i="68"/>
  <c r="X26" i="68" s="1"/>
  <c r="Y26" i="68" s="1"/>
  <c r="I13" i="68"/>
  <c r="J13" i="68" s="1"/>
  <c r="T13" i="68"/>
  <c r="X13" i="68" s="1"/>
  <c r="Y13" i="68" s="1"/>
  <c r="Y102" i="68"/>
  <c r="Y105" i="68" s="1"/>
  <c r="J41" i="68"/>
  <c r="J50" i="68" s="1"/>
  <c r="E50" i="68"/>
  <c r="T15" i="68"/>
  <c r="X15" i="68" s="1"/>
  <c r="Y15" i="68" s="1"/>
  <c r="I15" i="68"/>
  <c r="I16" i="68"/>
  <c r="T16" i="68"/>
  <c r="X16" i="68" s="1"/>
  <c r="I22" i="68"/>
  <c r="J22" i="68" s="1"/>
  <c r="T22" i="68"/>
  <c r="X22" i="68" s="1"/>
  <c r="Y22" i="68" s="1"/>
  <c r="I12" i="68"/>
  <c r="T12" i="68"/>
  <c r="E28" i="68"/>
  <c r="T25" i="68"/>
  <c r="X25" i="68" s="1"/>
  <c r="Y25" i="68" s="1"/>
  <c r="I25" i="68"/>
  <c r="J25" i="68" s="1"/>
  <c r="T19" i="67"/>
  <c r="X19" i="67" s="1"/>
  <c r="Y19" i="67" s="1"/>
  <c r="I19" i="67"/>
  <c r="J19" i="67" s="1"/>
  <c r="I25" i="67"/>
  <c r="J25" i="67" s="1"/>
  <c r="T25" i="67"/>
  <c r="X25" i="67" s="1"/>
  <c r="Y25" i="67" s="1"/>
  <c r="I26" i="67"/>
  <c r="J26" i="67" s="1"/>
  <c r="T26" i="67"/>
  <c r="X26" i="67" s="1"/>
  <c r="Y26" i="67" s="1"/>
  <c r="I16" i="67"/>
  <c r="T16" i="67"/>
  <c r="X16" i="67" s="1"/>
  <c r="T22" i="67"/>
  <c r="X22" i="67" s="1"/>
  <c r="Y22" i="67" s="1"/>
  <c r="I22" i="67"/>
  <c r="J22" i="67" s="1"/>
  <c r="T13" i="67"/>
  <c r="X13" i="67" s="1"/>
  <c r="Y13" i="67" s="1"/>
  <c r="I13" i="67"/>
  <c r="J13" i="67" s="1"/>
  <c r="J41" i="67"/>
  <c r="J50" i="67" s="1"/>
  <c r="E50" i="67"/>
  <c r="I15" i="67"/>
  <c r="T15" i="67"/>
  <c r="X15" i="67" s="1"/>
  <c r="Y15" i="67" s="1"/>
  <c r="T12" i="67"/>
  <c r="E28" i="67"/>
  <c r="O17" i="54" s="1" a="1"/>
  <c r="O17" i="54" s="1"/>
  <c r="I12" i="67"/>
  <c r="Y102" i="66"/>
  <c r="Y105" i="66" s="1"/>
  <c r="E28" i="66"/>
  <c r="O16" i="54" s="1" a="1"/>
  <c r="O16" i="54" s="1"/>
  <c r="J41" i="66"/>
  <c r="J50" i="66" s="1"/>
  <c r="E50" i="66"/>
  <c r="E28" i="65"/>
  <c r="O15" i="54" s="1" a="1"/>
  <c r="O15" i="54" s="1"/>
  <c r="I12" i="65"/>
  <c r="J16" i="65"/>
  <c r="B92" i="65"/>
  <c r="I92" i="65" s="1"/>
  <c r="X87" i="65"/>
  <c r="Y87" i="65" s="1"/>
  <c r="X69" i="65"/>
  <c r="J41" i="65"/>
  <c r="J50" i="65" s="1"/>
  <c r="E50" i="65"/>
  <c r="B91" i="65"/>
  <c r="I91" i="65" s="1"/>
  <c r="Y104" i="64"/>
  <c r="Y105" i="64" s="1"/>
  <c r="I13" i="64"/>
  <c r="J13" i="64" s="1"/>
  <c r="T13" i="64"/>
  <c r="X13" i="64" s="1"/>
  <c r="Y13" i="64" s="1"/>
  <c r="I12" i="64"/>
  <c r="E28" i="64"/>
  <c r="O14" i="54" s="1" a="1"/>
  <c r="O14" i="54" s="1"/>
  <c r="T12" i="64"/>
  <c r="T19" i="64"/>
  <c r="X19" i="64" s="1"/>
  <c r="Y19" i="64" s="1"/>
  <c r="I19" i="64"/>
  <c r="J19" i="64" s="1"/>
  <c r="Y14" i="64"/>
  <c r="I26" i="64"/>
  <c r="J26" i="64" s="1"/>
  <c r="T26" i="64"/>
  <c r="X26" i="64" s="1"/>
  <c r="Y26" i="64" s="1"/>
  <c r="I16" i="64"/>
  <c r="T16" i="64"/>
  <c r="X16" i="64" s="1"/>
  <c r="I22" i="64"/>
  <c r="J22" i="64" s="1"/>
  <c r="T22" i="64"/>
  <c r="X22" i="64" s="1"/>
  <c r="Y22" i="64" s="1"/>
  <c r="J41" i="64"/>
  <c r="J50" i="64" s="1"/>
  <c r="E50" i="64"/>
  <c r="T25" i="64"/>
  <c r="X25" i="64" s="1"/>
  <c r="Y25" i="64" s="1"/>
  <c r="I25" i="64"/>
  <c r="J25" i="64" s="1"/>
  <c r="T15" i="64"/>
  <c r="X15" i="64" s="1"/>
  <c r="Y15" i="64" s="1"/>
  <c r="I15" i="64"/>
  <c r="T21" i="64"/>
  <c r="X21" i="64" s="1"/>
  <c r="Y21" i="64" s="1"/>
  <c r="I21" i="64"/>
  <c r="J21" i="64" s="1"/>
  <c r="T13" i="63"/>
  <c r="X13" i="63" s="1"/>
  <c r="Y13" i="63" s="1"/>
  <c r="I13" i="63"/>
  <c r="J13" i="63" s="1"/>
  <c r="T21" i="63"/>
  <c r="X21" i="63" s="1"/>
  <c r="Y21" i="63" s="1"/>
  <c r="I21" i="63"/>
  <c r="J21" i="63" s="1"/>
  <c r="E50" i="63"/>
  <c r="J41" i="63"/>
  <c r="J50" i="63" s="1"/>
  <c r="T18" i="63"/>
  <c r="X18" i="63" s="1"/>
  <c r="Y18" i="63" s="1"/>
  <c r="I18" i="63"/>
  <c r="J18" i="63" s="1"/>
  <c r="I16" i="63"/>
  <c r="T16" i="63"/>
  <c r="X16" i="63" s="1"/>
  <c r="I22" i="63"/>
  <c r="J22" i="63" s="1"/>
  <c r="T22" i="63"/>
  <c r="X22" i="63" s="1"/>
  <c r="Y22" i="63" s="1"/>
  <c r="T25" i="63"/>
  <c r="X25" i="63" s="1"/>
  <c r="Y25" i="63" s="1"/>
  <c r="I25" i="63"/>
  <c r="J25" i="63" s="1"/>
  <c r="T24" i="63"/>
  <c r="X24" i="63" s="1"/>
  <c r="Y24" i="63" s="1"/>
  <c r="I24" i="63"/>
  <c r="J24" i="63" s="1"/>
  <c r="T14" i="63"/>
  <c r="X14" i="63" s="1"/>
  <c r="I14" i="63"/>
  <c r="I26" i="63"/>
  <c r="J26" i="63" s="1"/>
  <c r="T26" i="63"/>
  <c r="X26" i="63" s="1"/>
  <c r="Y26" i="63" s="1"/>
  <c r="I12" i="63"/>
  <c r="T12" i="63"/>
  <c r="E28" i="63"/>
  <c r="O13" i="54" s="1" a="1"/>
  <c r="O13" i="54" s="1"/>
  <c r="T19" i="63"/>
  <c r="X19" i="63" s="1"/>
  <c r="Y19" i="63" s="1"/>
  <c r="I19" i="63"/>
  <c r="J19" i="63" s="1"/>
  <c r="T15" i="63"/>
  <c r="X15" i="63" s="1"/>
  <c r="Y15" i="63" s="1"/>
  <c r="I15" i="63"/>
  <c r="J15" i="63" s="1"/>
  <c r="I16" i="62"/>
  <c r="T16" i="62"/>
  <c r="X16" i="62" s="1"/>
  <c r="T22" i="62"/>
  <c r="X22" i="62" s="1"/>
  <c r="Y22" i="62" s="1"/>
  <c r="I22" i="62"/>
  <c r="J22" i="62" s="1"/>
  <c r="J41" i="62"/>
  <c r="J50" i="62" s="1"/>
  <c r="E50" i="62"/>
  <c r="T13" i="62"/>
  <c r="X13" i="62" s="1"/>
  <c r="Y13" i="62" s="1"/>
  <c r="I13" i="62"/>
  <c r="J13" i="62" s="1"/>
  <c r="T19" i="62"/>
  <c r="X19" i="62" s="1"/>
  <c r="Y19" i="62" s="1"/>
  <c r="I19" i="62"/>
  <c r="J19" i="62" s="1"/>
  <c r="T12" i="62"/>
  <c r="E28" i="62"/>
  <c r="O12" i="54" s="1" a="1"/>
  <c r="O12" i="54" s="1"/>
  <c r="I12" i="62"/>
  <c r="I15" i="62"/>
  <c r="T15" i="62"/>
  <c r="X15" i="62" s="1"/>
  <c r="Y15" i="62" s="1"/>
  <c r="I25" i="62"/>
  <c r="J25" i="62" s="1"/>
  <c r="T25" i="62"/>
  <c r="X25" i="62" s="1"/>
  <c r="Y25" i="62" s="1"/>
  <c r="I26" i="62"/>
  <c r="J26" i="62" s="1"/>
  <c r="T26" i="62"/>
  <c r="X26" i="62" s="1"/>
  <c r="Y26" i="62" s="1"/>
  <c r="J41" i="61"/>
  <c r="J50" i="61" s="1"/>
  <c r="E50" i="61"/>
  <c r="E28" i="61"/>
  <c r="I12" i="61"/>
  <c r="Y71" i="60"/>
  <c r="T64" i="60"/>
  <c r="X65" i="60" s="1"/>
  <c r="X70" i="60" s="1"/>
  <c r="Y70" i="60" s="1"/>
  <c r="T61" i="60"/>
  <c r="X62" i="60" s="1"/>
  <c r="X67" i="60" s="1"/>
  <c r="Y67" i="60" s="1"/>
  <c r="T52" i="60"/>
  <c r="X53" i="60" s="1"/>
  <c r="X69" i="60" s="1"/>
  <c r="B91" i="60"/>
  <c r="I91" i="60" s="1"/>
  <c r="J16" i="60"/>
  <c r="B92" i="60"/>
  <c r="I92" i="60" s="1"/>
  <c r="S90" i="60"/>
  <c r="X28" i="60"/>
  <c r="V33" i="60" s="1"/>
  <c r="J41" i="60"/>
  <c r="J50" i="60" s="1"/>
  <c r="E50" i="60"/>
  <c r="Y28" i="60"/>
  <c r="Y33" i="60" s="1"/>
  <c r="I12" i="60"/>
  <c r="E28" i="60"/>
  <c r="O10" i="54" s="1" a="1"/>
  <c r="O10" i="54" s="1"/>
  <c r="T22" i="59"/>
  <c r="X22" i="59" s="1"/>
  <c r="Y22" i="59" s="1"/>
  <c r="I27" i="59"/>
  <c r="J27" i="59" s="1"/>
  <c r="I18" i="59"/>
  <c r="J18" i="59" s="1"/>
  <c r="T18" i="59"/>
  <c r="X18" i="59" s="1"/>
  <c r="Y18" i="59" s="1"/>
  <c r="I19" i="59"/>
  <c r="J19" i="59" s="1"/>
  <c r="I25" i="59"/>
  <c r="J25" i="59" s="1"/>
  <c r="I15" i="59"/>
  <c r="J15" i="59" s="1"/>
  <c r="X12" i="59"/>
  <c r="Y14" i="59"/>
  <c r="J41" i="59"/>
  <c r="J50" i="59" s="1"/>
  <c r="E50" i="59"/>
  <c r="E28" i="59"/>
  <c r="O9" i="54" s="1" a="1"/>
  <c r="O9" i="54" s="1"/>
  <c r="I13" i="59"/>
  <c r="T13" i="59"/>
  <c r="X13" i="59" s="1"/>
  <c r="Y13" i="59" s="1"/>
  <c r="I26" i="59"/>
  <c r="J26" i="59" s="1"/>
  <c r="T26" i="59"/>
  <c r="X26" i="59" s="1"/>
  <c r="Y26" i="59" s="1"/>
  <c r="I16" i="59"/>
  <c r="T16" i="59"/>
  <c r="X16" i="59" s="1"/>
  <c r="J41" i="58"/>
  <c r="J50" i="58" s="1"/>
  <c r="E50" i="58"/>
  <c r="S93" i="71" l="1"/>
  <c r="V33" i="89"/>
  <c r="T55" i="89"/>
  <c r="V33" i="65"/>
  <c r="T55" i="65"/>
  <c r="V33" i="92"/>
  <c r="T55" i="92"/>
  <c r="V33" i="70"/>
  <c r="T55" i="70"/>
  <c r="V33" i="95"/>
  <c r="T55" i="95"/>
  <c r="S93" i="65"/>
  <c r="V33" i="74"/>
  <c r="T55" i="74"/>
  <c r="S93" i="88"/>
  <c r="V33" i="85"/>
  <c r="T55" i="85"/>
  <c r="V33" i="75"/>
  <c r="T55" i="75"/>
  <c r="V33" i="96"/>
  <c r="T55" i="96"/>
  <c r="V33" i="72"/>
  <c r="T55" i="72"/>
  <c r="V33" i="79"/>
  <c r="T55" i="79"/>
  <c r="V33" i="87"/>
  <c r="T55" i="87"/>
  <c r="V33" i="103"/>
  <c r="T55" i="103"/>
  <c r="V33" i="83"/>
  <c r="T55" i="83"/>
  <c r="X56" i="83" s="1"/>
  <c r="V33" i="86"/>
  <c r="T55" i="86"/>
  <c r="V33" i="105"/>
  <c r="T55" i="105"/>
  <c r="V33" i="94"/>
  <c r="R55" i="94"/>
  <c r="V33" i="88"/>
  <c r="T55" i="88"/>
  <c r="V33" i="73"/>
  <c r="T55" i="73"/>
  <c r="Y33" i="96"/>
  <c r="V33" i="80"/>
  <c r="T55" i="80"/>
  <c r="Y33" i="94"/>
  <c r="X69" i="103"/>
  <c r="X69" i="85"/>
  <c r="X69" i="94"/>
  <c r="I57" i="83"/>
  <c r="I85" i="83" s="1"/>
  <c r="J85" i="83" s="1"/>
  <c r="X90" i="83"/>
  <c r="Y93" i="83" s="1"/>
  <c r="X87" i="72"/>
  <c r="Y87" i="72" s="1"/>
  <c r="S93" i="80"/>
  <c r="Y33" i="85"/>
  <c r="Y33" i="97"/>
  <c r="Y33" i="80"/>
  <c r="B92" i="101"/>
  <c r="I92" i="101" s="1"/>
  <c r="X87" i="95"/>
  <c r="Y87" i="95" s="1"/>
  <c r="Y105" i="95"/>
  <c r="J33" i="83"/>
  <c r="X69" i="100"/>
  <c r="Y105" i="79"/>
  <c r="X85" i="100"/>
  <c r="Y85" i="100" s="1"/>
  <c r="Y105" i="86"/>
  <c r="B90" i="66"/>
  <c r="I90" i="66" s="1"/>
  <c r="Y105" i="91"/>
  <c r="Y105" i="75"/>
  <c r="Y105" i="105"/>
  <c r="Y105" i="101"/>
  <c r="Y105" i="92"/>
  <c r="Y105" i="89"/>
  <c r="Y105" i="81"/>
  <c r="Y105" i="73"/>
  <c r="X69" i="70"/>
  <c r="B91" i="101"/>
  <c r="I91" i="101" s="1"/>
  <c r="S93" i="100"/>
  <c r="S93" i="95"/>
  <c r="X69" i="79"/>
  <c r="S93" i="72"/>
  <c r="O21" i="54" a="1"/>
  <c r="O21" i="54" s="1"/>
  <c r="O20" i="54" a="1"/>
  <c r="O20" i="54" s="1"/>
  <c r="O18" i="54" a="1"/>
  <c r="O18" i="54" s="1"/>
  <c r="B92" i="66"/>
  <c r="I92" i="66" s="1"/>
  <c r="O39" i="54" a="1"/>
  <c r="O39" i="54" s="1"/>
  <c r="Y15" i="101"/>
  <c r="S91" i="101"/>
  <c r="X91" i="101" s="1"/>
  <c r="J16" i="101"/>
  <c r="T28" i="101"/>
  <c r="X13" i="101"/>
  <c r="Y16" i="101"/>
  <c r="S92" i="101"/>
  <c r="X92" i="101" s="1"/>
  <c r="X87" i="91"/>
  <c r="Y87" i="91" s="1"/>
  <c r="S93" i="87"/>
  <c r="Y105" i="85"/>
  <c r="Y14" i="76"/>
  <c r="S91" i="76"/>
  <c r="X91" i="76" s="1"/>
  <c r="S92" i="76"/>
  <c r="X92" i="76" s="1"/>
  <c r="Y16" i="76"/>
  <c r="T28" i="76"/>
  <c r="X13" i="76"/>
  <c r="B91" i="76"/>
  <c r="I91" i="76" s="1"/>
  <c r="B92" i="76"/>
  <c r="I92" i="76" s="1"/>
  <c r="Y93" i="73"/>
  <c r="S93" i="73"/>
  <c r="S92" i="66"/>
  <c r="X92" i="66" s="1"/>
  <c r="Y16" i="66"/>
  <c r="Y28" i="66" s="1"/>
  <c r="Y33" i="66" s="1"/>
  <c r="T28" i="66"/>
  <c r="J15" i="66"/>
  <c r="J28" i="66" s="1"/>
  <c r="J33" i="66" s="1"/>
  <c r="B91" i="66"/>
  <c r="I91" i="66" s="1"/>
  <c r="S90" i="66"/>
  <c r="I28" i="66"/>
  <c r="G33" i="66" s="1"/>
  <c r="X28" i="66"/>
  <c r="S91" i="66"/>
  <c r="X91" i="66" s="1"/>
  <c r="Y105" i="65"/>
  <c r="X13" i="61"/>
  <c r="T28" i="61"/>
  <c r="S91" i="61"/>
  <c r="X91" i="61" s="1"/>
  <c r="B92" i="61"/>
  <c r="I92" i="61" s="1"/>
  <c r="B91" i="61"/>
  <c r="I91" i="61" s="1"/>
  <c r="O11" i="54" a="1"/>
  <c r="O11" i="54" s="1"/>
  <c r="Y16" i="61"/>
  <c r="S92" i="61"/>
  <c r="X92" i="61" s="1"/>
  <c r="Y105" i="60"/>
  <c r="B91" i="59"/>
  <c r="I91" i="59" s="1"/>
  <c r="J13" i="105"/>
  <c r="J28" i="105" s="1"/>
  <c r="J33" i="105" s="1"/>
  <c r="B90" i="105"/>
  <c r="I28" i="105"/>
  <c r="G33" i="105" s="1"/>
  <c r="E56" i="105" s="1"/>
  <c r="X87" i="105"/>
  <c r="Y87" i="105" s="1"/>
  <c r="X69" i="105"/>
  <c r="E59" i="105"/>
  <c r="I60" i="105" s="1"/>
  <c r="I72" i="105" s="1"/>
  <c r="J72" i="105" s="1"/>
  <c r="E53" i="105"/>
  <c r="I54" i="105" s="1"/>
  <c r="E65" i="105"/>
  <c r="I66" i="105" s="1"/>
  <c r="I71" i="105" s="1"/>
  <c r="J71" i="105" s="1"/>
  <c r="E62" i="105"/>
  <c r="I63" i="105" s="1"/>
  <c r="I68" i="105" s="1"/>
  <c r="J68" i="105" s="1"/>
  <c r="S93" i="105"/>
  <c r="X90" i="105"/>
  <c r="Y93" i="105" s="1"/>
  <c r="E59" i="104"/>
  <c r="I60" i="104" s="1"/>
  <c r="I72" i="104" s="1"/>
  <c r="J72" i="104" s="1"/>
  <c r="E62" i="104"/>
  <c r="I63" i="104" s="1"/>
  <c r="I68" i="104" s="1"/>
  <c r="J68" i="104" s="1"/>
  <c r="E65" i="104"/>
  <c r="I66" i="104" s="1"/>
  <c r="I71" i="104" s="1"/>
  <c r="J71" i="104" s="1"/>
  <c r="E53" i="104"/>
  <c r="I54" i="104" s="1"/>
  <c r="J12" i="104"/>
  <c r="J28" i="104" s="1"/>
  <c r="J33" i="104" s="1"/>
  <c r="I28" i="104"/>
  <c r="G33" i="104" s="1"/>
  <c r="E56" i="104" s="1"/>
  <c r="B90" i="104"/>
  <c r="X87" i="104"/>
  <c r="Y87" i="104" s="1"/>
  <c r="X69" i="104"/>
  <c r="X90" i="103"/>
  <c r="Y93" i="103" s="1"/>
  <c r="S93" i="103"/>
  <c r="J13" i="103"/>
  <c r="J28" i="103" s="1"/>
  <c r="J33" i="103" s="1"/>
  <c r="B90" i="103"/>
  <c r="I28" i="103"/>
  <c r="G33" i="103" s="1"/>
  <c r="E56" i="103" s="1"/>
  <c r="E59" i="103"/>
  <c r="I60" i="103" s="1"/>
  <c r="I72" i="103" s="1"/>
  <c r="J72" i="103" s="1"/>
  <c r="E65" i="103"/>
  <c r="I66" i="103" s="1"/>
  <c r="I71" i="103" s="1"/>
  <c r="J71" i="103" s="1"/>
  <c r="E62" i="103"/>
  <c r="I63" i="103" s="1"/>
  <c r="I68" i="103" s="1"/>
  <c r="J68" i="103" s="1"/>
  <c r="E53" i="103"/>
  <c r="I54" i="103" s="1"/>
  <c r="E59" i="102"/>
  <c r="I60" i="102" s="1"/>
  <c r="I72" i="102" s="1"/>
  <c r="J72" i="102" s="1"/>
  <c r="E62" i="102"/>
  <c r="I63" i="102" s="1"/>
  <c r="I68" i="102" s="1"/>
  <c r="J68" i="102" s="1"/>
  <c r="E65" i="102"/>
  <c r="I66" i="102" s="1"/>
  <c r="I71" i="102" s="1"/>
  <c r="J71" i="102" s="1"/>
  <c r="E53" i="102"/>
  <c r="I54" i="102" s="1"/>
  <c r="S92" i="102"/>
  <c r="X92" i="102" s="1"/>
  <c r="Y16" i="102"/>
  <c r="J12" i="102"/>
  <c r="I28" i="102"/>
  <c r="G33" i="102" s="1"/>
  <c r="E56" i="102" s="1"/>
  <c r="B90" i="102"/>
  <c r="J16" i="102"/>
  <c r="B92" i="102"/>
  <c r="I92" i="102" s="1"/>
  <c r="J15" i="102"/>
  <c r="B91" i="102"/>
  <c r="I91" i="102" s="1"/>
  <c r="X12" i="102"/>
  <c r="T28" i="102"/>
  <c r="S91" i="102"/>
  <c r="X91" i="102" s="1"/>
  <c r="E59" i="101"/>
  <c r="I60" i="101" s="1"/>
  <c r="I72" i="101" s="1"/>
  <c r="J72" i="101" s="1"/>
  <c r="E65" i="101"/>
  <c r="I66" i="101" s="1"/>
  <c r="I71" i="101" s="1"/>
  <c r="J71" i="101" s="1"/>
  <c r="E53" i="101"/>
  <c r="I54" i="101" s="1"/>
  <c r="E62" i="101"/>
  <c r="I63" i="101" s="1"/>
  <c r="I68" i="101" s="1"/>
  <c r="J68" i="101" s="1"/>
  <c r="B90" i="101"/>
  <c r="I28" i="101"/>
  <c r="G33" i="101" s="1"/>
  <c r="J12" i="101"/>
  <c r="J12" i="100"/>
  <c r="J28" i="100" s="1"/>
  <c r="J33" i="100" s="1"/>
  <c r="B90" i="100"/>
  <c r="I28" i="100"/>
  <c r="G33" i="100" s="1"/>
  <c r="E56" i="100" s="1"/>
  <c r="I57" i="100" s="1"/>
  <c r="E59" i="100"/>
  <c r="I60" i="100" s="1"/>
  <c r="I72" i="100" s="1"/>
  <c r="J72" i="100" s="1"/>
  <c r="E53" i="100"/>
  <c r="I54" i="100" s="1"/>
  <c r="E65" i="100"/>
  <c r="I66" i="100" s="1"/>
  <c r="I71" i="100" s="1"/>
  <c r="J71" i="100" s="1"/>
  <c r="E62" i="100"/>
  <c r="I63" i="100" s="1"/>
  <c r="I68" i="100" s="1"/>
  <c r="J68" i="100" s="1"/>
  <c r="X69" i="99"/>
  <c r="X87" i="99"/>
  <c r="Y87" i="99" s="1"/>
  <c r="E59" i="99"/>
  <c r="I60" i="99" s="1"/>
  <c r="I72" i="99" s="1"/>
  <c r="J72" i="99" s="1"/>
  <c r="E53" i="99"/>
  <c r="I54" i="99" s="1"/>
  <c r="E62" i="99"/>
  <c r="I63" i="99" s="1"/>
  <c r="I68" i="99" s="1"/>
  <c r="J68" i="99" s="1"/>
  <c r="E65" i="99"/>
  <c r="I66" i="99" s="1"/>
  <c r="I71" i="99" s="1"/>
  <c r="J71" i="99" s="1"/>
  <c r="Y105" i="99"/>
  <c r="B90" i="99"/>
  <c r="J12" i="99"/>
  <c r="J28" i="99" s="1"/>
  <c r="J33" i="99" s="1"/>
  <c r="I28" i="99"/>
  <c r="G33" i="99" s="1"/>
  <c r="E56" i="99" s="1"/>
  <c r="J12" i="98"/>
  <c r="J28" i="98" s="1"/>
  <c r="J33" i="98" s="1"/>
  <c r="I28" i="98"/>
  <c r="G33" i="98" s="1"/>
  <c r="E56" i="98" s="1"/>
  <c r="B90" i="98"/>
  <c r="X87" i="98"/>
  <c r="Y87" i="98" s="1"/>
  <c r="X69" i="98"/>
  <c r="E59" i="98"/>
  <c r="I60" i="98" s="1"/>
  <c r="I72" i="98" s="1"/>
  <c r="J72" i="98" s="1"/>
  <c r="E62" i="98"/>
  <c r="I63" i="98" s="1"/>
  <c r="I68" i="98" s="1"/>
  <c r="J68" i="98" s="1"/>
  <c r="E65" i="98"/>
  <c r="I66" i="98" s="1"/>
  <c r="I71" i="98" s="1"/>
  <c r="J71" i="98" s="1"/>
  <c r="E53" i="98"/>
  <c r="I54" i="98" s="1"/>
  <c r="X87" i="97"/>
  <c r="Y87" i="97" s="1"/>
  <c r="X69" i="97"/>
  <c r="E59" i="97"/>
  <c r="I60" i="97" s="1"/>
  <c r="I72" i="97" s="1"/>
  <c r="J72" i="97" s="1"/>
  <c r="E62" i="97"/>
  <c r="I63" i="97" s="1"/>
  <c r="I68" i="97" s="1"/>
  <c r="J68" i="97" s="1"/>
  <c r="E53" i="97"/>
  <c r="I54" i="97" s="1"/>
  <c r="E65" i="97"/>
  <c r="I66" i="97" s="1"/>
  <c r="I71" i="97" s="1"/>
  <c r="J71" i="97" s="1"/>
  <c r="J12" i="97"/>
  <c r="J28" i="97" s="1"/>
  <c r="J33" i="97" s="1"/>
  <c r="I28" i="97"/>
  <c r="G33" i="97" s="1"/>
  <c r="E56" i="97" s="1"/>
  <c r="B90" i="97"/>
  <c r="J12" i="96"/>
  <c r="J28" i="96" s="1"/>
  <c r="J33" i="96" s="1"/>
  <c r="I28" i="96"/>
  <c r="G33" i="96" s="1"/>
  <c r="E56" i="96" s="1"/>
  <c r="B90" i="96"/>
  <c r="E59" i="96"/>
  <c r="I60" i="96" s="1"/>
  <c r="I72" i="96" s="1"/>
  <c r="J72" i="96" s="1"/>
  <c r="E62" i="96"/>
  <c r="I63" i="96" s="1"/>
  <c r="I68" i="96" s="1"/>
  <c r="J68" i="96" s="1"/>
  <c r="E65" i="96"/>
  <c r="I66" i="96" s="1"/>
  <c r="I71" i="96" s="1"/>
  <c r="J71" i="96" s="1"/>
  <c r="E53" i="96"/>
  <c r="I54" i="96" s="1"/>
  <c r="E59" i="95"/>
  <c r="I60" i="95" s="1"/>
  <c r="I72" i="95" s="1"/>
  <c r="J72" i="95" s="1"/>
  <c r="E62" i="95"/>
  <c r="I63" i="95" s="1"/>
  <c r="I68" i="95" s="1"/>
  <c r="J68" i="95" s="1"/>
  <c r="E65" i="95"/>
  <c r="I66" i="95" s="1"/>
  <c r="I71" i="95" s="1"/>
  <c r="J71" i="95" s="1"/>
  <c r="E53" i="95"/>
  <c r="I54" i="95" s="1"/>
  <c r="J12" i="95"/>
  <c r="J28" i="95" s="1"/>
  <c r="J33" i="95" s="1"/>
  <c r="I28" i="95"/>
  <c r="G33" i="95" s="1"/>
  <c r="E56" i="95" s="1"/>
  <c r="B90" i="95"/>
  <c r="I28" i="94"/>
  <c r="G33" i="94" s="1"/>
  <c r="E56" i="94" s="1"/>
  <c r="B90" i="94"/>
  <c r="J12" i="94"/>
  <c r="J28" i="94" s="1"/>
  <c r="J33" i="94" s="1"/>
  <c r="S93" i="94"/>
  <c r="X90" i="94"/>
  <c r="Y93" i="94" s="1"/>
  <c r="E59" i="94"/>
  <c r="I60" i="94" s="1"/>
  <c r="I72" i="94" s="1"/>
  <c r="J72" i="94" s="1"/>
  <c r="E65" i="94"/>
  <c r="I66" i="94" s="1"/>
  <c r="I71" i="94" s="1"/>
  <c r="J71" i="94" s="1"/>
  <c r="E53" i="94"/>
  <c r="I54" i="94" s="1"/>
  <c r="E62" i="94"/>
  <c r="I63" i="94" s="1"/>
  <c r="I68" i="94" s="1"/>
  <c r="J68" i="94" s="1"/>
  <c r="J12" i="93"/>
  <c r="J28" i="93" s="1"/>
  <c r="J33" i="93" s="1"/>
  <c r="I28" i="93"/>
  <c r="G33" i="93" s="1"/>
  <c r="E56" i="93" s="1"/>
  <c r="B90" i="93"/>
  <c r="E59" i="93"/>
  <c r="I60" i="93" s="1"/>
  <c r="I72" i="93" s="1"/>
  <c r="J72" i="93" s="1"/>
  <c r="E65" i="93"/>
  <c r="I66" i="93" s="1"/>
  <c r="I71" i="93" s="1"/>
  <c r="J71" i="93" s="1"/>
  <c r="E62" i="93"/>
  <c r="I63" i="93" s="1"/>
  <c r="I68" i="93" s="1"/>
  <c r="J68" i="93" s="1"/>
  <c r="E53" i="93"/>
  <c r="I54" i="93" s="1"/>
  <c r="X69" i="93"/>
  <c r="X87" i="93"/>
  <c r="Y87" i="93" s="1"/>
  <c r="X69" i="92"/>
  <c r="E59" i="92"/>
  <c r="I60" i="92" s="1"/>
  <c r="I72" i="92" s="1"/>
  <c r="J72" i="92" s="1"/>
  <c r="E65" i="92"/>
  <c r="I66" i="92" s="1"/>
  <c r="I71" i="92" s="1"/>
  <c r="J71" i="92" s="1"/>
  <c r="E62" i="92"/>
  <c r="I63" i="92" s="1"/>
  <c r="I68" i="92" s="1"/>
  <c r="J68" i="92" s="1"/>
  <c r="E53" i="92"/>
  <c r="I54" i="92" s="1"/>
  <c r="J12" i="92"/>
  <c r="J28" i="92" s="1"/>
  <c r="J33" i="92" s="1"/>
  <c r="I28" i="92"/>
  <c r="G33" i="92" s="1"/>
  <c r="E56" i="92" s="1"/>
  <c r="B90" i="92"/>
  <c r="X90" i="92"/>
  <c r="Y93" i="92" s="1"/>
  <c r="S93" i="92"/>
  <c r="E62" i="91"/>
  <c r="I63" i="91" s="1"/>
  <c r="I68" i="91" s="1"/>
  <c r="J68" i="91" s="1"/>
  <c r="E65" i="91"/>
  <c r="I66" i="91" s="1"/>
  <c r="I71" i="91" s="1"/>
  <c r="J71" i="91" s="1"/>
  <c r="E59" i="91"/>
  <c r="I60" i="91" s="1"/>
  <c r="I72" i="91" s="1"/>
  <c r="J72" i="91" s="1"/>
  <c r="E53" i="91"/>
  <c r="I54" i="91" s="1"/>
  <c r="J12" i="91"/>
  <c r="J28" i="91" s="1"/>
  <c r="J33" i="91" s="1"/>
  <c r="I28" i="91"/>
  <c r="G33" i="91" s="1"/>
  <c r="E56" i="91" s="1"/>
  <c r="B90" i="91"/>
  <c r="X90" i="91"/>
  <c r="Y93" i="91" s="1"/>
  <c r="S93" i="91"/>
  <c r="J12" i="90"/>
  <c r="J28" i="90" s="1"/>
  <c r="J33" i="90" s="1"/>
  <c r="B90" i="90"/>
  <c r="I28" i="90"/>
  <c r="G33" i="90" s="1"/>
  <c r="E56" i="90" s="1"/>
  <c r="X87" i="90"/>
  <c r="Y87" i="90" s="1"/>
  <c r="X69" i="90"/>
  <c r="E59" i="90"/>
  <c r="I60" i="90" s="1"/>
  <c r="I72" i="90" s="1"/>
  <c r="J72" i="90" s="1"/>
  <c r="E53" i="90"/>
  <c r="I54" i="90" s="1"/>
  <c r="E62" i="90"/>
  <c r="I63" i="90" s="1"/>
  <c r="I68" i="90" s="1"/>
  <c r="J68" i="90" s="1"/>
  <c r="E65" i="90"/>
  <c r="I66" i="90" s="1"/>
  <c r="I71" i="90" s="1"/>
  <c r="J71" i="90" s="1"/>
  <c r="X90" i="89"/>
  <c r="Y93" i="89" s="1"/>
  <c r="S93" i="89"/>
  <c r="J12" i="89"/>
  <c r="J28" i="89" s="1"/>
  <c r="J33" i="89" s="1"/>
  <c r="B90" i="89"/>
  <c r="I28" i="89"/>
  <c r="G33" i="89" s="1"/>
  <c r="E56" i="89" s="1"/>
  <c r="E59" i="89"/>
  <c r="I60" i="89" s="1"/>
  <c r="I72" i="89" s="1"/>
  <c r="J72" i="89" s="1"/>
  <c r="E62" i="89"/>
  <c r="I63" i="89" s="1"/>
  <c r="I68" i="89" s="1"/>
  <c r="J68" i="89" s="1"/>
  <c r="E53" i="89"/>
  <c r="I54" i="89" s="1"/>
  <c r="E65" i="89"/>
  <c r="I66" i="89" s="1"/>
  <c r="I71" i="89" s="1"/>
  <c r="J71" i="89" s="1"/>
  <c r="J12" i="88"/>
  <c r="J28" i="88" s="1"/>
  <c r="J33" i="88" s="1"/>
  <c r="I28" i="88"/>
  <c r="G33" i="88" s="1"/>
  <c r="E56" i="88" s="1"/>
  <c r="B90" i="88"/>
  <c r="E59" i="88"/>
  <c r="I60" i="88" s="1"/>
  <c r="I72" i="88" s="1"/>
  <c r="J72" i="88" s="1"/>
  <c r="E62" i="88"/>
  <c r="I63" i="88" s="1"/>
  <c r="I68" i="88" s="1"/>
  <c r="J68" i="88" s="1"/>
  <c r="E65" i="88"/>
  <c r="I66" i="88" s="1"/>
  <c r="I71" i="88" s="1"/>
  <c r="J71" i="88" s="1"/>
  <c r="E53" i="88"/>
  <c r="I54" i="88" s="1"/>
  <c r="Y93" i="87"/>
  <c r="J12" i="87"/>
  <c r="J28" i="87" s="1"/>
  <c r="J33" i="87" s="1"/>
  <c r="I28" i="87"/>
  <c r="G33" i="87" s="1"/>
  <c r="E56" i="87" s="1"/>
  <c r="B90" i="87"/>
  <c r="E59" i="87"/>
  <c r="I60" i="87" s="1"/>
  <c r="I72" i="87" s="1"/>
  <c r="J72" i="87" s="1"/>
  <c r="E65" i="87"/>
  <c r="I66" i="87" s="1"/>
  <c r="I71" i="87" s="1"/>
  <c r="J71" i="87" s="1"/>
  <c r="E53" i="87"/>
  <c r="I54" i="87" s="1"/>
  <c r="E62" i="87"/>
  <c r="I63" i="87" s="1"/>
  <c r="I68" i="87" s="1"/>
  <c r="J68" i="87" s="1"/>
  <c r="X90" i="86"/>
  <c r="Y93" i="86" s="1"/>
  <c r="S93" i="86"/>
  <c r="J12" i="86"/>
  <c r="J28" i="86" s="1"/>
  <c r="J33" i="86" s="1"/>
  <c r="I28" i="86"/>
  <c r="G33" i="86" s="1"/>
  <c r="E56" i="86" s="1"/>
  <c r="I57" i="86" s="1"/>
  <c r="B90" i="86"/>
  <c r="Y109" i="86"/>
  <c r="J111" i="86" s="1"/>
  <c r="E65" i="86"/>
  <c r="I66" i="86" s="1"/>
  <c r="I71" i="86" s="1"/>
  <c r="J71" i="86" s="1"/>
  <c r="E62" i="86"/>
  <c r="I63" i="86" s="1"/>
  <c r="I68" i="86" s="1"/>
  <c r="J68" i="86" s="1"/>
  <c r="E59" i="86"/>
  <c r="I60" i="86" s="1"/>
  <c r="I72" i="86" s="1"/>
  <c r="J72" i="86" s="1"/>
  <c r="E53" i="86"/>
  <c r="I54" i="86" s="1"/>
  <c r="E59" i="85"/>
  <c r="I60" i="85" s="1"/>
  <c r="I72" i="85" s="1"/>
  <c r="J72" i="85" s="1"/>
  <c r="E65" i="85"/>
  <c r="I66" i="85" s="1"/>
  <c r="I71" i="85" s="1"/>
  <c r="J71" i="85" s="1"/>
  <c r="E62" i="85"/>
  <c r="I63" i="85" s="1"/>
  <c r="I68" i="85" s="1"/>
  <c r="J68" i="85" s="1"/>
  <c r="E53" i="85"/>
  <c r="I54" i="85" s="1"/>
  <c r="I28" i="85"/>
  <c r="G33" i="85" s="1"/>
  <c r="E56" i="85" s="1"/>
  <c r="J12" i="85"/>
  <c r="J28" i="85" s="1"/>
  <c r="J33" i="85" s="1"/>
  <c r="B90" i="85"/>
  <c r="S93" i="85"/>
  <c r="X90" i="85"/>
  <c r="Y93" i="85" s="1"/>
  <c r="X69" i="84"/>
  <c r="I28" i="84"/>
  <c r="G33" i="84" s="1"/>
  <c r="E56" i="84" s="1"/>
  <c r="J12" i="84"/>
  <c r="J28" i="84" s="1"/>
  <c r="J33" i="84" s="1"/>
  <c r="B90" i="84"/>
  <c r="E59" i="84"/>
  <c r="I60" i="84" s="1"/>
  <c r="I72" i="84" s="1"/>
  <c r="J72" i="84" s="1"/>
  <c r="E65" i="84"/>
  <c r="I66" i="84" s="1"/>
  <c r="I71" i="84" s="1"/>
  <c r="J71" i="84" s="1"/>
  <c r="E62" i="84"/>
  <c r="I63" i="84" s="1"/>
  <c r="I68" i="84" s="1"/>
  <c r="J68" i="84" s="1"/>
  <c r="E53" i="84"/>
  <c r="I54" i="84" s="1"/>
  <c r="B93" i="83"/>
  <c r="I90" i="83"/>
  <c r="J93" i="83" s="1"/>
  <c r="E59" i="83"/>
  <c r="I60" i="83" s="1"/>
  <c r="I72" i="83" s="1"/>
  <c r="J72" i="83" s="1"/>
  <c r="E53" i="83"/>
  <c r="I54" i="83" s="1"/>
  <c r="E62" i="83"/>
  <c r="I63" i="83" s="1"/>
  <c r="I68" i="83" s="1"/>
  <c r="J68" i="83" s="1"/>
  <c r="E65" i="83"/>
  <c r="I66" i="83" s="1"/>
  <c r="I71" i="83" s="1"/>
  <c r="J71" i="83" s="1"/>
  <c r="X87" i="83"/>
  <c r="Y87" i="83" s="1"/>
  <c r="X69" i="83"/>
  <c r="E59" i="82"/>
  <c r="I60" i="82" s="1"/>
  <c r="I72" i="82" s="1"/>
  <c r="J72" i="82" s="1"/>
  <c r="E65" i="82"/>
  <c r="I66" i="82" s="1"/>
  <c r="I71" i="82" s="1"/>
  <c r="J71" i="82" s="1"/>
  <c r="E62" i="82"/>
  <c r="I63" i="82" s="1"/>
  <c r="I68" i="82" s="1"/>
  <c r="J68" i="82" s="1"/>
  <c r="E53" i="82"/>
  <c r="I54" i="82" s="1"/>
  <c r="J12" i="82"/>
  <c r="J28" i="82" s="1"/>
  <c r="J33" i="82" s="1"/>
  <c r="I28" i="82"/>
  <c r="G33" i="82" s="1"/>
  <c r="E56" i="82" s="1"/>
  <c r="B90" i="82"/>
  <c r="X90" i="82"/>
  <c r="Y93" i="82" s="1"/>
  <c r="S93" i="82"/>
  <c r="X86" i="81"/>
  <c r="Y86" i="81" s="1"/>
  <c r="X85" i="81"/>
  <c r="Y85" i="81" s="1"/>
  <c r="E59" i="81"/>
  <c r="I60" i="81" s="1"/>
  <c r="I72" i="81" s="1"/>
  <c r="J72" i="81" s="1"/>
  <c r="E62" i="81"/>
  <c r="I63" i="81" s="1"/>
  <c r="I68" i="81" s="1"/>
  <c r="J68" i="81" s="1"/>
  <c r="E53" i="81"/>
  <c r="I54" i="81" s="1"/>
  <c r="E65" i="81"/>
  <c r="I66" i="81" s="1"/>
  <c r="I71" i="81" s="1"/>
  <c r="J71" i="81" s="1"/>
  <c r="B90" i="81"/>
  <c r="J12" i="81"/>
  <c r="J28" i="81" s="1"/>
  <c r="J33" i="81" s="1"/>
  <c r="I28" i="81"/>
  <c r="G33" i="81" s="1"/>
  <c r="E56" i="81" s="1"/>
  <c r="I57" i="81" s="1"/>
  <c r="X90" i="81"/>
  <c r="Y93" i="81" s="1"/>
  <c r="S93" i="81"/>
  <c r="J12" i="80"/>
  <c r="J28" i="80" s="1"/>
  <c r="J33" i="80" s="1"/>
  <c r="B90" i="80"/>
  <c r="I28" i="80"/>
  <c r="G33" i="80" s="1"/>
  <c r="E56" i="80" s="1"/>
  <c r="E59" i="80"/>
  <c r="I60" i="80" s="1"/>
  <c r="I72" i="80" s="1"/>
  <c r="J72" i="80" s="1"/>
  <c r="E62" i="80"/>
  <c r="I63" i="80" s="1"/>
  <c r="I68" i="80" s="1"/>
  <c r="J68" i="80" s="1"/>
  <c r="E53" i="80"/>
  <c r="I54" i="80" s="1"/>
  <c r="E65" i="80"/>
  <c r="I66" i="80" s="1"/>
  <c r="I71" i="80" s="1"/>
  <c r="J71" i="80" s="1"/>
  <c r="I28" i="79"/>
  <c r="G33" i="79" s="1"/>
  <c r="E56" i="79" s="1"/>
  <c r="J12" i="79"/>
  <c r="J28" i="79" s="1"/>
  <c r="J33" i="79" s="1"/>
  <c r="B90" i="79"/>
  <c r="S93" i="79"/>
  <c r="X90" i="79"/>
  <c r="Y93" i="79" s="1"/>
  <c r="E59" i="79"/>
  <c r="I60" i="79" s="1"/>
  <c r="I72" i="79" s="1"/>
  <c r="J72" i="79" s="1"/>
  <c r="E65" i="79"/>
  <c r="I66" i="79" s="1"/>
  <c r="I71" i="79" s="1"/>
  <c r="J71" i="79" s="1"/>
  <c r="E53" i="79"/>
  <c r="I54" i="79" s="1"/>
  <c r="E62" i="79"/>
  <c r="I63" i="79" s="1"/>
  <c r="I68" i="79" s="1"/>
  <c r="J68" i="79" s="1"/>
  <c r="E59" i="78"/>
  <c r="I60" i="78" s="1"/>
  <c r="I72" i="78" s="1"/>
  <c r="J72" i="78" s="1"/>
  <c r="E53" i="78"/>
  <c r="I54" i="78" s="1"/>
  <c r="E62" i="78"/>
  <c r="I63" i="78" s="1"/>
  <c r="I68" i="78" s="1"/>
  <c r="J68" i="78" s="1"/>
  <c r="E65" i="78"/>
  <c r="I66" i="78" s="1"/>
  <c r="I71" i="78" s="1"/>
  <c r="J71" i="78" s="1"/>
  <c r="X87" i="78"/>
  <c r="Y87" i="78" s="1"/>
  <c r="X69" i="78"/>
  <c r="B90" i="78"/>
  <c r="J12" i="78"/>
  <c r="J28" i="78" s="1"/>
  <c r="J33" i="78" s="1"/>
  <c r="I28" i="78"/>
  <c r="G33" i="78" s="1"/>
  <c r="E56" i="78" s="1"/>
  <c r="J12" i="77"/>
  <c r="I28" i="77"/>
  <c r="G33" i="77" s="1"/>
  <c r="E56" i="77" s="1"/>
  <c r="B90" i="77"/>
  <c r="B91" i="77"/>
  <c r="I91" i="77" s="1"/>
  <c r="T28" i="77"/>
  <c r="T52" i="77" s="1"/>
  <c r="X12" i="77"/>
  <c r="J16" i="77"/>
  <c r="B92" i="77"/>
  <c r="I92" i="77" s="1"/>
  <c r="Y15" i="77"/>
  <c r="S91" i="77"/>
  <c r="X91" i="77" s="1"/>
  <c r="E59" i="77"/>
  <c r="I60" i="77" s="1"/>
  <c r="I72" i="77" s="1"/>
  <c r="J72" i="77" s="1"/>
  <c r="E65" i="77"/>
  <c r="I66" i="77" s="1"/>
  <c r="I71" i="77" s="1"/>
  <c r="J71" i="77" s="1"/>
  <c r="E62" i="77"/>
  <c r="I63" i="77" s="1"/>
  <c r="I68" i="77" s="1"/>
  <c r="J68" i="77" s="1"/>
  <c r="E53" i="77"/>
  <c r="I54" i="77" s="1"/>
  <c r="S92" i="77"/>
  <c r="X92" i="77" s="1"/>
  <c r="Y16" i="77"/>
  <c r="E59" i="76"/>
  <c r="I60" i="76" s="1"/>
  <c r="I72" i="76" s="1"/>
  <c r="J72" i="76" s="1"/>
  <c r="E62" i="76"/>
  <c r="I63" i="76" s="1"/>
  <c r="I68" i="76" s="1"/>
  <c r="J68" i="76" s="1"/>
  <c r="E65" i="76"/>
  <c r="I66" i="76" s="1"/>
  <c r="I71" i="76" s="1"/>
  <c r="J71" i="76" s="1"/>
  <c r="E53" i="76"/>
  <c r="I54" i="76" s="1"/>
  <c r="J12" i="76"/>
  <c r="J28" i="76" s="1"/>
  <c r="J33" i="76" s="1"/>
  <c r="I28" i="76"/>
  <c r="G33" i="76" s="1"/>
  <c r="E56" i="76" s="1"/>
  <c r="I57" i="76" s="1"/>
  <c r="B90" i="76"/>
  <c r="Y105" i="76"/>
  <c r="S93" i="75"/>
  <c r="E59" i="75"/>
  <c r="I60" i="75" s="1"/>
  <c r="I72" i="75" s="1"/>
  <c r="J72" i="75" s="1"/>
  <c r="E62" i="75"/>
  <c r="I63" i="75" s="1"/>
  <c r="I68" i="75" s="1"/>
  <c r="J68" i="75" s="1"/>
  <c r="E65" i="75"/>
  <c r="I66" i="75" s="1"/>
  <c r="I71" i="75" s="1"/>
  <c r="J71" i="75" s="1"/>
  <c r="E53" i="75"/>
  <c r="I54" i="75" s="1"/>
  <c r="J12" i="75"/>
  <c r="J28" i="75" s="1"/>
  <c r="J33" i="75" s="1"/>
  <c r="I28" i="75"/>
  <c r="G33" i="75" s="1"/>
  <c r="E56" i="75" s="1"/>
  <c r="B90" i="75"/>
  <c r="E59" i="74"/>
  <c r="I60" i="74" s="1"/>
  <c r="I72" i="74" s="1"/>
  <c r="J72" i="74" s="1"/>
  <c r="E62" i="74"/>
  <c r="I63" i="74" s="1"/>
  <c r="I68" i="74" s="1"/>
  <c r="J68" i="74" s="1"/>
  <c r="E65" i="74"/>
  <c r="I66" i="74" s="1"/>
  <c r="I71" i="74" s="1"/>
  <c r="J71" i="74" s="1"/>
  <c r="E53" i="74"/>
  <c r="I54" i="74" s="1"/>
  <c r="J12" i="74"/>
  <c r="J28" i="74" s="1"/>
  <c r="J33" i="74" s="1"/>
  <c r="I28" i="74"/>
  <c r="G33" i="74" s="1"/>
  <c r="E56" i="74" s="1"/>
  <c r="B90" i="74"/>
  <c r="X90" i="74"/>
  <c r="Y93" i="74" s="1"/>
  <c r="S93" i="74"/>
  <c r="E59" i="73"/>
  <c r="I60" i="73" s="1"/>
  <c r="I72" i="73" s="1"/>
  <c r="J72" i="73" s="1"/>
  <c r="E65" i="73"/>
  <c r="I66" i="73" s="1"/>
  <c r="I71" i="73" s="1"/>
  <c r="J71" i="73" s="1"/>
  <c r="E62" i="73"/>
  <c r="I63" i="73" s="1"/>
  <c r="I68" i="73" s="1"/>
  <c r="J68" i="73" s="1"/>
  <c r="E53" i="73"/>
  <c r="I54" i="73" s="1"/>
  <c r="I28" i="73"/>
  <c r="G33" i="73" s="1"/>
  <c r="E56" i="73" s="1"/>
  <c r="J12" i="73"/>
  <c r="J28" i="73" s="1"/>
  <c r="J33" i="73" s="1"/>
  <c r="B90" i="73"/>
  <c r="E59" i="72"/>
  <c r="I60" i="72" s="1"/>
  <c r="I72" i="72" s="1"/>
  <c r="J72" i="72" s="1"/>
  <c r="E53" i="72"/>
  <c r="I54" i="72" s="1"/>
  <c r="E62" i="72"/>
  <c r="I63" i="72" s="1"/>
  <c r="I68" i="72" s="1"/>
  <c r="J68" i="72" s="1"/>
  <c r="E65" i="72"/>
  <c r="I66" i="72" s="1"/>
  <c r="I71" i="72" s="1"/>
  <c r="J71" i="72" s="1"/>
  <c r="Y105" i="72"/>
  <c r="J12" i="72"/>
  <c r="J28" i="72" s="1"/>
  <c r="J33" i="72" s="1"/>
  <c r="I28" i="72"/>
  <c r="G33" i="72" s="1"/>
  <c r="E56" i="72" s="1"/>
  <c r="B90" i="72"/>
  <c r="X87" i="71"/>
  <c r="Y87" i="71" s="1"/>
  <c r="X69" i="71"/>
  <c r="E59" i="71"/>
  <c r="I60" i="71" s="1"/>
  <c r="I72" i="71" s="1"/>
  <c r="J72" i="71" s="1"/>
  <c r="E65" i="71"/>
  <c r="I66" i="71" s="1"/>
  <c r="I71" i="71" s="1"/>
  <c r="J71" i="71" s="1"/>
  <c r="E62" i="71"/>
  <c r="I63" i="71" s="1"/>
  <c r="I68" i="71" s="1"/>
  <c r="J68" i="71" s="1"/>
  <c r="E53" i="71"/>
  <c r="I54" i="71" s="1"/>
  <c r="I28" i="71"/>
  <c r="G33" i="71" s="1"/>
  <c r="E56" i="71" s="1"/>
  <c r="B90" i="71"/>
  <c r="J12" i="71"/>
  <c r="J28" i="71" s="1"/>
  <c r="J33" i="71" s="1"/>
  <c r="Y105" i="71"/>
  <c r="J12" i="70"/>
  <c r="J28" i="70" s="1"/>
  <c r="J33" i="70" s="1"/>
  <c r="B90" i="70"/>
  <c r="I28" i="70"/>
  <c r="G33" i="70" s="1"/>
  <c r="E56" i="70" s="1"/>
  <c r="E59" i="70"/>
  <c r="I60" i="70" s="1"/>
  <c r="I72" i="70" s="1"/>
  <c r="J72" i="70" s="1"/>
  <c r="E62" i="70"/>
  <c r="I63" i="70" s="1"/>
  <c r="I68" i="70" s="1"/>
  <c r="J68" i="70" s="1"/>
  <c r="E53" i="70"/>
  <c r="I54" i="70" s="1"/>
  <c r="E65" i="70"/>
  <c r="I66" i="70" s="1"/>
  <c r="I71" i="70" s="1"/>
  <c r="J71" i="70" s="1"/>
  <c r="X90" i="70"/>
  <c r="Y93" i="70" s="1"/>
  <c r="S93" i="70"/>
  <c r="Y15" i="69"/>
  <c r="S91" i="69"/>
  <c r="X91" i="69" s="1"/>
  <c r="J16" i="69"/>
  <c r="B92" i="69"/>
  <c r="I92" i="69" s="1"/>
  <c r="B91" i="69"/>
  <c r="I91" i="69" s="1"/>
  <c r="E59" i="69"/>
  <c r="I60" i="69" s="1"/>
  <c r="I72" i="69" s="1"/>
  <c r="J72" i="69" s="1"/>
  <c r="E53" i="69"/>
  <c r="I54" i="69" s="1"/>
  <c r="E65" i="69"/>
  <c r="I66" i="69" s="1"/>
  <c r="I71" i="69" s="1"/>
  <c r="J71" i="69" s="1"/>
  <c r="E62" i="69"/>
  <c r="I63" i="69" s="1"/>
  <c r="I68" i="69" s="1"/>
  <c r="J68" i="69" s="1"/>
  <c r="J12" i="69"/>
  <c r="B90" i="69"/>
  <c r="I28" i="69"/>
  <c r="G33" i="69" s="1"/>
  <c r="E56" i="69" s="1"/>
  <c r="X12" i="69"/>
  <c r="T28" i="69"/>
  <c r="S92" i="69"/>
  <c r="X92" i="69" s="1"/>
  <c r="Y16" i="69"/>
  <c r="Y16" i="68"/>
  <c r="S92" i="68"/>
  <c r="X92" i="68" s="1"/>
  <c r="J15" i="68"/>
  <c r="B91" i="68"/>
  <c r="I91" i="68" s="1"/>
  <c r="J12" i="68"/>
  <c r="I28" i="68"/>
  <c r="G33" i="68" s="1"/>
  <c r="E56" i="68" s="1"/>
  <c r="I57" i="68" s="1"/>
  <c r="B90" i="68"/>
  <c r="J16" i="68"/>
  <c r="B92" i="68"/>
  <c r="I92" i="68" s="1"/>
  <c r="S91" i="68"/>
  <c r="X91" i="68" s="1"/>
  <c r="E59" i="68"/>
  <c r="I60" i="68" s="1"/>
  <c r="I72" i="68" s="1"/>
  <c r="J72" i="68" s="1"/>
  <c r="E62" i="68"/>
  <c r="I63" i="68" s="1"/>
  <c r="I68" i="68" s="1"/>
  <c r="J68" i="68" s="1"/>
  <c r="E65" i="68"/>
  <c r="I66" i="68" s="1"/>
  <c r="I71" i="68" s="1"/>
  <c r="J71" i="68" s="1"/>
  <c r="E53" i="68"/>
  <c r="I54" i="68" s="1"/>
  <c r="T28" i="68"/>
  <c r="X12" i="68"/>
  <c r="J16" i="67"/>
  <c r="B92" i="67"/>
  <c r="I92" i="67" s="1"/>
  <c r="I28" i="67"/>
  <c r="G33" i="67" s="1"/>
  <c r="E56" i="67" s="1"/>
  <c r="I57" i="67" s="1"/>
  <c r="J12" i="67"/>
  <c r="B90" i="67"/>
  <c r="J15" i="67"/>
  <c r="B91" i="67"/>
  <c r="I91" i="67" s="1"/>
  <c r="S92" i="67"/>
  <c r="X92" i="67" s="1"/>
  <c r="Y16" i="67"/>
  <c r="S91" i="67"/>
  <c r="X91" i="67" s="1"/>
  <c r="E59" i="67"/>
  <c r="I60" i="67" s="1"/>
  <c r="I72" i="67" s="1"/>
  <c r="J72" i="67" s="1"/>
  <c r="E65" i="67"/>
  <c r="I66" i="67" s="1"/>
  <c r="I71" i="67" s="1"/>
  <c r="J71" i="67" s="1"/>
  <c r="E53" i="67"/>
  <c r="I54" i="67" s="1"/>
  <c r="E62" i="67"/>
  <c r="I63" i="67" s="1"/>
  <c r="I68" i="67" s="1"/>
  <c r="J68" i="67" s="1"/>
  <c r="X12" i="67"/>
  <c r="T28" i="67"/>
  <c r="E59" i="66"/>
  <c r="I60" i="66" s="1"/>
  <c r="I72" i="66" s="1"/>
  <c r="J72" i="66" s="1"/>
  <c r="E62" i="66"/>
  <c r="I63" i="66" s="1"/>
  <c r="I68" i="66" s="1"/>
  <c r="J68" i="66" s="1"/>
  <c r="E65" i="66"/>
  <c r="I66" i="66" s="1"/>
  <c r="I71" i="66" s="1"/>
  <c r="J71" i="66" s="1"/>
  <c r="E53" i="66"/>
  <c r="I54" i="66" s="1"/>
  <c r="E59" i="65"/>
  <c r="I60" i="65" s="1"/>
  <c r="I72" i="65" s="1"/>
  <c r="J72" i="65" s="1"/>
  <c r="E65" i="65"/>
  <c r="I66" i="65" s="1"/>
  <c r="I71" i="65" s="1"/>
  <c r="J71" i="65" s="1"/>
  <c r="E62" i="65"/>
  <c r="I63" i="65" s="1"/>
  <c r="I68" i="65" s="1"/>
  <c r="J68" i="65" s="1"/>
  <c r="E53" i="65"/>
  <c r="I54" i="65" s="1"/>
  <c r="J12" i="65"/>
  <c r="J28" i="65" s="1"/>
  <c r="J33" i="65" s="1"/>
  <c r="B90" i="65"/>
  <c r="I28" i="65"/>
  <c r="G33" i="65" s="1"/>
  <c r="E56" i="65" s="1"/>
  <c r="S91" i="64"/>
  <c r="X91" i="64" s="1"/>
  <c r="J15" i="64"/>
  <c r="B91" i="64"/>
  <c r="I91" i="64" s="1"/>
  <c r="J12" i="64"/>
  <c r="I28" i="64"/>
  <c r="G33" i="64" s="1"/>
  <c r="E56" i="64" s="1"/>
  <c r="B90" i="64"/>
  <c r="Y16" i="64"/>
  <c r="S92" i="64"/>
  <c r="X92" i="64" s="1"/>
  <c r="T28" i="64"/>
  <c r="X12" i="64"/>
  <c r="J16" i="64"/>
  <c r="B92" i="64"/>
  <c r="I92" i="64" s="1"/>
  <c r="E59" i="64"/>
  <c r="I60" i="64" s="1"/>
  <c r="I72" i="64" s="1"/>
  <c r="J72" i="64" s="1"/>
  <c r="E65" i="64"/>
  <c r="I66" i="64" s="1"/>
  <c r="I71" i="64" s="1"/>
  <c r="J71" i="64" s="1"/>
  <c r="E62" i="64"/>
  <c r="I63" i="64" s="1"/>
  <c r="I68" i="64" s="1"/>
  <c r="J68" i="64" s="1"/>
  <c r="E53" i="64"/>
  <c r="I54" i="64" s="1"/>
  <c r="J16" i="63"/>
  <c r="B92" i="63"/>
  <c r="I92" i="63" s="1"/>
  <c r="X12" i="63"/>
  <c r="T28" i="63"/>
  <c r="S91" i="63"/>
  <c r="X91" i="63" s="1"/>
  <c r="Y14" i="63"/>
  <c r="Y16" i="63"/>
  <c r="S92" i="63"/>
  <c r="X92" i="63" s="1"/>
  <c r="E59" i="63"/>
  <c r="I60" i="63" s="1"/>
  <c r="I72" i="63" s="1"/>
  <c r="J72" i="63" s="1"/>
  <c r="E65" i="63"/>
  <c r="I66" i="63" s="1"/>
  <c r="I71" i="63" s="1"/>
  <c r="J71" i="63" s="1"/>
  <c r="E53" i="63"/>
  <c r="I54" i="63" s="1"/>
  <c r="E62" i="63"/>
  <c r="I63" i="63" s="1"/>
  <c r="I68" i="63" s="1"/>
  <c r="J68" i="63" s="1"/>
  <c r="J12" i="63"/>
  <c r="I28" i="63"/>
  <c r="G33" i="63" s="1"/>
  <c r="E56" i="63" s="1"/>
  <c r="I57" i="63" s="1"/>
  <c r="B90" i="63"/>
  <c r="B91" i="63"/>
  <c r="I91" i="63" s="1"/>
  <c r="J14" i="63"/>
  <c r="S91" i="62"/>
  <c r="X91" i="62" s="1"/>
  <c r="E59" i="62"/>
  <c r="I60" i="62" s="1"/>
  <c r="I72" i="62" s="1"/>
  <c r="J72" i="62" s="1"/>
  <c r="E62" i="62"/>
  <c r="I63" i="62" s="1"/>
  <c r="I68" i="62" s="1"/>
  <c r="J68" i="62" s="1"/>
  <c r="E65" i="62"/>
  <c r="I66" i="62" s="1"/>
  <c r="I71" i="62" s="1"/>
  <c r="J71" i="62" s="1"/>
  <c r="E53" i="62"/>
  <c r="I54" i="62" s="1"/>
  <c r="Y16" i="62"/>
  <c r="S92" i="62"/>
  <c r="X92" i="62" s="1"/>
  <c r="X12" i="62"/>
  <c r="T28" i="62"/>
  <c r="J16" i="62"/>
  <c r="B92" i="62"/>
  <c r="I92" i="62" s="1"/>
  <c r="J12" i="62"/>
  <c r="I28" i="62"/>
  <c r="G33" i="62" s="1"/>
  <c r="E56" i="62" s="1"/>
  <c r="I57" i="62" s="1"/>
  <c r="B90" i="62"/>
  <c r="J15" i="62"/>
  <c r="B91" i="62"/>
  <c r="I91" i="62" s="1"/>
  <c r="I28" i="61"/>
  <c r="G33" i="61" s="1"/>
  <c r="E56" i="61" s="1"/>
  <c r="I57" i="61" s="1"/>
  <c r="J12" i="61"/>
  <c r="J28" i="61" s="1"/>
  <c r="J33" i="61" s="1"/>
  <c r="B90" i="61"/>
  <c r="E59" i="61"/>
  <c r="I60" i="61" s="1"/>
  <c r="I72" i="61" s="1"/>
  <c r="J72" i="61" s="1"/>
  <c r="E65" i="61"/>
  <c r="I66" i="61" s="1"/>
  <c r="I71" i="61" s="1"/>
  <c r="J71" i="61" s="1"/>
  <c r="E53" i="61"/>
  <c r="I54" i="61" s="1"/>
  <c r="E62" i="61"/>
  <c r="I63" i="61" s="1"/>
  <c r="I68" i="61" s="1"/>
  <c r="J68" i="61" s="1"/>
  <c r="X87" i="60"/>
  <c r="Y87" i="60" s="1"/>
  <c r="E59" i="60"/>
  <c r="I60" i="60" s="1"/>
  <c r="I72" i="60" s="1"/>
  <c r="J72" i="60" s="1"/>
  <c r="E53" i="60"/>
  <c r="I54" i="60" s="1"/>
  <c r="E62" i="60"/>
  <c r="I63" i="60" s="1"/>
  <c r="I68" i="60" s="1"/>
  <c r="J68" i="60" s="1"/>
  <c r="E65" i="60"/>
  <c r="I66" i="60" s="1"/>
  <c r="I71" i="60" s="1"/>
  <c r="J71" i="60" s="1"/>
  <c r="B90" i="60"/>
  <c r="J12" i="60"/>
  <c r="J28" i="60" s="1"/>
  <c r="J33" i="60" s="1"/>
  <c r="I28" i="60"/>
  <c r="G33" i="60" s="1"/>
  <c r="E56" i="60" s="1"/>
  <c r="X90" i="60"/>
  <c r="Y93" i="60" s="1"/>
  <c r="S93" i="60"/>
  <c r="S91" i="59"/>
  <c r="X91" i="59" s="1"/>
  <c r="S92" i="59"/>
  <c r="X92" i="59" s="1"/>
  <c r="Y16" i="59"/>
  <c r="J16" i="59"/>
  <c r="B92" i="59"/>
  <c r="I92" i="59" s="1"/>
  <c r="J13" i="59"/>
  <c r="I28" i="59"/>
  <c r="G33" i="59" s="1"/>
  <c r="C56" i="59" s="1"/>
  <c r="B90" i="59"/>
  <c r="C59" i="59"/>
  <c r="I60" i="59" s="1"/>
  <c r="I72" i="59" s="1"/>
  <c r="J72" i="59" s="1"/>
  <c r="C65" i="59"/>
  <c r="I66" i="59" s="1"/>
  <c r="I71" i="59" s="1"/>
  <c r="J71" i="59" s="1"/>
  <c r="C53" i="59"/>
  <c r="I54" i="59" s="1"/>
  <c r="C62" i="59"/>
  <c r="I63" i="59" s="1"/>
  <c r="I68" i="59" s="1"/>
  <c r="J68" i="59" s="1"/>
  <c r="T28" i="59"/>
  <c r="Y12" i="59"/>
  <c r="X28" i="59"/>
  <c r="S90" i="59"/>
  <c r="V33" i="66" l="1"/>
  <c r="T55" i="66"/>
  <c r="X56" i="86"/>
  <c r="I86" i="83"/>
  <c r="J86" i="83" s="1"/>
  <c r="I57" i="71"/>
  <c r="T55" i="71"/>
  <c r="X56" i="71" s="1"/>
  <c r="I57" i="84"/>
  <c r="I86" i="84" s="1"/>
  <c r="J86" i="84" s="1"/>
  <c r="T55" i="84"/>
  <c r="X56" i="84" s="1"/>
  <c r="V33" i="59"/>
  <c r="T55" i="59"/>
  <c r="X56" i="59" s="1"/>
  <c r="I57" i="105"/>
  <c r="I86" i="105" s="1"/>
  <c r="J86" i="105" s="1"/>
  <c r="X56" i="105"/>
  <c r="I57" i="104"/>
  <c r="I86" i="104" s="1"/>
  <c r="J86" i="104" s="1"/>
  <c r="X56" i="104"/>
  <c r="I57" i="103"/>
  <c r="I85" i="103" s="1"/>
  <c r="J85" i="103" s="1"/>
  <c r="X56" i="103"/>
  <c r="I57" i="102"/>
  <c r="I86" i="102" s="1"/>
  <c r="J86" i="102" s="1"/>
  <c r="I57" i="99"/>
  <c r="I86" i="99" s="1"/>
  <c r="J86" i="99" s="1"/>
  <c r="X56" i="99"/>
  <c r="I57" i="98"/>
  <c r="I86" i="98" s="1"/>
  <c r="J86" i="98" s="1"/>
  <c r="X56" i="98"/>
  <c r="I57" i="96"/>
  <c r="I86" i="96" s="1"/>
  <c r="J86" i="96" s="1"/>
  <c r="X56" i="96"/>
  <c r="I57" i="95"/>
  <c r="I86" i="95" s="1"/>
  <c r="J86" i="95" s="1"/>
  <c r="X56" i="95"/>
  <c r="I57" i="94"/>
  <c r="I85" i="94" s="1"/>
  <c r="J85" i="94" s="1"/>
  <c r="T55" i="94"/>
  <c r="X56" i="94" s="1"/>
  <c r="I57" i="93"/>
  <c r="I86" i="93" s="1"/>
  <c r="J86" i="93" s="1"/>
  <c r="X56" i="93"/>
  <c r="I57" i="92"/>
  <c r="I86" i="92" s="1"/>
  <c r="J86" i="92" s="1"/>
  <c r="X56" i="92"/>
  <c r="I57" i="91"/>
  <c r="I85" i="91" s="1"/>
  <c r="J85" i="91" s="1"/>
  <c r="T55" i="91"/>
  <c r="X56" i="91" s="1"/>
  <c r="I57" i="90"/>
  <c r="I86" i="90" s="1"/>
  <c r="J86" i="90" s="1"/>
  <c r="X56" i="90"/>
  <c r="I57" i="89"/>
  <c r="I85" i="89" s="1"/>
  <c r="J85" i="89" s="1"/>
  <c r="X56" i="89"/>
  <c r="I57" i="88"/>
  <c r="I86" i="88" s="1"/>
  <c r="J86" i="88" s="1"/>
  <c r="X56" i="88"/>
  <c r="I57" i="87"/>
  <c r="I86" i="87" s="1"/>
  <c r="J86" i="87" s="1"/>
  <c r="X56" i="87"/>
  <c r="I57" i="85"/>
  <c r="I86" i="85" s="1"/>
  <c r="J86" i="85" s="1"/>
  <c r="X56" i="85"/>
  <c r="X86" i="83"/>
  <c r="Y86" i="83" s="1"/>
  <c r="X85" i="83"/>
  <c r="Y85" i="83" s="1"/>
  <c r="I57" i="82"/>
  <c r="I86" i="82" s="1"/>
  <c r="J86" i="82" s="1"/>
  <c r="X56" i="82"/>
  <c r="I57" i="80"/>
  <c r="I86" i="80" s="1"/>
  <c r="J86" i="80" s="1"/>
  <c r="X56" i="80"/>
  <c r="I57" i="79"/>
  <c r="I86" i="79" s="1"/>
  <c r="J86" i="79" s="1"/>
  <c r="X56" i="79"/>
  <c r="I57" i="78"/>
  <c r="I86" i="78" s="1"/>
  <c r="J86" i="78" s="1"/>
  <c r="X56" i="78"/>
  <c r="I57" i="77"/>
  <c r="I86" i="77" s="1"/>
  <c r="J86" i="77" s="1"/>
  <c r="I57" i="75"/>
  <c r="I86" i="75" s="1"/>
  <c r="J86" i="75" s="1"/>
  <c r="X56" i="75"/>
  <c r="I57" i="74"/>
  <c r="I86" i="74" s="1"/>
  <c r="J86" i="74" s="1"/>
  <c r="X56" i="74"/>
  <c r="I57" i="73"/>
  <c r="I85" i="73" s="1"/>
  <c r="J85" i="73" s="1"/>
  <c r="X56" i="73"/>
  <c r="I57" i="72"/>
  <c r="I86" i="72" s="1"/>
  <c r="J86" i="72" s="1"/>
  <c r="X56" i="72"/>
  <c r="I57" i="70"/>
  <c r="I86" i="70" s="1"/>
  <c r="J86" i="70" s="1"/>
  <c r="X56" i="70"/>
  <c r="I57" i="69"/>
  <c r="I86" i="69" s="1"/>
  <c r="J86" i="69" s="1"/>
  <c r="I57" i="65"/>
  <c r="I86" i="65" s="1"/>
  <c r="J86" i="65" s="1"/>
  <c r="X56" i="65"/>
  <c r="I57" i="64"/>
  <c r="I86" i="64" s="1"/>
  <c r="J86" i="64" s="1"/>
  <c r="T55" i="101"/>
  <c r="T52" i="101"/>
  <c r="X53" i="101" s="1"/>
  <c r="E56" i="101"/>
  <c r="I57" i="101" s="1"/>
  <c r="J93" i="66"/>
  <c r="I57" i="60"/>
  <c r="I86" i="60" s="1"/>
  <c r="J86" i="60" s="1"/>
  <c r="T55" i="60"/>
  <c r="X56" i="60" s="1"/>
  <c r="I57" i="97"/>
  <c r="I86" i="97" s="1"/>
  <c r="J86" i="97" s="1"/>
  <c r="T55" i="97"/>
  <c r="X56" i="97" s="1"/>
  <c r="I57" i="59"/>
  <c r="I86" i="59" s="1"/>
  <c r="J86" i="59" s="1"/>
  <c r="J28" i="101"/>
  <c r="J33" i="101" s="1"/>
  <c r="J28" i="59"/>
  <c r="J33" i="59" s="1"/>
  <c r="S93" i="66"/>
  <c r="B93" i="66"/>
  <c r="T61" i="101"/>
  <c r="X62" i="101" s="1"/>
  <c r="X67" i="101" s="1"/>
  <c r="Y67" i="101" s="1"/>
  <c r="T58" i="101"/>
  <c r="X59" i="101" s="1"/>
  <c r="X71" i="101" s="1"/>
  <c r="Y71" i="101" s="1"/>
  <c r="T64" i="101"/>
  <c r="X65" i="101" s="1"/>
  <c r="X70" i="101" s="1"/>
  <c r="Y70" i="101" s="1"/>
  <c r="Y13" i="101"/>
  <c r="Y28" i="101" s="1"/>
  <c r="Y33" i="101" s="1"/>
  <c r="S90" i="101"/>
  <c r="X28" i="101"/>
  <c r="V33" i="101" s="1"/>
  <c r="Y13" i="76"/>
  <c r="Y28" i="76" s="1"/>
  <c r="Y33" i="76" s="1"/>
  <c r="S90" i="76"/>
  <c r="X28" i="76"/>
  <c r="T58" i="76"/>
  <c r="X59" i="76" s="1"/>
  <c r="X71" i="76" s="1"/>
  <c r="Y71" i="76" s="1"/>
  <c r="T64" i="76"/>
  <c r="X65" i="76" s="1"/>
  <c r="X70" i="76" s="1"/>
  <c r="Y70" i="76" s="1"/>
  <c r="T52" i="76"/>
  <c r="X53" i="76" s="1"/>
  <c r="T61" i="76"/>
  <c r="X62" i="76" s="1"/>
  <c r="X67" i="76" s="1"/>
  <c r="Y67" i="76" s="1"/>
  <c r="X90" i="66"/>
  <c r="Y93" i="66" s="1"/>
  <c r="T58" i="66"/>
  <c r="X59" i="66" s="1"/>
  <c r="X71" i="66" s="1"/>
  <c r="Y71" i="66" s="1"/>
  <c r="T64" i="66"/>
  <c r="X65" i="66" s="1"/>
  <c r="X70" i="66" s="1"/>
  <c r="Y70" i="66" s="1"/>
  <c r="T52" i="66"/>
  <c r="X53" i="66" s="1"/>
  <c r="T61" i="66"/>
  <c r="X62" i="66" s="1"/>
  <c r="X67" i="66" s="1"/>
  <c r="Y67" i="66" s="1"/>
  <c r="E56" i="66"/>
  <c r="I57" i="66" s="1"/>
  <c r="T64" i="61"/>
  <c r="X65" i="61" s="1"/>
  <c r="X70" i="61" s="1"/>
  <c r="Y70" i="61" s="1"/>
  <c r="T58" i="61"/>
  <c r="X59" i="61" s="1"/>
  <c r="X71" i="61" s="1"/>
  <c r="Y71" i="61" s="1"/>
  <c r="T52" i="61"/>
  <c r="X53" i="61" s="1"/>
  <c r="T61" i="61"/>
  <c r="X62" i="61" s="1"/>
  <c r="X67" i="61" s="1"/>
  <c r="Y67" i="61" s="1"/>
  <c r="Y13" i="61"/>
  <c r="Y28" i="61" s="1"/>
  <c r="Y33" i="61" s="1"/>
  <c r="S90" i="61"/>
  <c r="X28" i="61"/>
  <c r="Y28" i="59"/>
  <c r="Y33" i="59" s="1"/>
  <c r="I87" i="105"/>
  <c r="J87" i="105" s="1"/>
  <c r="I70" i="105"/>
  <c r="B93" i="105"/>
  <c r="I90" i="105"/>
  <c r="J93" i="105" s="1"/>
  <c r="B93" i="104"/>
  <c r="I90" i="104"/>
  <c r="J93" i="104" s="1"/>
  <c r="I70" i="104"/>
  <c r="I87" i="104"/>
  <c r="J87" i="104" s="1"/>
  <c r="I70" i="103"/>
  <c r="I87" i="103"/>
  <c r="J87" i="103" s="1"/>
  <c r="B93" i="103"/>
  <c r="I90" i="103"/>
  <c r="J93" i="103" s="1"/>
  <c r="J28" i="102"/>
  <c r="J33" i="102" s="1"/>
  <c r="I70" i="102"/>
  <c r="I87" i="102"/>
  <c r="J87" i="102" s="1"/>
  <c r="Y12" i="102"/>
  <c r="Y28" i="102" s="1"/>
  <c r="Y33" i="102" s="1"/>
  <c r="X28" i="102"/>
  <c r="S90" i="102"/>
  <c r="B93" i="102"/>
  <c r="I90" i="102"/>
  <c r="J93" i="102" s="1"/>
  <c r="T52" i="102"/>
  <c r="X53" i="102" s="1"/>
  <c r="T64" i="102"/>
  <c r="X65" i="102" s="1"/>
  <c r="X70" i="102" s="1"/>
  <c r="Y70" i="102" s="1"/>
  <c r="T58" i="102"/>
  <c r="X59" i="102" s="1"/>
  <c r="X71" i="102" s="1"/>
  <c r="Y71" i="102" s="1"/>
  <c r="T61" i="102"/>
  <c r="X62" i="102" s="1"/>
  <c r="X67" i="102" s="1"/>
  <c r="Y67" i="102" s="1"/>
  <c r="B93" i="101"/>
  <c r="I90" i="101"/>
  <c r="J93" i="101" s="1"/>
  <c r="I87" i="101"/>
  <c r="J87" i="101" s="1"/>
  <c r="I70" i="101"/>
  <c r="I87" i="100"/>
  <c r="J87" i="100" s="1"/>
  <c r="I70" i="100"/>
  <c r="I86" i="100"/>
  <c r="J86" i="100" s="1"/>
  <c r="I85" i="100"/>
  <c r="J85" i="100" s="1"/>
  <c r="B93" i="100"/>
  <c r="I90" i="100"/>
  <c r="J93" i="100" s="1"/>
  <c r="B93" i="99"/>
  <c r="I90" i="99"/>
  <c r="J93" i="99" s="1"/>
  <c r="I87" i="99"/>
  <c r="J87" i="99" s="1"/>
  <c r="I70" i="99"/>
  <c r="I70" i="98"/>
  <c r="I87" i="98"/>
  <c r="J87" i="98" s="1"/>
  <c r="B93" i="98"/>
  <c r="I90" i="98"/>
  <c r="J93" i="98" s="1"/>
  <c r="I70" i="97"/>
  <c r="I87" i="97"/>
  <c r="J87" i="97" s="1"/>
  <c r="B93" i="97"/>
  <c r="I90" i="97"/>
  <c r="J93" i="97" s="1"/>
  <c r="I70" i="96"/>
  <c r="I87" i="96"/>
  <c r="J87" i="96" s="1"/>
  <c r="B93" i="96"/>
  <c r="I90" i="96"/>
  <c r="J93" i="96" s="1"/>
  <c r="I87" i="95"/>
  <c r="J87" i="95" s="1"/>
  <c r="I70" i="95"/>
  <c r="B93" i="95"/>
  <c r="I90" i="95"/>
  <c r="J93" i="95" s="1"/>
  <c r="I70" i="94"/>
  <c r="I87" i="94"/>
  <c r="J87" i="94" s="1"/>
  <c r="B93" i="94"/>
  <c r="I90" i="94"/>
  <c r="J93" i="94" s="1"/>
  <c r="I87" i="93"/>
  <c r="J87" i="93" s="1"/>
  <c r="I70" i="93"/>
  <c r="B93" i="93"/>
  <c r="I90" i="93"/>
  <c r="J93" i="93" s="1"/>
  <c r="I87" i="92"/>
  <c r="J87" i="92" s="1"/>
  <c r="I70" i="92"/>
  <c r="B93" i="92"/>
  <c r="I90" i="92"/>
  <c r="J93" i="92" s="1"/>
  <c r="B93" i="91"/>
  <c r="I90" i="91"/>
  <c r="J93" i="91" s="1"/>
  <c r="I70" i="91"/>
  <c r="I87" i="91"/>
  <c r="J87" i="91" s="1"/>
  <c r="B93" i="90"/>
  <c r="I90" i="90"/>
  <c r="J93" i="90" s="1"/>
  <c r="I70" i="90"/>
  <c r="I87" i="90"/>
  <c r="J87" i="90" s="1"/>
  <c r="I70" i="89"/>
  <c r="I87" i="89"/>
  <c r="J87" i="89" s="1"/>
  <c r="B93" i="89"/>
  <c r="I90" i="89"/>
  <c r="J93" i="89" s="1"/>
  <c r="I70" i="88"/>
  <c r="I87" i="88"/>
  <c r="J87" i="88" s="1"/>
  <c r="B93" i="88"/>
  <c r="I90" i="88"/>
  <c r="J93" i="88" s="1"/>
  <c r="I70" i="87"/>
  <c r="I87" i="87"/>
  <c r="J87" i="87" s="1"/>
  <c r="B93" i="87"/>
  <c r="I90" i="87"/>
  <c r="J93" i="87" s="1"/>
  <c r="I70" i="86"/>
  <c r="I87" i="86"/>
  <c r="J87" i="86" s="1"/>
  <c r="I86" i="86"/>
  <c r="J86" i="86" s="1"/>
  <c r="I85" i="86"/>
  <c r="J85" i="86" s="1"/>
  <c r="B93" i="86"/>
  <c r="I90" i="86"/>
  <c r="J93" i="86" s="1"/>
  <c r="B93" i="85"/>
  <c r="I90" i="85"/>
  <c r="J93" i="85" s="1"/>
  <c r="I70" i="85"/>
  <c r="I87" i="85"/>
  <c r="J87" i="85" s="1"/>
  <c r="B93" i="84"/>
  <c r="I90" i="84"/>
  <c r="J93" i="84" s="1"/>
  <c r="I70" i="84"/>
  <c r="I87" i="84"/>
  <c r="J87" i="84" s="1"/>
  <c r="I70" i="83"/>
  <c r="I87" i="83"/>
  <c r="J87" i="83" s="1"/>
  <c r="B93" i="82"/>
  <c r="I90" i="82"/>
  <c r="J93" i="82" s="1"/>
  <c r="I70" i="82"/>
  <c r="I87" i="82"/>
  <c r="J87" i="82" s="1"/>
  <c r="I86" i="81"/>
  <c r="J86" i="81" s="1"/>
  <c r="I85" i="81"/>
  <c r="J85" i="81" s="1"/>
  <c r="B93" i="81"/>
  <c r="I90" i="81"/>
  <c r="J93" i="81" s="1"/>
  <c r="I70" i="81"/>
  <c r="I87" i="81"/>
  <c r="J87" i="81" s="1"/>
  <c r="I70" i="80"/>
  <c r="I87" i="80"/>
  <c r="J87" i="80" s="1"/>
  <c r="B93" i="80"/>
  <c r="I90" i="80"/>
  <c r="J93" i="80" s="1"/>
  <c r="Y109" i="79"/>
  <c r="J111" i="79" s="1"/>
  <c r="B93" i="79"/>
  <c r="I90" i="79"/>
  <c r="J93" i="79" s="1"/>
  <c r="I70" i="79"/>
  <c r="I87" i="79"/>
  <c r="J87" i="79" s="1"/>
  <c r="B93" i="78"/>
  <c r="I90" i="78"/>
  <c r="J93" i="78" s="1"/>
  <c r="I70" i="78"/>
  <c r="I87" i="78"/>
  <c r="J87" i="78" s="1"/>
  <c r="I70" i="77"/>
  <c r="I87" i="77"/>
  <c r="J87" i="77" s="1"/>
  <c r="X28" i="77"/>
  <c r="Y12" i="77"/>
  <c r="Y28" i="77" s="1"/>
  <c r="Y33" i="77" s="1"/>
  <c r="S90" i="77"/>
  <c r="B93" i="77"/>
  <c r="I90" i="77"/>
  <c r="J93" i="77" s="1"/>
  <c r="T58" i="77"/>
  <c r="X59" i="77" s="1"/>
  <c r="X71" i="77" s="1"/>
  <c r="Y71" i="77" s="1"/>
  <c r="T64" i="77"/>
  <c r="X65" i="77" s="1"/>
  <c r="X70" i="77" s="1"/>
  <c r="Y70" i="77" s="1"/>
  <c r="X53" i="77"/>
  <c r="T61" i="77"/>
  <c r="X62" i="77" s="1"/>
  <c r="X67" i="77" s="1"/>
  <c r="Y67" i="77" s="1"/>
  <c r="J28" i="77"/>
  <c r="J33" i="77" s="1"/>
  <c r="B93" i="76"/>
  <c r="I90" i="76"/>
  <c r="J93" i="76" s="1"/>
  <c r="I70" i="76"/>
  <c r="I87" i="76"/>
  <c r="J87" i="76" s="1"/>
  <c r="I86" i="76"/>
  <c r="J86" i="76" s="1"/>
  <c r="I85" i="76"/>
  <c r="J85" i="76" s="1"/>
  <c r="B93" i="75"/>
  <c r="I90" i="75"/>
  <c r="J93" i="75" s="1"/>
  <c r="I70" i="75"/>
  <c r="I87" i="75"/>
  <c r="J87" i="75" s="1"/>
  <c r="B93" i="74"/>
  <c r="I90" i="74"/>
  <c r="J93" i="74" s="1"/>
  <c r="I87" i="74"/>
  <c r="J87" i="74" s="1"/>
  <c r="I70" i="74"/>
  <c r="B93" i="73"/>
  <c r="I90" i="73"/>
  <c r="J93" i="73" s="1"/>
  <c r="I70" i="73"/>
  <c r="I87" i="73"/>
  <c r="J87" i="73" s="1"/>
  <c r="B93" i="72"/>
  <c r="I90" i="72"/>
  <c r="J93" i="72" s="1"/>
  <c r="I70" i="72"/>
  <c r="I87" i="72"/>
  <c r="J87" i="72" s="1"/>
  <c r="B93" i="71"/>
  <c r="I90" i="71"/>
  <c r="J93" i="71" s="1"/>
  <c r="I70" i="71"/>
  <c r="I87" i="71"/>
  <c r="J87" i="71" s="1"/>
  <c r="I85" i="71"/>
  <c r="J85" i="71" s="1"/>
  <c r="I86" i="71"/>
  <c r="J86" i="71" s="1"/>
  <c r="I70" i="70"/>
  <c r="I87" i="70"/>
  <c r="J87" i="70" s="1"/>
  <c r="B93" i="70"/>
  <c r="I90" i="70"/>
  <c r="J93" i="70" s="1"/>
  <c r="T61" i="69"/>
  <c r="X62" i="69" s="1"/>
  <c r="X67" i="69" s="1"/>
  <c r="Y67" i="69" s="1"/>
  <c r="T58" i="69"/>
  <c r="X59" i="69" s="1"/>
  <c r="X71" i="69" s="1"/>
  <c r="Y71" i="69" s="1"/>
  <c r="T64" i="69"/>
  <c r="X65" i="69" s="1"/>
  <c r="X70" i="69" s="1"/>
  <c r="Y70" i="69" s="1"/>
  <c r="T52" i="69"/>
  <c r="X53" i="69" s="1"/>
  <c r="B93" i="69"/>
  <c r="I90" i="69"/>
  <c r="J93" i="69" s="1"/>
  <c r="Y12" i="69"/>
  <c r="Y28" i="69" s="1"/>
  <c r="Y33" i="69" s="1"/>
  <c r="X28" i="69"/>
  <c r="S90" i="69"/>
  <c r="J28" i="69"/>
  <c r="J33" i="69" s="1"/>
  <c r="I87" i="69"/>
  <c r="J87" i="69" s="1"/>
  <c r="I70" i="69"/>
  <c r="I87" i="68"/>
  <c r="J87" i="68" s="1"/>
  <c r="I70" i="68"/>
  <c r="B93" i="68"/>
  <c r="I90" i="68"/>
  <c r="J93" i="68" s="1"/>
  <c r="T64" i="68"/>
  <c r="X65" i="68" s="1"/>
  <c r="X70" i="68" s="1"/>
  <c r="Y70" i="68" s="1"/>
  <c r="T58" i="68"/>
  <c r="X59" i="68" s="1"/>
  <c r="X71" i="68" s="1"/>
  <c r="Y71" i="68" s="1"/>
  <c r="T61" i="68"/>
  <c r="X62" i="68" s="1"/>
  <c r="X67" i="68" s="1"/>
  <c r="Y67" i="68" s="1"/>
  <c r="T52" i="68"/>
  <c r="X53" i="68" s="1"/>
  <c r="I86" i="68"/>
  <c r="J86" i="68" s="1"/>
  <c r="I85" i="68"/>
  <c r="J85" i="68" s="1"/>
  <c r="Y12" i="68"/>
  <c r="Y28" i="68" s="1"/>
  <c r="Y33" i="68" s="1"/>
  <c r="X28" i="68"/>
  <c r="S90" i="68"/>
  <c r="J28" i="68"/>
  <c r="J33" i="68" s="1"/>
  <c r="T64" i="67"/>
  <c r="X65" i="67" s="1"/>
  <c r="X70" i="67" s="1"/>
  <c r="Y70" i="67" s="1"/>
  <c r="T52" i="67"/>
  <c r="X53" i="67" s="1"/>
  <c r="T58" i="67"/>
  <c r="X59" i="67" s="1"/>
  <c r="X71" i="67" s="1"/>
  <c r="Y71" i="67" s="1"/>
  <c r="T61" i="67"/>
  <c r="X62" i="67" s="1"/>
  <c r="X67" i="67" s="1"/>
  <c r="Y67" i="67" s="1"/>
  <c r="S90" i="67"/>
  <c r="Y12" i="67"/>
  <c r="Y28" i="67" s="1"/>
  <c r="Y33" i="67" s="1"/>
  <c r="X28" i="67"/>
  <c r="I70" i="67"/>
  <c r="I87" i="67"/>
  <c r="J87" i="67" s="1"/>
  <c r="J28" i="67"/>
  <c r="J33" i="67" s="1"/>
  <c r="I86" i="67"/>
  <c r="J86" i="67" s="1"/>
  <c r="I85" i="67"/>
  <c r="J85" i="67" s="1"/>
  <c r="B93" i="67"/>
  <c r="I90" i="67"/>
  <c r="J93" i="67" s="1"/>
  <c r="I70" i="66"/>
  <c r="I87" i="66"/>
  <c r="J87" i="66" s="1"/>
  <c r="B93" i="65"/>
  <c r="I90" i="65"/>
  <c r="J93" i="65" s="1"/>
  <c r="I70" i="65"/>
  <c r="I87" i="65"/>
  <c r="J87" i="65" s="1"/>
  <c r="T52" i="64"/>
  <c r="X53" i="64" s="1"/>
  <c r="T58" i="64"/>
  <c r="X59" i="64" s="1"/>
  <c r="X71" i="64" s="1"/>
  <c r="Y71" i="64" s="1"/>
  <c r="T64" i="64"/>
  <c r="X65" i="64" s="1"/>
  <c r="X70" i="64" s="1"/>
  <c r="Y70" i="64" s="1"/>
  <c r="T61" i="64"/>
  <c r="X62" i="64" s="1"/>
  <c r="X67" i="64" s="1"/>
  <c r="Y67" i="64" s="1"/>
  <c r="J28" i="64"/>
  <c r="J33" i="64" s="1"/>
  <c r="I70" i="64"/>
  <c r="I87" i="64"/>
  <c r="J87" i="64" s="1"/>
  <c r="B93" i="64"/>
  <c r="I90" i="64"/>
  <c r="J93" i="64" s="1"/>
  <c r="X28" i="64"/>
  <c r="S90" i="64"/>
  <c r="Y12" i="64"/>
  <c r="Y28" i="64" s="1"/>
  <c r="Y33" i="64" s="1"/>
  <c r="J28" i="63"/>
  <c r="J33" i="63" s="1"/>
  <c r="I70" i="63"/>
  <c r="I87" i="63"/>
  <c r="J87" i="63" s="1"/>
  <c r="I86" i="63"/>
  <c r="J86" i="63" s="1"/>
  <c r="I85" i="63"/>
  <c r="J85" i="63" s="1"/>
  <c r="Y12" i="63"/>
  <c r="Y28" i="63" s="1"/>
  <c r="Y33" i="63" s="1"/>
  <c r="X28" i="63"/>
  <c r="S90" i="63"/>
  <c r="B93" i="63"/>
  <c r="I90" i="63"/>
  <c r="J93" i="63" s="1"/>
  <c r="T58" i="63"/>
  <c r="X59" i="63" s="1"/>
  <c r="X71" i="63" s="1"/>
  <c r="Y71" i="63" s="1"/>
  <c r="T64" i="63"/>
  <c r="X65" i="63" s="1"/>
  <c r="X70" i="63" s="1"/>
  <c r="Y70" i="63" s="1"/>
  <c r="T52" i="63"/>
  <c r="X53" i="63" s="1"/>
  <c r="T61" i="63"/>
  <c r="X62" i="63" s="1"/>
  <c r="X67" i="63" s="1"/>
  <c r="Y67" i="63" s="1"/>
  <c r="T64" i="62"/>
  <c r="X65" i="62" s="1"/>
  <c r="X70" i="62" s="1"/>
  <c r="Y70" i="62" s="1"/>
  <c r="T52" i="62"/>
  <c r="X53" i="62" s="1"/>
  <c r="T61" i="62"/>
  <c r="X62" i="62" s="1"/>
  <c r="X67" i="62" s="1"/>
  <c r="Y67" i="62" s="1"/>
  <c r="T58" i="62"/>
  <c r="X59" i="62" s="1"/>
  <c r="X71" i="62" s="1"/>
  <c r="Y71" i="62" s="1"/>
  <c r="B93" i="62"/>
  <c r="I90" i="62"/>
  <c r="J93" i="62" s="1"/>
  <c r="J28" i="62"/>
  <c r="J33" i="62" s="1"/>
  <c r="Y12" i="62"/>
  <c r="Y28" i="62" s="1"/>
  <c r="Y33" i="62" s="1"/>
  <c r="X28" i="62"/>
  <c r="S90" i="62"/>
  <c r="I86" i="62"/>
  <c r="J86" i="62" s="1"/>
  <c r="I85" i="62"/>
  <c r="J85" i="62" s="1"/>
  <c r="I70" i="62"/>
  <c r="I87" i="62"/>
  <c r="J87" i="62" s="1"/>
  <c r="I70" i="61"/>
  <c r="I87" i="61"/>
  <c r="J87" i="61" s="1"/>
  <c r="I86" i="61"/>
  <c r="J86" i="61" s="1"/>
  <c r="I85" i="61"/>
  <c r="J85" i="61" s="1"/>
  <c r="B93" i="61"/>
  <c r="I90" i="61"/>
  <c r="J93" i="61" s="1"/>
  <c r="B93" i="60"/>
  <c r="I90" i="60"/>
  <c r="J93" i="60" s="1"/>
  <c r="I70" i="60"/>
  <c r="I87" i="60"/>
  <c r="J87" i="60" s="1"/>
  <c r="S93" i="59"/>
  <c r="X90" i="59"/>
  <c r="Y93" i="59" s="1"/>
  <c r="T58" i="59"/>
  <c r="X59" i="59" s="1"/>
  <c r="X71" i="59" s="1"/>
  <c r="Y71" i="59" s="1"/>
  <c r="T52" i="59"/>
  <c r="X53" i="59" s="1"/>
  <c r="T64" i="59"/>
  <c r="X65" i="59" s="1"/>
  <c r="X70" i="59" s="1"/>
  <c r="Y70" i="59" s="1"/>
  <c r="T61" i="59"/>
  <c r="X62" i="59" s="1"/>
  <c r="X67" i="59" s="1"/>
  <c r="Y67" i="59" s="1"/>
  <c r="I70" i="59"/>
  <c r="I87" i="59"/>
  <c r="J87" i="59" s="1"/>
  <c r="B93" i="59"/>
  <c r="I90" i="59"/>
  <c r="J93" i="59" s="1"/>
  <c r="Y38" i="58"/>
  <c r="I85" i="96" l="1"/>
  <c r="J85" i="96" s="1"/>
  <c r="I85" i="105"/>
  <c r="J85" i="105" s="1"/>
  <c r="I85" i="102"/>
  <c r="J85" i="102" s="1"/>
  <c r="V33" i="62"/>
  <c r="T55" i="62"/>
  <c r="V33" i="67"/>
  <c r="T55" i="67"/>
  <c r="V33" i="68"/>
  <c r="T55" i="68"/>
  <c r="V33" i="69"/>
  <c r="T55" i="69"/>
  <c r="V33" i="61"/>
  <c r="T55" i="61"/>
  <c r="V33" i="64"/>
  <c r="T55" i="64"/>
  <c r="X85" i="86"/>
  <c r="Y85" i="86" s="1"/>
  <c r="X86" i="86"/>
  <c r="Y86" i="86" s="1"/>
  <c r="V33" i="102"/>
  <c r="T55" i="102"/>
  <c r="V33" i="77"/>
  <c r="T55" i="77"/>
  <c r="X56" i="77" s="1"/>
  <c r="X86" i="77" s="1"/>
  <c r="Y86" i="77" s="1"/>
  <c r="I85" i="84"/>
  <c r="J85" i="84" s="1"/>
  <c r="V33" i="76"/>
  <c r="T55" i="76"/>
  <c r="V33" i="63"/>
  <c r="T55" i="63"/>
  <c r="X56" i="66"/>
  <c r="I86" i="103"/>
  <c r="J86" i="103" s="1"/>
  <c r="I85" i="95"/>
  <c r="J85" i="95" s="1"/>
  <c r="I85" i="104"/>
  <c r="J85" i="104" s="1"/>
  <c r="I85" i="79"/>
  <c r="J85" i="79" s="1"/>
  <c r="X85" i="84"/>
  <c r="Y85" i="84" s="1"/>
  <c r="X86" i="84"/>
  <c r="Y86" i="84" s="1"/>
  <c r="X85" i="71"/>
  <c r="Y85" i="71" s="1"/>
  <c r="X86" i="71"/>
  <c r="Y86" i="71" s="1"/>
  <c r="I85" i="88"/>
  <c r="J85" i="88" s="1"/>
  <c r="I85" i="93"/>
  <c r="J85" i="93" s="1"/>
  <c r="I85" i="90"/>
  <c r="J85" i="90" s="1"/>
  <c r="I86" i="89"/>
  <c r="J86" i="89" s="1"/>
  <c r="I85" i="82"/>
  <c r="J85" i="82" s="1"/>
  <c r="I85" i="99"/>
  <c r="J85" i="99" s="1"/>
  <c r="I85" i="78"/>
  <c r="J85" i="78" s="1"/>
  <c r="I85" i="98"/>
  <c r="J85" i="98" s="1"/>
  <c r="I85" i="85"/>
  <c r="J85" i="85" s="1"/>
  <c r="I85" i="87"/>
  <c r="J85" i="87" s="1"/>
  <c r="I85" i="92"/>
  <c r="J85" i="92" s="1"/>
  <c r="I86" i="94"/>
  <c r="J86" i="94" s="1"/>
  <c r="X86" i="105"/>
  <c r="Y86" i="105" s="1"/>
  <c r="X85" i="105"/>
  <c r="Y85" i="105" s="1"/>
  <c r="X86" i="104"/>
  <c r="Y86" i="104" s="1"/>
  <c r="X85" i="104"/>
  <c r="Y85" i="104" s="1"/>
  <c r="X85" i="103"/>
  <c r="Y85" i="103" s="1"/>
  <c r="X86" i="103"/>
  <c r="Y86" i="103" s="1"/>
  <c r="X86" i="99"/>
  <c r="Y86" i="99" s="1"/>
  <c r="X85" i="99"/>
  <c r="Y85" i="99" s="1"/>
  <c r="X86" i="98"/>
  <c r="Y86" i="98" s="1"/>
  <c r="X85" i="98"/>
  <c r="Y85" i="98" s="1"/>
  <c r="X86" i="96"/>
  <c r="Y86" i="96" s="1"/>
  <c r="X85" i="96"/>
  <c r="Y85" i="96" s="1"/>
  <c r="X86" i="95"/>
  <c r="Y86" i="95" s="1"/>
  <c r="X85" i="95"/>
  <c r="Y85" i="95" s="1"/>
  <c r="X86" i="94"/>
  <c r="Y86" i="94" s="1"/>
  <c r="X85" i="94"/>
  <c r="Y85" i="94" s="1"/>
  <c r="X85" i="93"/>
  <c r="Y85" i="93" s="1"/>
  <c r="X86" i="93"/>
  <c r="Y86" i="93" s="1"/>
  <c r="X86" i="92"/>
  <c r="Y86" i="92" s="1"/>
  <c r="X85" i="92"/>
  <c r="Y85" i="92" s="1"/>
  <c r="I86" i="91"/>
  <c r="J86" i="91" s="1"/>
  <c r="X85" i="91"/>
  <c r="Y85" i="91" s="1"/>
  <c r="X86" i="91"/>
  <c r="Y86" i="91" s="1"/>
  <c r="X86" i="90"/>
  <c r="Y86" i="90" s="1"/>
  <c r="X85" i="90"/>
  <c r="Y85" i="90" s="1"/>
  <c r="X86" i="89"/>
  <c r="Y86" i="89" s="1"/>
  <c r="X85" i="89"/>
  <c r="Y85" i="89" s="1"/>
  <c r="X86" i="88"/>
  <c r="Y86" i="88" s="1"/>
  <c r="X85" i="88"/>
  <c r="Y85" i="88" s="1"/>
  <c r="X86" i="87"/>
  <c r="Y86" i="87" s="1"/>
  <c r="X85" i="87"/>
  <c r="Y85" i="87" s="1"/>
  <c r="X85" i="85"/>
  <c r="Y85" i="85" s="1"/>
  <c r="X86" i="85"/>
  <c r="Y86" i="85" s="1"/>
  <c r="X85" i="82"/>
  <c r="Y85" i="82" s="1"/>
  <c r="X86" i="82"/>
  <c r="Y86" i="82" s="1"/>
  <c r="I85" i="70"/>
  <c r="J85" i="70" s="1"/>
  <c r="I86" i="73"/>
  <c r="J86" i="73" s="1"/>
  <c r="I85" i="80"/>
  <c r="J85" i="80" s="1"/>
  <c r="I85" i="64"/>
  <c r="J85" i="64" s="1"/>
  <c r="I85" i="69"/>
  <c r="J85" i="69" s="1"/>
  <c r="X86" i="80"/>
  <c r="Y86" i="80" s="1"/>
  <c r="X85" i="80"/>
  <c r="Y85" i="80" s="1"/>
  <c r="X85" i="79"/>
  <c r="Y85" i="79" s="1"/>
  <c r="X86" i="79"/>
  <c r="Y86" i="79" s="1"/>
  <c r="X85" i="78"/>
  <c r="Y85" i="78" s="1"/>
  <c r="X86" i="78"/>
  <c r="Y86" i="78" s="1"/>
  <c r="I85" i="77"/>
  <c r="J85" i="77" s="1"/>
  <c r="I85" i="75"/>
  <c r="J85" i="75" s="1"/>
  <c r="X86" i="75"/>
  <c r="Y86" i="75" s="1"/>
  <c r="X85" i="75"/>
  <c r="Y85" i="75" s="1"/>
  <c r="I85" i="74"/>
  <c r="J85" i="74" s="1"/>
  <c r="X86" i="74"/>
  <c r="Y86" i="74" s="1"/>
  <c r="X85" i="74"/>
  <c r="Y85" i="74" s="1"/>
  <c r="X86" i="73"/>
  <c r="Y86" i="73" s="1"/>
  <c r="X85" i="73"/>
  <c r="Y85" i="73" s="1"/>
  <c r="I85" i="72"/>
  <c r="J85" i="72" s="1"/>
  <c r="X86" i="72"/>
  <c r="Y86" i="72" s="1"/>
  <c r="X85" i="72"/>
  <c r="Y85" i="72" s="1"/>
  <c r="X85" i="70"/>
  <c r="Y85" i="70" s="1"/>
  <c r="X86" i="70"/>
  <c r="Y86" i="70" s="1"/>
  <c r="X56" i="69"/>
  <c r="X85" i="69" s="1"/>
  <c r="Y85" i="69" s="1"/>
  <c r="I85" i="65"/>
  <c r="J85" i="65" s="1"/>
  <c r="X86" i="65"/>
  <c r="Y86" i="65" s="1"/>
  <c r="X85" i="65"/>
  <c r="Y85" i="65" s="1"/>
  <c r="X56" i="101"/>
  <c r="X85" i="101" s="1"/>
  <c r="Y85" i="101" s="1"/>
  <c r="I85" i="101"/>
  <c r="J85" i="101" s="1"/>
  <c r="I86" i="101"/>
  <c r="J86" i="101" s="1"/>
  <c r="I85" i="60"/>
  <c r="J85" i="60" s="1"/>
  <c r="I85" i="97"/>
  <c r="J85" i="97" s="1"/>
  <c r="I85" i="59"/>
  <c r="J85" i="59" s="1"/>
  <c r="X86" i="60"/>
  <c r="Y86" i="60" s="1"/>
  <c r="X85" i="60"/>
  <c r="Y85" i="60" s="1"/>
  <c r="X85" i="97"/>
  <c r="Y85" i="97" s="1"/>
  <c r="X86" i="97"/>
  <c r="Y86" i="97" s="1"/>
  <c r="X85" i="59"/>
  <c r="Y85" i="59" s="1"/>
  <c r="X86" i="59"/>
  <c r="Y86" i="59" s="1"/>
  <c r="X87" i="101"/>
  <c r="Y87" i="101" s="1"/>
  <c r="X69" i="101"/>
  <c r="S93" i="101"/>
  <c r="X90" i="101"/>
  <c r="Y93" i="101" s="1"/>
  <c r="X87" i="76"/>
  <c r="Y87" i="76" s="1"/>
  <c r="X69" i="76"/>
  <c r="X90" i="76"/>
  <c r="Y93" i="76" s="1"/>
  <c r="S93" i="76"/>
  <c r="I86" i="66"/>
  <c r="J86" i="66" s="1"/>
  <c r="I85" i="66"/>
  <c r="J85" i="66" s="1"/>
  <c r="X69" i="66"/>
  <c r="X87" i="66"/>
  <c r="Y87" i="66" s="1"/>
  <c r="X87" i="61"/>
  <c r="Y87" i="61" s="1"/>
  <c r="X69" i="61"/>
  <c r="X90" i="61"/>
  <c r="Y93" i="61" s="1"/>
  <c r="S93" i="61"/>
  <c r="X90" i="102"/>
  <c r="Y93" i="102" s="1"/>
  <c r="S93" i="102"/>
  <c r="X87" i="102"/>
  <c r="Y87" i="102" s="1"/>
  <c r="X69" i="102"/>
  <c r="S93" i="77"/>
  <c r="X90" i="77"/>
  <c r="Y93" i="77" s="1"/>
  <c r="X87" i="77"/>
  <c r="Y87" i="77" s="1"/>
  <c r="X69" i="77"/>
  <c r="X90" i="69"/>
  <c r="Y93" i="69" s="1"/>
  <c r="S93" i="69"/>
  <c r="X87" i="69"/>
  <c r="Y87" i="69" s="1"/>
  <c r="X69" i="69"/>
  <c r="X90" i="68"/>
  <c r="Y93" i="68" s="1"/>
  <c r="S93" i="68"/>
  <c r="X69" i="68"/>
  <c r="X87" i="68"/>
  <c r="Y87" i="68" s="1"/>
  <c r="X90" i="67"/>
  <c r="Y93" i="67" s="1"/>
  <c r="S93" i="67"/>
  <c r="X87" i="67"/>
  <c r="Y87" i="67" s="1"/>
  <c r="X69" i="67"/>
  <c r="X90" i="64"/>
  <c r="Y93" i="64" s="1"/>
  <c r="S93" i="64"/>
  <c r="X87" i="64"/>
  <c r="Y87" i="64" s="1"/>
  <c r="X69" i="64"/>
  <c r="X69" i="63"/>
  <c r="X87" i="63"/>
  <c r="Y87" i="63" s="1"/>
  <c r="S93" i="63"/>
  <c r="X90" i="63"/>
  <c r="Y93" i="63" s="1"/>
  <c r="X90" i="62"/>
  <c r="Y93" i="62" s="1"/>
  <c r="S93" i="62"/>
  <c r="X87" i="62"/>
  <c r="Y87" i="62" s="1"/>
  <c r="X69" i="62"/>
  <c r="X87" i="59"/>
  <c r="Y87" i="59" s="1"/>
  <c r="X69" i="59"/>
  <c r="X56" i="62" l="1"/>
  <c r="X56" i="63"/>
  <c r="X56" i="102"/>
  <c r="X56" i="76"/>
  <c r="X56" i="64"/>
  <c r="X56" i="68"/>
  <c r="X56" i="61"/>
  <c r="X56" i="67"/>
  <c r="X86" i="66"/>
  <c r="Y86" i="66" s="1"/>
  <c r="X85" i="66"/>
  <c r="Y85" i="66" s="1"/>
  <c r="X85" i="77"/>
  <c r="Y85" i="77" s="1"/>
  <c r="X86" i="101"/>
  <c r="Y86" i="101" s="1"/>
  <c r="X86" i="69"/>
  <c r="Y86" i="69" s="1"/>
  <c r="J114" i="97"/>
  <c r="X86" i="62" l="1"/>
  <c r="Y86" i="62" s="1"/>
  <c r="X85" i="62"/>
  <c r="Y85" i="62" s="1"/>
  <c r="X85" i="61"/>
  <c r="Y85" i="61" s="1"/>
  <c r="X86" i="61"/>
  <c r="Y86" i="61" s="1"/>
  <c r="X85" i="102"/>
  <c r="Y85" i="102" s="1"/>
  <c r="X86" i="102"/>
  <c r="Y86" i="102" s="1"/>
  <c r="X86" i="67"/>
  <c r="Y86" i="67" s="1"/>
  <c r="X85" i="67"/>
  <c r="Y85" i="67" s="1"/>
  <c r="X86" i="68"/>
  <c r="Y86" i="68" s="1"/>
  <c r="X85" i="68"/>
  <c r="Y85" i="68" s="1"/>
  <c r="X85" i="64"/>
  <c r="Y85" i="64" s="1"/>
  <c r="X86" i="64"/>
  <c r="Y86" i="64" s="1"/>
  <c r="X85" i="76"/>
  <c r="Y85" i="76" s="1"/>
  <c r="X86" i="76"/>
  <c r="Y86" i="76" s="1"/>
  <c r="X86" i="63"/>
  <c r="Y86" i="63" s="1"/>
  <c r="X85" i="63"/>
  <c r="Y85" i="63" s="1"/>
  <c r="J114" i="84"/>
  <c r="J114" i="71"/>
  <c r="I45" i="56" l="1"/>
  <c r="I47" i="56" s="1"/>
  <c r="E45" i="56"/>
  <c r="E127" i="56" l="1"/>
  <c r="T6" i="2" l="1"/>
  <c r="R2" i="2"/>
  <c r="T91" i="2"/>
  <c r="T90" i="2"/>
  <c r="Y80" i="2"/>
  <c r="T92" i="2"/>
  <c r="J37" i="2"/>
  <c r="I54" i="56" s="1"/>
  <c r="J36" i="2"/>
  <c r="I53" i="56" s="1"/>
  <c r="I55" i="56" l="1"/>
  <c r="V90" i="2"/>
  <c r="V67" i="2"/>
  <c r="J38" i="2"/>
  <c r="Y104" i="2"/>
  <c r="V103" i="2"/>
  <c r="Y103" i="2" s="1"/>
  <c r="X83" i="2"/>
  <c r="Y102" i="2" l="1"/>
  <c r="Y105" i="2" s="1"/>
  <c r="E98" i="2" l="1"/>
  <c r="D50" i="2"/>
  <c r="E46" i="2" s="1"/>
  <c r="E64" i="56" s="1"/>
  <c r="C50" i="2"/>
  <c r="E49" i="2" l="1"/>
  <c r="E67" i="56" s="1"/>
  <c r="E48" i="2"/>
  <c r="E66" i="56" s="1"/>
  <c r="E47" i="2"/>
  <c r="E65" i="56" s="1"/>
  <c r="E41" i="2"/>
  <c r="E59" i="56" s="1"/>
  <c r="E42" i="2"/>
  <c r="E60" i="56" s="1"/>
  <c r="E43" i="2"/>
  <c r="E61" i="56" s="1"/>
  <c r="E44" i="2"/>
  <c r="E62" i="56" s="1"/>
  <c r="E45" i="2"/>
  <c r="E63" i="56" s="1"/>
  <c r="T24" i="2" l="1"/>
  <c r="X24" i="2" s="1"/>
  <c r="T23" i="2"/>
  <c r="X23" i="2" s="1"/>
  <c r="T21" i="2"/>
  <c r="X21" i="2" s="1"/>
  <c r="T16" i="2"/>
  <c r="X16" i="2" s="1"/>
  <c r="T15" i="2"/>
  <c r="X15" i="2" s="1"/>
  <c r="E68" i="56"/>
  <c r="T22" i="2"/>
  <c r="X22" i="2" s="1"/>
  <c r="T20" i="2"/>
  <c r="X20" i="2" s="1"/>
  <c r="T19" i="2"/>
  <c r="X19" i="2" s="1"/>
  <c r="T18" i="2"/>
  <c r="X18" i="2" s="1"/>
  <c r="T17" i="2"/>
  <c r="X17" i="2" s="1"/>
  <c r="T13" i="2"/>
  <c r="X13" i="2" s="1"/>
  <c r="T12" i="2"/>
  <c r="X12" i="2" s="1"/>
  <c r="T26" i="2"/>
  <c r="X26" i="2" s="1"/>
  <c r="T14" i="2"/>
  <c r="X14" i="2" s="1"/>
  <c r="T25" i="2"/>
  <c r="X25" i="2" s="1"/>
  <c r="T27" i="2"/>
  <c r="X27" i="2" s="1"/>
  <c r="S92" i="2" l="1"/>
  <c r="S91" i="2"/>
  <c r="S90" i="2"/>
  <c r="X90" i="2" s="1"/>
  <c r="T28" i="2"/>
  <c r="T64" i="2" s="1"/>
  <c r="X28" i="2"/>
  <c r="V33" i="2" s="1"/>
  <c r="J104" i="2"/>
  <c r="G103" i="2"/>
  <c r="J81" i="2"/>
  <c r="I84" i="2" s="1"/>
  <c r="E50" i="2"/>
  <c r="T61" i="2" l="1"/>
  <c r="T52" i="2"/>
  <c r="T58" i="2"/>
  <c r="V85" i="2"/>
  <c r="V92" i="2"/>
  <c r="X92" i="2" s="1"/>
  <c r="X52" i="2"/>
  <c r="X58" i="2"/>
  <c r="X59" i="2" s="1"/>
  <c r="X71" i="2" s="1"/>
  <c r="V91" i="2"/>
  <c r="X91" i="2" s="1"/>
  <c r="X61" i="2"/>
  <c r="V71" i="2"/>
  <c r="X64" i="2"/>
  <c r="X65" i="2" s="1"/>
  <c r="X70" i="2" s="1"/>
  <c r="X55" i="2"/>
  <c r="V105" i="56"/>
  <c r="Y105" i="56" s="1"/>
  <c r="J106" i="56"/>
  <c r="V70" i="2"/>
  <c r="Y24" i="2"/>
  <c r="Y21" i="2"/>
  <c r="Y23" i="2"/>
  <c r="Y15" i="2"/>
  <c r="Y26" i="2"/>
  <c r="Y17" i="2"/>
  <c r="Y14" i="2"/>
  <c r="Y22" i="2"/>
  <c r="Y12" i="2"/>
  <c r="Y27" i="2"/>
  <c r="Y20" i="2"/>
  <c r="Y25" i="2"/>
  <c r="Y19" i="2"/>
  <c r="Y18" i="2"/>
  <c r="Y16" i="2"/>
  <c r="Y13" i="2"/>
  <c r="S93" i="2"/>
  <c r="J84" i="2"/>
  <c r="V83" i="2"/>
  <c r="Y83" i="2" s="1"/>
  <c r="J42" i="2"/>
  <c r="I60" i="56" s="1"/>
  <c r="X42" i="2"/>
  <c r="Y42" i="2" s="1"/>
  <c r="J44" i="2"/>
  <c r="I62" i="56" s="1"/>
  <c r="X44" i="2"/>
  <c r="Y44" i="2" s="1"/>
  <c r="J48" i="2"/>
  <c r="I66" i="56" s="1"/>
  <c r="X48" i="2"/>
  <c r="Y48" i="2" s="1"/>
  <c r="D92" i="2"/>
  <c r="J45" i="2"/>
  <c r="I63" i="56" s="1"/>
  <c r="X45" i="2"/>
  <c r="Y45" i="2" s="1"/>
  <c r="J46" i="2"/>
  <c r="I64" i="56" s="1"/>
  <c r="X46" i="2"/>
  <c r="Y46" i="2" s="1"/>
  <c r="J98" i="2"/>
  <c r="I128" i="56" s="1"/>
  <c r="X97" i="2"/>
  <c r="Y97" i="2" s="1"/>
  <c r="J41" i="2"/>
  <c r="I59" i="56" s="1"/>
  <c r="X41" i="2"/>
  <c r="Y41" i="2" s="1"/>
  <c r="X43" i="2"/>
  <c r="Y43" i="2" s="1"/>
  <c r="J43" i="2"/>
  <c r="I61" i="56" s="1"/>
  <c r="J97" i="2"/>
  <c r="I127" i="56" s="1"/>
  <c r="X96" i="2"/>
  <c r="Y96" i="2" s="1"/>
  <c r="J47" i="2"/>
  <c r="I65" i="56" s="1"/>
  <c r="X47" i="2"/>
  <c r="Y47" i="2" s="1"/>
  <c r="J49" i="2"/>
  <c r="I67" i="56" s="1"/>
  <c r="X49" i="2"/>
  <c r="Y49" i="2" s="1"/>
  <c r="J103" i="2"/>
  <c r="J31" i="2"/>
  <c r="J102" i="2"/>
  <c r="D90" i="2"/>
  <c r="D91" i="2"/>
  <c r="X53" i="2" l="1"/>
  <c r="X69" i="2" s="1"/>
  <c r="X62" i="2"/>
  <c r="X67" i="2" s="1"/>
  <c r="Y67" i="2" s="1"/>
  <c r="Y93" i="2"/>
  <c r="Y70" i="2"/>
  <c r="Y71" i="2"/>
  <c r="I68" i="56"/>
  <c r="C83" i="56"/>
  <c r="H84" i="56" s="1"/>
  <c r="H91" i="56" s="1"/>
  <c r="K91" i="56" s="1"/>
  <c r="C71" i="56"/>
  <c r="H72" i="56" s="1"/>
  <c r="C80" i="56"/>
  <c r="H81" i="56" s="1"/>
  <c r="H86" i="56" s="1"/>
  <c r="K86" i="56" s="1"/>
  <c r="C77" i="56"/>
  <c r="H78" i="56" s="1"/>
  <c r="H93" i="56" s="1"/>
  <c r="K93" i="56" s="1"/>
  <c r="J50" i="2"/>
  <c r="Y28" i="2"/>
  <c r="Y50" i="2"/>
  <c r="J32" i="2"/>
  <c r="Y31" i="2"/>
  <c r="Y32" i="2" s="1"/>
  <c r="J105" i="2"/>
  <c r="X87" i="2" l="1"/>
  <c r="Y87" i="2" s="1"/>
  <c r="H89" i="56"/>
  <c r="H112" i="56"/>
  <c r="C74" i="56"/>
  <c r="H75" i="56" s="1"/>
  <c r="Y33" i="2"/>
  <c r="T55" i="2" s="1"/>
  <c r="X56" i="2" s="1"/>
  <c r="V37" i="2"/>
  <c r="Y37" i="2" s="1"/>
  <c r="V36" i="2"/>
  <c r="Y36" i="2" s="1"/>
  <c r="X85" i="2" l="1"/>
  <c r="Y85" i="2" s="1"/>
  <c r="X86" i="2"/>
  <c r="Y86" i="2" s="1"/>
  <c r="Y38" i="2"/>
  <c r="H108" i="56"/>
  <c r="K108" i="56" s="1"/>
  <c r="H110" i="56"/>
  <c r="J70" i="67" l="1"/>
  <c r="J107" i="67" s="1"/>
  <c r="J109" i="67" s="1"/>
  <c r="J17" i="54" s="1"/>
  <c r="J70" i="69"/>
  <c r="J107" i="69" s="1"/>
  <c r="J109" i="69" s="1"/>
  <c r="J70" i="99"/>
  <c r="J107" i="99" s="1"/>
  <c r="V69" i="76"/>
  <c r="Y69" i="76" s="1"/>
  <c r="Y107" i="76" s="1"/>
  <c r="Y109" i="76" s="1"/>
  <c r="J111" i="76" s="1"/>
  <c r="I114" i="76" s="1"/>
  <c r="J70" i="90"/>
  <c r="J107" i="90" s="1"/>
  <c r="J70" i="71"/>
  <c r="J107" i="71" s="1"/>
  <c r="V69" i="67"/>
  <c r="Y69" i="67" s="1"/>
  <c r="Y107" i="67" s="1"/>
  <c r="Y109" i="67" s="1"/>
  <c r="J111" i="67" s="1"/>
  <c r="I114" i="67" s="1"/>
  <c r="V69" i="61"/>
  <c r="Y69" i="61" s="1"/>
  <c r="Y107" i="61" s="1"/>
  <c r="Y109" i="61" s="1"/>
  <c r="J111" i="61" s="1"/>
  <c r="I114" i="61" s="1"/>
  <c r="V69" i="58"/>
  <c r="J70" i="60"/>
  <c r="J107" i="60" s="1"/>
  <c r="J70" i="76"/>
  <c r="J107" i="76" s="1"/>
  <c r="V69" i="63"/>
  <c r="Y69" i="63" s="1"/>
  <c r="Y107" i="63" s="1"/>
  <c r="Y109" i="63" s="1"/>
  <c r="J111" i="63" s="1"/>
  <c r="I114" i="63" s="1"/>
  <c r="J70" i="68"/>
  <c r="J107" i="68" s="1"/>
  <c r="V69" i="66"/>
  <c r="Y69" i="66" s="1"/>
  <c r="Y107" i="66" s="1"/>
  <c r="Y109" i="66" s="1"/>
  <c r="J111" i="66" s="1"/>
  <c r="I114" i="66" s="1"/>
  <c r="V69" i="101"/>
  <c r="Y69" i="101" s="1"/>
  <c r="Y107" i="101" s="1"/>
  <c r="Y109" i="101" s="1"/>
  <c r="J111" i="101" s="1"/>
  <c r="I114" i="101" s="1"/>
  <c r="J70" i="65"/>
  <c r="J107" i="65" s="1"/>
  <c r="J70" i="63"/>
  <c r="J107" i="63" s="1"/>
  <c r="J70" i="59"/>
  <c r="J107" i="59" s="1"/>
  <c r="V69" i="69"/>
  <c r="Y69" i="69" s="1"/>
  <c r="Y107" i="69" s="1"/>
  <c r="Y109" i="69" s="1"/>
  <c r="J111" i="69" s="1"/>
  <c r="J70" i="80"/>
  <c r="J107" i="80" s="1"/>
  <c r="J70" i="72"/>
  <c r="J107" i="72" s="1"/>
  <c r="V69" i="72"/>
  <c r="Y69" i="72" s="1"/>
  <c r="Y107" i="72" s="1"/>
  <c r="Y109" i="72" s="1"/>
  <c r="J111" i="72" s="1"/>
  <c r="J70" i="70"/>
  <c r="J107" i="70" s="1"/>
  <c r="J70" i="87"/>
  <c r="J107" i="87" s="1"/>
  <c r="V69" i="87"/>
  <c r="Y69" i="87" s="1"/>
  <c r="Y107" i="87" s="1"/>
  <c r="Y109" i="87" s="1"/>
  <c r="J111" i="87" s="1"/>
  <c r="J70" i="104"/>
  <c r="J107" i="104" s="1"/>
  <c r="J70" i="81"/>
  <c r="J107" i="81" s="1"/>
  <c r="V69" i="81"/>
  <c r="Y69" i="81" s="1"/>
  <c r="Y107" i="81" s="1"/>
  <c r="Y109" i="81" s="1"/>
  <c r="J111" i="81" s="1"/>
  <c r="J70" i="95"/>
  <c r="J107" i="95" s="1"/>
  <c r="J70" i="89"/>
  <c r="J107" i="89" s="1"/>
  <c r="V69" i="89"/>
  <c r="Y69" i="89" s="1"/>
  <c r="Y107" i="89" s="1"/>
  <c r="Y109" i="89" s="1"/>
  <c r="J111" i="89" s="1"/>
  <c r="J70" i="85"/>
  <c r="J107" i="85" s="1"/>
  <c r="J70" i="108"/>
  <c r="J107" i="108" s="1"/>
  <c r="J70" i="77"/>
  <c r="J107" i="77" s="1"/>
  <c r="J70" i="91"/>
  <c r="J107" i="91" s="1"/>
  <c r="V69" i="91"/>
  <c r="Y69" i="91" s="1"/>
  <c r="Y107" i="91" s="1"/>
  <c r="Y109" i="91" s="1"/>
  <c r="J111" i="91" s="1"/>
  <c r="J70" i="100"/>
  <c r="J107" i="100" s="1"/>
  <c r="J70" i="88"/>
  <c r="J107" i="88" s="1"/>
  <c r="V69" i="88"/>
  <c r="Y69" i="88" s="1"/>
  <c r="Y107" i="88" s="1"/>
  <c r="Y109" i="88" s="1"/>
  <c r="J111" i="88" s="1"/>
  <c r="J70" i="93"/>
  <c r="J107" i="93" s="1"/>
  <c r="V69" i="99"/>
  <c r="Y69" i="99"/>
  <c r="Y107" i="99" s="1"/>
  <c r="Y109" i="99" s="1"/>
  <c r="J111" i="99" s="1"/>
  <c r="J70" i="103"/>
  <c r="J107" i="103" s="1"/>
  <c r="V69" i="71"/>
  <c r="Y69" i="71"/>
  <c r="Y107" i="71" s="1"/>
  <c r="Y109" i="71" s="1"/>
  <c r="J111" i="71" s="1"/>
  <c r="J70" i="96"/>
  <c r="J107" i="96" s="1"/>
  <c r="J70" i="73"/>
  <c r="J107" i="73" s="1"/>
  <c r="V69" i="73"/>
  <c r="Y69" i="73" s="1"/>
  <c r="Y107" i="73" s="1"/>
  <c r="Y109" i="73" s="1"/>
  <c r="J111" i="73" s="1"/>
  <c r="V69" i="86"/>
  <c r="Y69" i="86" s="1"/>
  <c r="J70" i="64"/>
  <c r="J107" i="64" s="1"/>
  <c r="V69" i="64"/>
  <c r="Y69" i="64" s="1"/>
  <c r="Y107" i="64" s="1"/>
  <c r="Y109" i="64" s="1"/>
  <c r="J111" i="64" s="1"/>
  <c r="J70" i="75"/>
  <c r="J107" i="75" s="1"/>
  <c r="V69" i="75"/>
  <c r="Y69" i="75" s="1"/>
  <c r="Y107" i="75" s="1"/>
  <c r="Y109" i="75" s="1"/>
  <c r="J111" i="75" s="1"/>
  <c r="V69" i="65"/>
  <c r="Y69" i="65" s="1"/>
  <c r="Y107" i="65" s="1"/>
  <c r="Y109" i="65" s="1"/>
  <c r="J111" i="65" s="1"/>
  <c r="J70" i="107"/>
  <c r="J107" i="107" s="1"/>
  <c r="V69" i="107"/>
  <c r="Y69" i="107" s="1"/>
  <c r="Y107" i="107" s="1"/>
  <c r="Y109" i="107" s="1"/>
  <c r="J111" i="107" s="1"/>
  <c r="J70" i="97"/>
  <c r="J107" i="97" s="1"/>
  <c r="V69" i="97"/>
  <c r="Y69" i="97" s="1"/>
  <c r="Y107" i="97" s="1"/>
  <c r="Y109" i="97" s="1"/>
  <c r="J111" i="97" s="1"/>
  <c r="J70" i="78"/>
  <c r="J107" i="78" s="1"/>
  <c r="V69" i="78"/>
  <c r="Y69" i="78" s="1"/>
  <c r="Y107" i="78" s="1"/>
  <c r="Y109" i="78" s="1"/>
  <c r="J111" i="78" s="1"/>
  <c r="J70" i="74"/>
  <c r="J107" i="74" s="1"/>
  <c r="V69" i="74"/>
  <c r="Y69" i="74" s="1"/>
  <c r="Y107" i="74" s="1"/>
  <c r="Y109" i="74" s="1"/>
  <c r="J111" i="74" s="1"/>
  <c r="V69" i="90"/>
  <c r="Y69" i="90" s="1"/>
  <c r="Y107" i="90" s="1"/>
  <c r="Y109" i="90" s="1"/>
  <c r="J111" i="90" s="1"/>
  <c r="J70" i="102"/>
  <c r="J107" i="102" s="1"/>
  <c r="V69" i="102"/>
  <c r="Y69" i="102" s="1"/>
  <c r="Y107" i="102" s="1"/>
  <c r="Y109" i="102" s="1"/>
  <c r="J111" i="102" s="1"/>
  <c r="J70" i="94"/>
  <c r="J107" i="94" s="1"/>
  <c r="V69" i="94"/>
  <c r="Y69" i="94" s="1"/>
  <c r="Y107" i="94" s="1"/>
  <c r="Y109" i="94" s="1"/>
  <c r="J111" i="94" s="1"/>
  <c r="V69" i="60"/>
  <c r="Y69" i="60" s="1"/>
  <c r="Y107" i="60" s="1"/>
  <c r="Y109" i="60" s="1"/>
  <c r="J111" i="60" s="1"/>
  <c r="J70" i="79"/>
  <c r="J107" i="79" s="1"/>
  <c r="J70" i="92"/>
  <c r="J107" i="92" s="1"/>
  <c r="J70" i="82"/>
  <c r="J107" i="82" s="1"/>
  <c r="J70" i="105"/>
  <c r="J107" i="105" s="1"/>
  <c r="J70" i="98"/>
  <c r="J107" i="98" s="1"/>
  <c r="V69" i="98"/>
  <c r="Y69" i="98" s="1"/>
  <c r="Y107" i="98" s="1"/>
  <c r="Y109" i="98" s="1"/>
  <c r="J111" i="98" s="1"/>
  <c r="J70" i="83"/>
  <c r="J107" i="83" s="1"/>
  <c r="J70" i="84"/>
  <c r="J107" i="84" s="1"/>
  <c r="V69" i="84"/>
  <c r="Y69" i="84" s="1"/>
  <c r="Y107" i="84" s="1"/>
  <c r="Y109" i="84" s="1"/>
  <c r="J111" i="84" s="1"/>
  <c r="V69" i="83"/>
  <c r="Y69" i="83" s="1"/>
  <c r="Y107" i="83" s="1"/>
  <c r="Y109" i="83" s="1"/>
  <c r="J111" i="83" s="1"/>
  <c r="V69" i="2"/>
  <c r="Y69" i="2" s="1"/>
  <c r="Y107" i="2" s="1"/>
  <c r="Y109" i="2" s="1"/>
  <c r="J111" i="2" s="1"/>
  <c r="I43" i="54" l="1"/>
  <c r="Q43" i="54" s="1"/>
  <c r="J109" i="92"/>
  <c r="J109" i="82"/>
  <c r="I33" i="54"/>
  <c r="Q33" i="54" s="1"/>
  <c r="J109" i="74"/>
  <c r="I25" i="54"/>
  <c r="Q25" i="54" s="1"/>
  <c r="J109" i="64"/>
  <c r="I14" i="54"/>
  <c r="Q14" i="54" s="1"/>
  <c r="J109" i="95"/>
  <c r="I46" i="54"/>
  <c r="Q46" i="54" s="1"/>
  <c r="J109" i="59"/>
  <c r="I9" i="54"/>
  <c r="Q9" i="54" s="1"/>
  <c r="J109" i="81"/>
  <c r="I32" i="54"/>
  <c r="Q32" i="54" s="1"/>
  <c r="J109" i="88"/>
  <c r="I39" i="54"/>
  <c r="Q39" i="54" s="1"/>
  <c r="I55" i="54"/>
  <c r="J109" i="104"/>
  <c r="J109" i="65"/>
  <c r="I15" i="54"/>
  <c r="Q15" i="54" s="1"/>
  <c r="I44" i="54"/>
  <c r="Q44" i="54" s="1"/>
  <c r="J109" i="93"/>
  <c r="I24" i="54"/>
  <c r="Q24" i="54" s="1"/>
  <c r="J109" i="73"/>
  <c r="J109" i="100"/>
  <c r="I51" i="54"/>
  <c r="Q51" i="54" s="1"/>
  <c r="J114" i="101"/>
  <c r="K52" i="54" s="1"/>
  <c r="J114" i="61"/>
  <c r="K11" i="54" s="1"/>
  <c r="J109" i="96"/>
  <c r="I47" i="54"/>
  <c r="Q47" i="54" s="1"/>
  <c r="J109" i="87"/>
  <c r="I38" i="54"/>
  <c r="Q38" i="54" s="1"/>
  <c r="J114" i="66"/>
  <c r="K16" i="54" s="1"/>
  <c r="J114" i="67"/>
  <c r="K17" i="54" s="1"/>
  <c r="J109" i="94"/>
  <c r="I45" i="54"/>
  <c r="Q45" i="54" s="1"/>
  <c r="J109" i="91"/>
  <c r="I42" i="54"/>
  <c r="Q42" i="54" s="1"/>
  <c r="J109" i="70"/>
  <c r="I21" i="54"/>
  <c r="Q21" i="54" s="1"/>
  <c r="I18" i="54"/>
  <c r="Q18" i="54" s="1"/>
  <c r="J109" i="68"/>
  <c r="J18" i="54" s="1"/>
  <c r="J109" i="79"/>
  <c r="I30" i="54"/>
  <c r="Q30" i="54" s="1"/>
  <c r="J114" i="63"/>
  <c r="K13" i="54" s="1"/>
  <c r="J109" i="71"/>
  <c r="I114" i="71" s="1"/>
  <c r="J126" i="71" s="1"/>
  <c r="J116" i="71"/>
  <c r="J120" i="71" s="1"/>
  <c r="J124" i="71" s="1"/>
  <c r="E165" i="106" s="1"/>
  <c r="J116" i="97"/>
  <c r="J109" i="97"/>
  <c r="I114" i="97" s="1"/>
  <c r="J126" i="97" s="1"/>
  <c r="J109" i="84"/>
  <c r="I114" i="84" s="1"/>
  <c r="J126" i="84" s="1"/>
  <c r="J116" i="84"/>
  <c r="J120" i="84" s="1"/>
  <c r="J124" i="84" s="1"/>
  <c r="E284" i="106" s="1"/>
  <c r="J109" i="102"/>
  <c r="I53" i="54"/>
  <c r="J109" i="108"/>
  <c r="I19" i="54"/>
  <c r="Q19" i="54" s="1"/>
  <c r="J109" i="72"/>
  <c r="I23" i="54"/>
  <c r="Q23" i="54" s="1"/>
  <c r="J109" i="76"/>
  <c r="J27" i="54" s="1"/>
  <c r="I27" i="54"/>
  <c r="Q27" i="54" s="1"/>
  <c r="I41" i="54"/>
  <c r="Q41" i="54" s="1"/>
  <c r="J109" i="90"/>
  <c r="I13" i="54"/>
  <c r="Q13" i="54" s="1"/>
  <c r="J109" i="63"/>
  <c r="J13" i="54" s="1"/>
  <c r="I7" i="54"/>
  <c r="Q7" i="54" s="1"/>
  <c r="J109" i="107"/>
  <c r="I54" i="54"/>
  <c r="J109" i="103"/>
  <c r="J109" i="85"/>
  <c r="I36" i="54"/>
  <c r="Q36" i="54" s="1"/>
  <c r="I31" i="54"/>
  <c r="Q31" i="54" s="1"/>
  <c r="J109" i="80"/>
  <c r="J114" i="76"/>
  <c r="K27" i="54" s="1"/>
  <c r="I29" i="54"/>
  <c r="Q29" i="54" s="1"/>
  <c r="J109" i="78"/>
  <c r="J109" i="83"/>
  <c r="I34" i="54"/>
  <c r="Q34" i="54" s="1"/>
  <c r="J109" i="77"/>
  <c r="I28" i="54"/>
  <c r="Q28" i="54" s="1"/>
  <c r="J109" i="98"/>
  <c r="I49" i="54"/>
  <c r="Q49" i="54" s="1"/>
  <c r="J109" i="60"/>
  <c r="I10" i="54"/>
  <c r="Q10" i="54" s="1"/>
  <c r="J109" i="99"/>
  <c r="I50" i="54"/>
  <c r="Q50" i="54" s="1"/>
  <c r="J109" i="75"/>
  <c r="I26" i="54"/>
  <c r="Q26" i="54" s="1"/>
  <c r="J109" i="105"/>
  <c r="I56" i="54"/>
  <c r="J109" i="89"/>
  <c r="I40" i="54"/>
  <c r="Q40" i="54" s="1"/>
  <c r="I114" i="69"/>
  <c r="J20" i="54"/>
  <c r="V69" i="105"/>
  <c r="Y69" i="105" s="1"/>
  <c r="Y107" i="105" s="1"/>
  <c r="Y109" i="105" s="1"/>
  <c r="J111" i="105" s="1"/>
  <c r="V69" i="92"/>
  <c r="Y69" i="92" s="1"/>
  <c r="Y107" i="92" s="1"/>
  <c r="Y109" i="92" s="1"/>
  <c r="J111" i="92" s="1"/>
  <c r="V69" i="96"/>
  <c r="Y69" i="96" s="1"/>
  <c r="Y107" i="96" s="1"/>
  <c r="Y109" i="96" s="1"/>
  <c r="J111" i="96" s="1"/>
  <c r="V69" i="103"/>
  <c r="Y69" i="103" s="1"/>
  <c r="Y107" i="103" s="1"/>
  <c r="Y109" i="103" s="1"/>
  <c r="J111" i="103" s="1"/>
  <c r="V69" i="93"/>
  <c r="Y69" i="93" s="1"/>
  <c r="Y107" i="93" s="1"/>
  <c r="Y109" i="93" s="1"/>
  <c r="J111" i="93" s="1"/>
  <c r="V69" i="100"/>
  <c r="Y69" i="100" s="1"/>
  <c r="Y107" i="100" s="1"/>
  <c r="Y109" i="100" s="1"/>
  <c r="J111" i="100" s="1"/>
  <c r="V69" i="77"/>
  <c r="Y69" i="77" s="1"/>
  <c r="Y107" i="77" s="1"/>
  <c r="Y109" i="77" s="1"/>
  <c r="J111" i="77" s="1"/>
  <c r="V69" i="85"/>
  <c r="Y69" i="85" s="1"/>
  <c r="Y107" i="85" s="1"/>
  <c r="Y109" i="85" s="1"/>
  <c r="J111" i="85" s="1"/>
  <c r="V69" i="95"/>
  <c r="Y69" i="95" s="1"/>
  <c r="Y107" i="95" s="1"/>
  <c r="Y109" i="95" s="1"/>
  <c r="J111" i="95" s="1"/>
  <c r="V69" i="104"/>
  <c r="Y69" i="104" s="1"/>
  <c r="Y107" i="104" s="1"/>
  <c r="Y109" i="104" s="1"/>
  <c r="J111" i="104" s="1"/>
  <c r="V69" i="70"/>
  <c r="Y69" i="70" s="1"/>
  <c r="Y107" i="70" s="1"/>
  <c r="Y109" i="70" s="1"/>
  <c r="J111" i="70" s="1"/>
  <c r="V69" i="80"/>
  <c r="Y69" i="80" s="1"/>
  <c r="Y107" i="80" s="1"/>
  <c r="Y109" i="80" s="1"/>
  <c r="J111" i="80" s="1"/>
  <c r="V69" i="59"/>
  <c r="Y69" i="59" s="1"/>
  <c r="Y107" i="59" s="1"/>
  <c r="Y109" i="59" s="1"/>
  <c r="J111" i="59" s="1"/>
  <c r="I20" i="54"/>
  <c r="Q20" i="54" s="1"/>
  <c r="V69" i="79"/>
  <c r="Y69" i="79" s="1"/>
  <c r="J70" i="66"/>
  <c r="J107" i="66" s="1"/>
  <c r="V69" i="68"/>
  <c r="Y69" i="68" s="1"/>
  <c r="Y107" i="68" s="1"/>
  <c r="Y109" i="68" s="1"/>
  <c r="J111" i="68" s="1"/>
  <c r="I114" i="68" s="1"/>
  <c r="J70" i="61"/>
  <c r="J107" i="61" s="1"/>
  <c r="V69" i="82"/>
  <c r="Y69" i="82" s="1"/>
  <c r="Y107" i="82" s="1"/>
  <c r="Y109" i="82" s="1"/>
  <c r="J111" i="82" s="1"/>
  <c r="V69" i="108"/>
  <c r="Y69" i="108" s="1"/>
  <c r="Y107" i="108" s="1"/>
  <c r="Y109" i="108" s="1"/>
  <c r="J111" i="108" s="1"/>
  <c r="J70" i="101"/>
  <c r="J107" i="101" s="1"/>
  <c r="I17" i="54"/>
  <c r="Q17" i="54" s="1"/>
  <c r="J70" i="86"/>
  <c r="J107" i="86" s="1"/>
  <c r="V69" i="62"/>
  <c r="Y69" i="62" s="1"/>
  <c r="Y107" i="62" s="1"/>
  <c r="Y109" i="62" s="1"/>
  <c r="J111" i="62" s="1"/>
  <c r="I114" i="62" s="1"/>
  <c r="J70" i="62"/>
  <c r="J107" i="62" s="1"/>
  <c r="G165" i="106" l="1"/>
  <c r="G284" i="106"/>
  <c r="J126" i="66"/>
  <c r="J116" i="76"/>
  <c r="J109" i="66"/>
  <c r="J16" i="54" s="1"/>
  <c r="G16" i="54" s="1"/>
  <c r="J116" i="66"/>
  <c r="I16" i="54"/>
  <c r="Q16" i="54" s="1"/>
  <c r="I114" i="105"/>
  <c r="J56" i="54"/>
  <c r="J49" i="54"/>
  <c r="I114" i="98"/>
  <c r="I114" i="80"/>
  <c r="J31" i="54"/>
  <c r="J126" i="63"/>
  <c r="J42" i="54"/>
  <c r="I114" i="91"/>
  <c r="I114" i="93"/>
  <c r="J44" i="54"/>
  <c r="I114" i="77"/>
  <c r="J28" i="54"/>
  <c r="J116" i="63"/>
  <c r="I114" i="96"/>
  <c r="J47" i="54"/>
  <c r="I114" i="64"/>
  <c r="J14" i="54"/>
  <c r="I114" i="75"/>
  <c r="J26" i="54"/>
  <c r="J41" i="54"/>
  <c r="I114" i="90"/>
  <c r="I114" i="94"/>
  <c r="J45" i="54"/>
  <c r="J126" i="61"/>
  <c r="J36" i="54"/>
  <c r="I114" i="85"/>
  <c r="J30" i="54"/>
  <c r="I114" i="79"/>
  <c r="R11" i="54"/>
  <c r="J32" i="54"/>
  <c r="I114" i="81"/>
  <c r="J25" i="54"/>
  <c r="I114" i="74"/>
  <c r="I114" i="102"/>
  <c r="J53" i="54"/>
  <c r="J126" i="67"/>
  <c r="J126" i="101"/>
  <c r="I114" i="83"/>
  <c r="J34" i="54"/>
  <c r="G17" i="54"/>
  <c r="F17" i="54"/>
  <c r="R17" i="54"/>
  <c r="R52" i="54"/>
  <c r="J15" i="54"/>
  <c r="I114" i="65"/>
  <c r="I114" i="108"/>
  <c r="J19" i="54"/>
  <c r="J116" i="101"/>
  <c r="I52" i="54"/>
  <c r="Q52" i="54" s="1"/>
  <c r="J109" i="101"/>
  <c r="J52" i="54" s="1"/>
  <c r="G52" i="54" s="1"/>
  <c r="J116" i="61"/>
  <c r="I11" i="54"/>
  <c r="Q11" i="54" s="1"/>
  <c r="J109" i="61"/>
  <c r="J11" i="54" s="1"/>
  <c r="G11" i="54" s="1"/>
  <c r="I114" i="104"/>
  <c r="J55" i="54"/>
  <c r="J109" i="62"/>
  <c r="J12" i="54" s="1"/>
  <c r="I12" i="54"/>
  <c r="Q12" i="54" s="1"/>
  <c r="I114" i="78"/>
  <c r="J29" i="54"/>
  <c r="J114" i="68"/>
  <c r="J126" i="68" s="1"/>
  <c r="I114" i="60"/>
  <c r="J10" i="54"/>
  <c r="J120" i="76"/>
  <c r="J124" i="76" s="1"/>
  <c r="L27" i="54"/>
  <c r="S27" i="54" s="1"/>
  <c r="V27" i="54" s="1"/>
  <c r="W27" i="54" s="1"/>
  <c r="R16" i="54"/>
  <c r="J9" i="54"/>
  <c r="I114" i="59"/>
  <c r="I114" i="82"/>
  <c r="J33" i="54"/>
  <c r="J50" i="54"/>
  <c r="I114" i="99"/>
  <c r="I114" i="89"/>
  <c r="J40" i="54"/>
  <c r="I114" i="107"/>
  <c r="J7" i="54"/>
  <c r="I114" i="100"/>
  <c r="J51" i="54"/>
  <c r="Q55" i="54"/>
  <c r="I114" i="92"/>
  <c r="J43" i="54"/>
  <c r="J114" i="69"/>
  <c r="J126" i="69" s="1"/>
  <c r="Q54" i="54"/>
  <c r="J114" i="62"/>
  <c r="K12" i="54" s="1"/>
  <c r="F27" i="54"/>
  <c r="R27" i="54"/>
  <c r="G27" i="54"/>
  <c r="I114" i="72"/>
  <c r="J23" i="54"/>
  <c r="I114" i="70"/>
  <c r="J21" i="54"/>
  <c r="J24" i="54"/>
  <c r="I114" i="73"/>
  <c r="J46" i="54"/>
  <c r="I114" i="95"/>
  <c r="G13" i="54"/>
  <c r="F13" i="54"/>
  <c r="R13" i="54"/>
  <c r="I114" i="103"/>
  <c r="J54" i="54"/>
  <c r="I37" i="54"/>
  <c r="Q37" i="54" s="1"/>
  <c r="J109" i="86"/>
  <c r="Q56" i="54"/>
  <c r="J116" i="67"/>
  <c r="J126" i="76"/>
  <c r="I114" i="87"/>
  <c r="J38" i="54"/>
  <c r="I114" i="88"/>
  <c r="J39" i="54"/>
  <c r="F16" i="54" l="1"/>
  <c r="F52" i="54"/>
  <c r="J114" i="73"/>
  <c r="I114" i="86"/>
  <c r="J37" i="54"/>
  <c r="J114" i="100"/>
  <c r="J114" i="79"/>
  <c r="J126" i="79" s="1"/>
  <c r="J114" i="64"/>
  <c r="J126" i="64" s="1"/>
  <c r="J114" i="80"/>
  <c r="J126" i="80" s="1"/>
  <c r="R12" i="54"/>
  <c r="F12" i="54"/>
  <c r="G12" i="54"/>
  <c r="J114" i="70"/>
  <c r="J126" i="62"/>
  <c r="J114" i="107"/>
  <c r="J114" i="65"/>
  <c r="J126" i="65" s="1"/>
  <c r="J114" i="85"/>
  <c r="J126" i="85" s="1"/>
  <c r="J114" i="98"/>
  <c r="J114" i="102"/>
  <c r="J126" i="102" s="1"/>
  <c r="J114" i="96"/>
  <c r="J126" i="96" s="1"/>
  <c r="J120" i="63"/>
  <c r="J124" i="63" s="1"/>
  <c r="L13" i="54"/>
  <c r="S13" i="54" s="1"/>
  <c r="V13" i="54" s="1"/>
  <c r="W13" i="54" s="1"/>
  <c r="J114" i="72"/>
  <c r="J126" i="72" s="1"/>
  <c r="J114" i="99"/>
  <c r="J114" i="60"/>
  <c r="J126" i="60" s="1"/>
  <c r="J114" i="104"/>
  <c r="J126" i="104" s="1"/>
  <c r="J114" i="74"/>
  <c r="J114" i="105"/>
  <c r="J126" i="105" s="1"/>
  <c r="J114" i="83"/>
  <c r="J126" i="83" s="1"/>
  <c r="J114" i="108"/>
  <c r="J126" i="108" s="1"/>
  <c r="K20" i="54"/>
  <c r="J116" i="69"/>
  <c r="J114" i="94"/>
  <c r="J126" i="94" s="1"/>
  <c r="J114" i="77"/>
  <c r="L52" i="54"/>
  <c r="S52" i="54" s="1"/>
  <c r="V52" i="54" s="1"/>
  <c r="W52" i="54" s="1"/>
  <c r="J120" i="101"/>
  <c r="J124" i="101" s="1"/>
  <c r="J114" i="87"/>
  <c r="J126" i="87" s="1"/>
  <c r="K18" i="54"/>
  <c r="J116" i="68"/>
  <c r="J114" i="81"/>
  <c r="J126" i="81" s="1"/>
  <c r="J114" i="90"/>
  <c r="J126" i="90" s="1"/>
  <c r="J120" i="66"/>
  <c r="J124" i="66" s="1"/>
  <c r="L16" i="54"/>
  <c r="S16" i="54" s="1"/>
  <c r="V16" i="54" s="1"/>
  <c r="W16" i="54" s="1"/>
  <c r="E207" i="106"/>
  <c r="M27" i="54"/>
  <c r="J114" i="89"/>
  <c r="J114" i="88"/>
  <c r="J114" i="92"/>
  <c r="J126" i="92" s="1"/>
  <c r="J114" i="82"/>
  <c r="L11" i="54"/>
  <c r="S11" i="54" s="1"/>
  <c r="V11" i="54" s="1"/>
  <c r="J120" i="61"/>
  <c r="J124" i="61" s="1"/>
  <c r="J114" i="93"/>
  <c r="J116" i="62"/>
  <c r="J120" i="67"/>
  <c r="J124" i="67" s="1"/>
  <c r="L17" i="54"/>
  <c r="S17" i="54" s="1"/>
  <c r="V17" i="54" s="1"/>
  <c r="W17" i="54" s="1"/>
  <c r="J114" i="95"/>
  <c r="J114" i="59"/>
  <c r="J114" i="78"/>
  <c r="F11" i="54"/>
  <c r="J114" i="91"/>
  <c r="J126" i="91" s="1"/>
  <c r="J114" i="103"/>
  <c r="J126" i="103" s="1"/>
  <c r="J114" i="75"/>
  <c r="J126" i="75" s="1"/>
  <c r="G207" i="106" l="1"/>
  <c r="E437" i="106"/>
  <c r="M52" i="54"/>
  <c r="K56" i="54"/>
  <c r="J116" i="105"/>
  <c r="K31" i="54"/>
  <c r="J116" i="80"/>
  <c r="K9" i="54"/>
  <c r="J116" i="59"/>
  <c r="K28" i="54"/>
  <c r="J116" i="77"/>
  <c r="K25" i="54"/>
  <c r="J116" i="74"/>
  <c r="K15" i="54"/>
  <c r="J116" i="65"/>
  <c r="K14" i="54"/>
  <c r="J116" i="64"/>
  <c r="K29" i="54"/>
  <c r="J116" i="78"/>
  <c r="K33" i="54"/>
  <c r="J116" i="82"/>
  <c r="K7" i="54"/>
  <c r="J116" i="107"/>
  <c r="W11" i="54"/>
  <c r="K45" i="54"/>
  <c r="J116" i="94"/>
  <c r="K53" i="54"/>
  <c r="J116" i="102"/>
  <c r="J126" i="107"/>
  <c r="K30" i="54"/>
  <c r="J116" i="79"/>
  <c r="J126" i="78"/>
  <c r="K36" i="54"/>
  <c r="J116" i="85"/>
  <c r="J126" i="77"/>
  <c r="K46" i="54"/>
  <c r="J116" i="95"/>
  <c r="K51" i="54"/>
  <c r="J116" i="100"/>
  <c r="J126" i="74"/>
  <c r="K26" i="54"/>
  <c r="J116" i="75"/>
  <c r="K43" i="54"/>
  <c r="J116" i="92"/>
  <c r="K21" i="54"/>
  <c r="J116" i="70"/>
  <c r="J126" i="100"/>
  <c r="E74" i="106"/>
  <c r="M11" i="54"/>
  <c r="M13" i="54"/>
  <c r="E93" i="106"/>
  <c r="J126" i="59"/>
  <c r="J126" i="82"/>
  <c r="K39" i="54"/>
  <c r="J116" i="88"/>
  <c r="K40" i="54"/>
  <c r="J116" i="89"/>
  <c r="K50" i="54"/>
  <c r="J116" i="99"/>
  <c r="J126" i="70"/>
  <c r="E122" i="106"/>
  <c r="M16" i="54"/>
  <c r="K55" i="54"/>
  <c r="J116" i="104"/>
  <c r="K10" i="54"/>
  <c r="J116" i="60"/>
  <c r="K42" i="54"/>
  <c r="J116" i="91"/>
  <c r="J120" i="62"/>
  <c r="J124" i="62" s="1"/>
  <c r="L12" i="54"/>
  <c r="S12" i="54" s="1"/>
  <c r="V12" i="54" s="1"/>
  <c r="W12" i="54" s="1"/>
  <c r="J126" i="89"/>
  <c r="K38" i="54"/>
  <c r="J116" i="87"/>
  <c r="J126" i="99"/>
  <c r="J114" i="86"/>
  <c r="J126" i="86" s="1"/>
  <c r="K41" i="54"/>
  <c r="J116" i="90"/>
  <c r="J120" i="68"/>
  <c r="J124" i="68" s="1"/>
  <c r="L18" i="54"/>
  <c r="S18" i="54" s="1"/>
  <c r="V18" i="54" s="1"/>
  <c r="W18" i="54" s="1"/>
  <c r="J126" i="88"/>
  <c r="R18" i="54"/>
  <c r="G18" i="54"/>
  <c r="F18" i="54"/>
  <c r="R20" i="54"/>
  <c r="G20" i="54"/>
  <c r="F20" i="54"/>
  <c r="E131" i="106"/>
  <c r="M17" i="54"/>
  <c r="K49" i="54"/>
  <c r="J116" i="98"/>
  <c r="K24" i="54"/>
  <c r="J116" i="73"/>
  <c r="K47" i="54"/>
  <c r="J116" i="96"/>
  <c r="K32" i="54"/>
  <c r="J116" i="81"/>
  <c r="J126" i="95"/>
  <c r="L20" i="54"/>
  <c r="S20" i="54" s="1"/>
  <c r="U20" i="54" s="1"/>
  <c r="W20" i="54" s="1"/>
  <c r="J120" i="69"/>
  <c r="J124" i="69" s="1"/>
  <c r="K54" i="54"/>
  <c r="J116" i="103"/>
  <c r="K19" i="54"/>
  <c r="J116" i="108"/>
  <c r="K44" i="54"/>
  <c r="J116" i="93"/>
  <c r="J126" i="93"/>
  <c r="K34" i="54"/>
  <c r="J116" i="83"/>
  <c r="K23" i="54"/>
  <c r="J116" i="72"/>
  <c r="J126" i="98"/>
  <c r="J126" i="73"/>
  <c r="G131" i="106" l="1"/>
  <c r="G437" i="106"/>
  <c r="G93" i="106"/>
  <c r="G122" i="106"/>
  <c r="G74" i="106"/>
  <c r="V58" i="54"/>
  <c r="L36" i="54"/>
  <c r="S36" i="54" s="1"/>
  <c r="W36" i="54" s="1"/>
  <c r="J120" i="85"/>
  <c r="J124" i="85" s="1"/>
  <c r="J120" i="74"/>
  <c r="J124" i="74" s="1"/>
  <c r="L25" i="54"/>
  <c r="S25" i="54" s="1"/>
  <c r="U25" i="54" s="1"/>
  <c r="W25" i="54" s="1"/>
  <c r="G54" i="54"/>
  <c r="R54" i="54"/>
  <c r="F54" i="54"/>
  <c r="J120" i="92"/>
  <c r="J124" i="92" s="1"/>
  <c r="L43" i="54"/>
  <c r="S43" i="54" s="1"/>
  <c r="W43" i="54" s="1"/>
  <c r="J120" i="107"/>
  <c r="J124" i="107" s="1"/>
  <c r="L7" i="54"/>
  <c r="S7" i="54" s="1"/>
  <c r="W7" i="54" s="1"/>
  <c r="L28" i="54"/>
  <c r="S28" i="54" s="1"/>
  <c r="W28" i="54" s="1"/>
  <c r="J120" i="77"/>
  <c r="J124" i="77" s="1"/>
  <c r="R42" i="54"/>
  <c r="G42" i="54"/>
  <c r="F42" i="54"/>
  <c r="J120" i="104"/>
  <c r="J124" i="104" s="1"/>
  <c r="L55" i="54"/>
  <c r="S55" i="54" s="1"/>
  <c r="W55" i="54" s="1"/>
  <c r="R43" i="54"/>
  <c r="G43" i="54"/>
  <c r="F43" i="54"/>
  <c r="J120" i="79"/>
  <c r="J124" i="79" s="1"/>
  <c r="L30" i="54"/>
  <c r="S30" i="54" s="1"/>
  <c r="W30" i="54" s="1"/>
  <c r="R7" i="54"/>
  <c r="G7" i="54"/>
  <c r="F7" i="54"/>
  <c r="F28" i="54"/>
  <c r="R28" i="54"/>
  <c r="G28" i="54"/>
  <c r="J120" i="88"/>
  <c r="J124" i="88" s="1"/>
  <c r="L39" i="54"/>
  <c r="S39" i="54" s="1"/>
  <c r="U39" i="54" s="1"/>
  <c r="W39" i="54" s="1"/>
  <c r="G39" i="54"/>
  <c r="F39" i="54"/>
  <c r="R39" i="54"/>
  <c r="R30" i="54"/>
  <c r="G30" i="54"/>
  <c r="F30" i="54"/>
  <c r="J120" i="82"/>
  <c r="J124" i="82" s="1"/>
  <c r="L33" i="54"/>
  <c r="S33" i="54" s="1"/>
  <c r="W33" i="54" s="1"/>
  <c r="L9" i="54"/>
  <c r="S9" i="54" s="1"/>
  <c r="U9" i="54" s="1"/>
  <c r="J120" i="59"/>
  <c r="J124" i="59" s="1"/>
  <c r="J120" i="103"/>
  <c r="J124" i="103" s="1"/>
  <c r="L54" i="54"/>
  <c r="S54" i="54" s="1"/>
  <c r="W54" i="54" s="1"/>
  <c r="G26" i="54"/>
  <c r="F26" i="54"/>
  <c r="R26" i="54"/>
  <c r="F33" i="54"/>
  <c r="R33" i="54"/>
  <c r="G33" i="54"/>
  <c r="F9" i="54"/>
  <c r="R9" i="54"/>
  <c r="G9" i="54"/>
  <c r="F49" i="54"/>
  <c r="G49" i="54"/>
  <c r="R49" i="54"/>
  <c r="J120" i="60"/>
  <c r="J124" i="60" s="1"/>
  <c r="L10" i="54"/>
  <c r="S10" i="54" s="1"/>
  <c r="U10" i="54" s="1"/>
  <c r="W10" i="54" s="1"/>
  <c r="F36" i="54"/>
  <c r="R36" i="54"/>
  <c r="G36" i="54"/>
  <c r="F25" i="54"/>
  <c r="R25" i="54"/>
  <c r="G25" i="54"/>
  <c r="J120" i="72"/>
  <c r="J124" i="72" s="1"/>
  <c r="L23" i="54"/>
  <c r="S23" i="54" s="1"/>
  <c r="W23" i="54" s="1"/>
  <c r="J120" i="102"/>
  <c r="J124" i="102" s="1"/>
  <c r="L53" i="54"/>
  <c r="J120" i="78"/>
  <c r="J124" i="78" s="1"/>
  <c r="L29" i="54"/>
  <c r="S29" i="54" s="1"/>
  <c r="U29" i="54" s="1"/>
  <c r="W29" i="54" s="1"/>
  <c r="J120" i="80"/>
  <c r="J124" i="80" s="1"/>
  <c r="L31" i="54"/>
  <c r="S31" i="54" s="1"/>
  <c r="U31" i="54" s="1"/>
  <c r="W31" i="54" s="1"/>
  <c r="G38" i="54"/>
  <c r="R38" i="54"/>
  <c r="F38" i="54"/>
  <c r="E147" i="106"/>
  <c r="M20" i="54"/>
  <c r="K37" i="54"/>
  <c r="J116" i="86"/>
  <c r="G23" i="54"/>
  <c r="F23" i="54"/>
  <c r="R23" i="54"/>
  <c r="R55" i="54"/>
  <c r="G55" i="54"/>
  <c r="F55" i="54"/>
  <c r="J120" i="83"/>
  <c r="J124" i="83" s="1"/>
  <c r="L34" i="54"/>
  <c r="S34" i="54" s="1"/>
  <c r="U34" i="54" s="1"/>
  <c r="W34" i="54" s="1"/>
  <c r="J120" i="100"/>
  <c r="J124" i="100" s="1"/>
  <c r="L51" i="54"/>
  <c r="S51" i="54" s="1"/>
  <c r="W51" i="54" s="1"/>
  <c r="L44" i="54"/>
  <c r="S44" i="54" s="1"/>
  <c r="U44" i="54" s="1"/>
  <c r="W44" i="54" s="1"/>
  <c r="J120" i="93"/>
  <c r="J124" i="93" s="1"/>
  <c r="G47" i="54"/>
  <c r="R47" i="54"/>
  <c r="F47" i="54"/>
  <c r="L50" i="54"/>
  <c r="S50" i="54" s="1"/>
  <c r="W50" i="54" s="1"/>
  <c r="J120" i="99"/>
  <c r="J124" i="99" s="1"/>
  <c r="F51" i="54"/>
  <c r="G51" i="54"/>
  <c r="R51" i="54"/>
  <c r="J120" i="94"/>
  <c r="J124" i="94" s="1"/>
  <c r="L45" i="54"/>
  <c r="S45" i="54" s="1"/>
  <c r="W45" i="54" s="1"/>
  <c r="J120" i="64"/>
  <c r="J124" i="64" s="1"/>
  <c r="L14" i="54"/>
  <c r="S14" i="54" s="1"/>
  <c r="W14" i="54" s="1"/>
  <c r="L56" i="54"/>
  <c r="S56" i="54" s="1"/>
  <c r="W56" i="54" s="1"/>
  <c r="J120" i="105"/>
  <c r="J124" i="105" s="1"/>
  <c r="L41" i="54"/>
  <c r="S41" i="54" s="1"/>
  <c r="W41" i="54" s="1"/>
  <c r="J120" i="90"/>
  <c r="J124" i="90" s="1"/>
  <c r="G41" i="54"/>
  <c r="F41" i="54"/>
  <c r="R41" i="54"/>
  <c r="G10" i="54"/>
  <c r="R10" i="54"/>
  <c r="F10" i="54"/>
  <c r="L47" i="54"/>
  <c r="S47" i="54" s="1"/>
  <c r="W47" i="54" s="1"/>
  <c r="J120" i="96"/>
  <c r="J124" i="96" s="1"/>
  <c r="G53" i="54"/>
  <c r="F53" i="54"/>
  <c r="G29" i="54"/>
  <c r="F29" i="54"/>
  <c r="R29" i="54"/>
  <c r="F31" i="54"/>
  <c r="R31" i="54"/>
  <c r="G31" i="54"/>
  <c r="R44" i="54"/>
  <c r="G44" i="54"/>
  <c r="F44" i="54"/>
  <c r="L24" i="54"/>
  <c r="S24" i="54" s="1"/>
  <c r="W24" i="54" s="1"/>
  <c r="J120" i="73"/>
  <c r="J124" i="73" s="1"/>
  <c r="G50" i="54"/>
  <c r="R50" i="54"/>
  <c r="F50" i="54"/>
  <c r="J120" i="70"/>
  <c r="J124" i="70" s="1"/>
  <c r="L21" i="54"/>
  <c r="S21" i="54" s="1"/>
  <c r="W21" i="54" s="1"/>
  <c r="L46" i="54"/>
  <c r="S46" i="54" s="1"/>
  <c r="W46" i="54" s="1"/>
  <c r="J120" i="95"/>
  <c r="J124" i="95" s="1"/>
  <c r="F45" i="54"/>
  <c r="R45" i="54"/>
  <c r="G45" i="54"/>
  <c r="G14" i="54"/>
  <c r="R14" i="54"/>
  <c r="F14" i="54"/>
  <c r="R56" i="54"/>
  <c r="G56" i="54"/>
  <c r="F56" i="54"/>
  <c r="J120" i="81"/>
  <c r="J124" i="81" s="1"/>
  <c r="L32" i="54"/>
  <c r="S32" i="54" s="1"/>
  <c r="U32" i="54" s="1"/>
  <c r="W32" i="54" s="1"/>
  <c r="R34" i="54"/>
  <c r="F34" i="54"/>
  <c r="G34" i="54"/>
  <c r="G32" i="54"/>
  <c r="F32" i="54"/>
  <c r="R32" i="54"/>
  <c r="G24" i="54"/>
  <c r="R24" i="54"/>
  <c r="F24" i="54"/>
  <c r="L40" i="54"/>
  <c r="S40" i="54" s="1"/>
  <c r="U40" i="54" s="1"/>
  <c r="W40" i="54" s="1"/>
  <c r="J120" i="89"/>
  <c r="J124" i="89" s="1"/>
  <c r="G46" i="54"/>
  <c r="R46" i="54"/>
  <c r="F46" i="54"/>
  <c r="L15" i="54"/>
  <c r="S15" i="54" s="1"/>
  <c r="U15" i="54" s="1"/>
  <c r="W15" i="54" s="1"/>
  <c r="J120" i="65"/>
  <c r="J124" i="65" s="1"/>
  <c r="J120" i="75"/>
  <c r="J124" i="75" s="1"/>
  <c r="L26" i="54"/>
  <c r="S26" i="54" s="1"/>
  <c r="W26" i="54" s="1"/>
  <c r="J120" i="87"/>
  <c r="J124" i="87" s="1"/>
  <c r="L38" i="54"/>
  <c r="S38" i="54" s="1"/>
  <c r="W38" i="54" s="1"/>
  <c r="L19" i="54"/>
  <c r="S19" i="54" s="1"/>
  <c r="W19" i="54" s="1"/>
  <c r="J120" i="108"/>
  <c r="J124" i="108" s="1"/>
  <c r="M12" i="54"/>
  <c r="E81" i="106"/>
  <c r="G21" i="54"/>
  <c r="R21" i="54"/>
  <c r="F21" i="54"/>
  <c r="F19" i="54"/>
  <c r="G19" i="54"/>
  <c r="R19" i="54"/>
  <c r="J120" i="98"/>
  <c r="J124" i="98" s="1"/>
  <c r="L49" i="54"/>
  <c r="S49" i="54" s="1"/>
  <c r="W49" i="54" s="1"/>
  <c r="M18" i="54"/>
  <c r="E139" i="106"/>
  <c r="J120" i="91"/>
  <c r="J124" i="91" s="1"/>
  <c r="L42" i="54"/>
  <c r="S42" i="54" s="1"/>
  <c r="W42" i="54" s="1"/>
  <c r="R40" i="54"/>
  <c r="F40" i="54"/>
  <c r="G40" i="54"/>
  <c r="R15" i="54"/>
  <c r="F15" i="54"/>
  <c r="G15" i="54"/>
  <c r="G147" i="106" l="1"/>
  <c r="G81" i="106"/>
  <c r="G139" i="106"/>
  <c r="E336" i="106"/>
  <c r="M41" i="54"/>
  <c r="M31" i="54"/>
  <c r="E245" i="106"/>
  <c r="M30" i="54"/>
  <c r="E234" i="106"/>
  <c r="E8" i="106"/>
  <c r="M7" i="54"/>
  <c r="E226" i="106"/>
  <c r="M29" i="54"/>
  <c r="M10" i="54"/>
  <c r="E56" i="106"/>
  <c r="M43" i="54"/>
  <c r="E355" i="106"/>
  <c r="E392" i="106"/>
  <c r="M47" i="54"/>
  <c r="M44" i="54"/>
  <c r="E365" i="106"/>
  <c r="L37" i="54"/>
  <c r="S37" i="54" s="1"/>
  <c r="W37" i="54" s="1"/>
  <c r="J120" i="86"/>
  <c r="J124" i="86" s="1"/>
  <c r="E446" i="106"/>
  <c r="M53" i="54"/>
  <c r="E454" i="106"/>
  <c r="M54" i="54"/>
  <c r="E319" i="106"/>
  <c r="M39" i="54"/>
  <c r="M46" i="54"/>
  <c r="E383" i="106"/>
  <c r="E14" i="106"/>
  <c r="M9" i="54"/>
  <c r="E464" i="106"/>
  <c r="M55" i="54"/>
  <c r="M42" i="54"/>
  <c r="E345" i="106"/>
  <c r="E174" i="106"/>
  <c r="M23" i="54"/>
  <c r="U58" i="54"/>
  <c r="W9" i="54"/>
  <c r="E156" i="106"/>
  <c r="M21" i="54"/>
  <c r="M25" i="54"/>
  <c r="E192" i="106"/>
  <c r="M26" i="54"/>
  <c r="E200" i="106"/>
  <c r="M19" i="54"/>
  <c r="E146" i="106"/>
  <c r="M33" i="54"/>
  <c r="E264" i="106"/>
  <c r="M36" i="54"/>
  <c r="E292" i="106"/>
  <c r="G37" i="54"/>
  <c r="R37" i="54"/>
  <c r="F37" i="54"/>
  <c r="E274" i="106"/>
  <c r="M34" i="54"/>
  <c r="M28" i="54"/>
  <c r="E215" i="106"/>
  <c r="E473" i="106"/>
  <c r="M56" i="54"/>
  <c r="E101" i="106"/>
  <c r="M14" i="54"/>
  <c r="M32" i="54"/>
  <c r="E255" i="106"/>
  <c r="E376" i="106"/>
  <c r="M45" i="54"/>
  <c r="M49" i="54"/>
  <c r="E408" i="106"/>
  <c r="M38" i="54"/>
  <c r="E309" i="106"/>
  <c r="M15" i="54"/>
  <c r="E111" i="106"/>
  <c r="E327" i="106"/>
  <c r="M40" i="54"/>
  <c r="E427" i="106"/>
  <c r="M51" i="54"/>
  <c r="M24" i="54"/>
  <c r="E184" i="106"/>
  <c r="M50" i="54"/>
  <c r="E417" i="106"/>
  <c r="G376" i="106" l="1"/>
  <c r="G255" i="106"/>
  <c r="G392" i="106"/>
  <c r="G345" i="106"/>
  <c r="G234" i="106"/>
  <c r="G427" i="106"/>
  <c r="G355" i="106"/>
  <c r="G226" i="106"/>
  <c r="G184" i="106"/>
  <c r="G319" i="106"/>
  <c r="G156" i="106"/>
  <c r="G473" i="106"/>
  <c r="G417" i="106"/>
  <c r="G14" i="106"/>
  <c r="G336" i="106"/>
  <c r="G146" i="106"/>
  <c r="G365" i="106"/>
  <c r="G101" i="106"/>
  <c r="G215" i="106"/>
  <c r="G274" i="106"/>
  <c r="G292" i="106"/>
  <c r="G454" i="106"/>
  <c r="G56" i="106"/>
  <c r="G8" i="106"/>
  <c r="G245" i="106"/>
  <c r="G264" i="106"/>
  <c r="G309" i="106"/>
  <c r="G200" i="106"/>
  <c r="G192" i="106"/>
  <c r="G174" i="106"/>
  <c r="G464" i="106"/>
  <c r="G383" i="106"/>
  <c r="G327" i="106"/>
  <c r="G111" i="106"/>
  <c r="G446" i="106"/>
  <c r="G408" i="106"/>
  <c r="M37" i="54"/>
  <c r="E300" i="106"/>
  <c r="G300" i="106" l="1"/>
  <c r="O19" i="2"/>
  <c r="O25" i="2"/>
  <c r="O22" i="2"/>
  <c r="O21" i="2"/>
  <c r="O18" i="2"/>
  <c r="O24" i="2"/>
  <c r="O23" i="2"/>
  <c r="O26" i="2"/>
  <c r="O20" i="2"/>
  <c r="D23" i="2" l="1"/>
  <c r="C23" i="2"/>
  <c r="D24" i="2"/>
  <c r="C24" i="2"/>
  <c r="C26" i="56" s="1"/>
  <c r="D18" i="2"/>
  <c r="C18" i="2"/>
  <c r="D21" i="2"/>
  <c r="D23" i="56" s="1"/>
  <c r="C21" i="2"/>
  <c r="C23" i="56" s="1"/>
  <c r="D20" i="2"/>
  <c r="D22" i="56" s="1"/>
  <c r="C20" i="2"/>
  <c r="C22" i="56" s="1"/>
  <c r="D22" i="2"/>
  <c r="D24" i="56" s="1"/>
  <c r="C22" i="2"/>
  <c r="C24" i="56" s="1"/>
  <c r="D26" i="2"/>
  <c r="D28" i="56" s="1"/>
  <c r="C26" i="2"/>
  <c r="C28" i="56" s="1"/>
  <c r="D25" i="2"/>
  <c r="C25" i="2"/>
  <c r="C27" i="56" s="1"/>
  <c r="D19" i="2"/>
  <c r="D21" i="56" s="1"/>
  <c r="C19" i="2"/>
  <c r="C21" i="56" s="1"/>
  <c r="C25" i="56"/>
  <c r="D25" i="56"/>
  <c r="D27" i="56"/>
  <c r="C20" i="56"/>
  <c r="D26" i="56"/>
  <c r="D28" i="58" l="1"/>
  <c r="C28" i="58"/>
  <c r="D20" i="56"/>
  <c r="D30" i="56" s="1"/>
  <c r="D28" i="2"/>
  <c r="C28" i="2"/>
  <c r="C30" i="56"/>
  <c r="C32" i="56" s="1"/>
  <c r="E20" i="58" l="1"/>
  <c r="E13" i="58"/>
  <c r="E18" i="58"/>
  <c r="E21" i="58"/>
  <c r="E26" i="58"/>
  <c r="E23" i="58"/>
  <c r="E17" i="58"/>
  <c r="E24" i="58"/>
  <c r="E25" i="58"/>
  <c r="E12" i="58"/>
  <c r="E16" i="58"/>
  <c r="E27" i="58"/>
  <c r="E14" i="58"/>
  <c r="E22" i="58"/>
  <c r="E19" i="58"/>
  <c r="E15" i="58"/>
  <c r="E13" i="2"/>
  <c r="E16" i="2"/>
  <c r="E27" i="2"/>
  <c r="E12" i="2"/>
  <c r="E17" i="2"/>
  <c r="E15" i="2"/>
  <c r="E14" i="2"/>
  <c r="E23" i="2"/>
  <c r="E26" i="2"/>
  <c r="E20" i="2"/>
  <c r="E21" i="2"/>
  <c r="E22" i="2"/>
  <c r="E19" i="2"/>
  <c r="E25" i="2"/>
  <c r="E18" i="2"/>
  <c r="E24" i="2"/>
  <c r="E31" i="56"/>
  <c r="H31" i="56" s="1"/>
  <c r="D32" i="56"/>
  <c r="E136" i="56" s="1"/>
  <c r="I136" i="56" s="1"/>
  <c r="I138" i="56" s="1"/>
  <c r="T14" i="58" l="1"/>
  <c r="X14" i="58" s="1"/>
  <c r="I14" i="58"/>
  <c r="I19" i="58"/>
  <c r="J19" i="58" s="1"/>
  <c r="T19" i="58"/>
  <c r="X19" i="58" s="1"/>
  <c r="Y19" i="58" s="1"/>
  <c r="I22" i="58"/>
  <c r="J22" i="58" s="1"/>
  <c r="T22" i="58"/>
  <c r="X22" i="58" s="1"/>
  <c r="Y22" i="58" s="1"/>
  <c r="I27" i="58"/>
  <c r="J27" i="58" s="1"/>
  <c r="T27" i="58"/>
  <c r="X27" i="58" s="1"/>
  <c r="Y27" i="58" s="1"/>
  <c r="I16" i="58"/>
  <c r="T16" i="58"/>
  <c r="X16" i="58" s="1"/>
  <c r="I25" i="58"/>
  <c r="J25" i="58" s="1"/>
  <c r="T25" i="58"/>
  <c r="X25" i="58" s="1"/>
  <c r="Y25" i="58" s="1"/>
  <c r="I17" i="58"/>
  <c r="J17" i="58" s="1"/>
  <c r="T17" i="58"/>
  <c r="X17" i="58" s="1"/>
  <c r="Y17" i="58" s="1"/>
  <c r="I18" i="58"/>
  <c r="J18" i="58" s="1"/>
  <c r="T18" i="58"/>
  <c r="X18" i="58" s="1"/>
  <c r="Y18" i="58" s="1"/>
  <c r="I24" i="58"/>
  <c r="J24" i="58" s="1"/>
  <c r="T24" i="58"/>
  <c r="X24" i="58" s="1"/>
  <c r="Y24" i="58" s="1"/>
  <c r="I23" i="58"/>
  <c r="J23" i="58" s="1"/>
  <c r="T23" i="58"/>
  <c r="X23" i="58" s="1"/>
  <c r="Y23" i="58" s="1"/>
  <c r="I13" i="58"/>
  <c r="J13" i="58" s="1"/>
  <c r="T13" i="58"/>
  <c r="X13" i="58" s="1"/>
  <c r="Y13" i="58" s="1"/>
  <c r="T15" i="58"/>
  <c r="X15" i="58" s="1"/>
  <c r="Y15" i="58" s="1"/>
  <c r="I15" i="58"/>
  <c r="J15" i="58" s="1"/>
  <c r="T12" i="58"/>
  <c r="E28" i="58"/>
  <c r="I12" i="58"/>
  <c r="I26" i="58"/>
  <c r="J26" i="58" s="1"/>
  <c r="T26" i="58"/>
  <c r="X26" i="58" s="1"/>
  <c r="Y26" i="58" s="1"/>
  <c r="T21" i="58"/>
  <c r="X21" i="58" s="1"/>
  <c r="Y21" i="58" s="1"/>
  <c r="I21" i="58"/>
  <c r="J21" i="58" s="1"/>
  <c r="I20" i="58"/>
  <c r="J20" i="58" s="1"/>
  <c r="T20" i="58"/>
  <c r="X20" i="58" s="1"/>
  <c r="Y20" i="58" s="1"/>
  <c r="I24" i="2"/>
  <c r="E26" i="56"/>
  <c r="I19" i="2"/>
  <c r="E21" i="56"/>
  <c r="I21" i="2"/>
  <c r="E23" i="56"/>
  <c r="E29" i="56"/>
  <c r="I27" i="2"/>
  <c r="E27" i="56"/>
  <c r="I25" i="2"/>
  <c r="I23" i="2"/>
  <c r="E25" i="56"/>
  <c r="I14" i="2"/>
  <c r="E16" i="56"/>
  <c r="E17" i="56"/>
  <c r="I15" i="2"/>
  <c r="I16" i="2"/>
  <c r="E18" i="56"/>
  <c r="I18" i="2"/>
  <c r="E20" i="56"/>
  <c r="I22" i="2"/>
  <c r="E24" i="56"/>
  <c r="E22" i="56"/>
  <c r="I20" i="2"/>
  <c r="E28" i="56"/>
  <c r="I26" i="2"/>
  <c r="I17" i="2"/>
  <c r="E19" i="56"/>
  <c r="I12" i="2"/>
  <c r="E14" i="56"/>
  <c r="E28" i="2"/>
  <c r="I13" i="2"/>
  <c r="E15" i="56"/>
  <c r="Y16" i="58" l="1"/>
  <c r="S92" i="58"/>
  <c r="X92" i="58" s="1"/>
  <c r="O8" i="54" a="1"/>
  <c r="O8" i="54" s="1"/>
  <c r="C59" i="58"/>
  <c r="I60" i="58" s="1"/>
  <c r="I72" i="58" s="1"/>
  <c r="J72" i="58" s="1"/>
  <c r="C65" i="58"/>
  <c r="I66" i="58" s="1"/>
  <c r="I71" i="58" s="1"/>
  <c r="J71" i="58" s="1"/>
  <c r="C53" i="58"/>
  <c r="I54" i="58" s="1"/>
  <c r="C62" i="58"/>
  <c r="I63" i="58" s="1"/>
  <c r="I68" i="58" s="1"/>
  <c r="J68" i="58" s="1"/>
  <c r="J14" i="58"/>
  <c r="B91" i="58"/>
  <c r="I91" i="58" s="1"/>
  <c r="J16" i="58"/>
  <c r="B92" i="58"/>
  <c r="I92" i="58" s="1"/>
  <c r="J12" i="58"/>
  <c r="J28" i="58" s="1"/>
  <c r="J33" i="58" s="1"/>
  <c r="B90" i="58"/>
  <c r="I28" i="58"/>
  <c r="G33" i="58" s="1"/>
  <c r="C56" i="58" s="1"/>
  <c r="I57" i="58" s="1"/>
  <c r="X12" i="58"/>
  <c r="T28" i="58"/>
  <c r="S91" i="58"/>
  <c r="X91" i="58" s="1"/>
  <c r="Y14" i="58"/>
  <c r="H20" i="56"/>
  <c r="J18" i="2"/>
  <c r="I20" i="56" s="1"/>
  <c r="H18" i="56"/>
  <c r="J16" i="2"/>
  <c r="I18" i="56" s="1"/>
  <c r="B92" i="2"/>
  <c r="J15" i="2"/>
  <c r="I17" i="56" s="1"/>
  <c r="H17" i="56"/>
  <c r="H19" i="56"/>
  <c r="J17" i="2"/>
  <c r="I19" i="56" s="1"/>
  <c r="J19" i="2"/>
  <c r="I21" i="56" s="1"/>
  <c r="H21" i="56"/>
  <c r="H25" i="56"/>
  <c r="J23" i="2"/>
  <c r="I25" i="56" s="1"/>
  <c r="J25" i="2"/>
  <c r="I27" i="56" s="1"/>
  <c r="H27" i="56"/>
  <c r="E30" i="56"/>
  <c r="E32" i="56" s="1"/>
  <c r="J12" i="2"/>
  <c r="H14" i="56"/>
  <c r="I28" i="2"/>
  <c r="B90" i="2"/>
  <c r="H28" i="56"/>
  <c r="J26" i="2"/>
  <c r="I28" i="56" s="1"/>
  <c r="J20" i="2"/>
  <c r="I22" i="56" s="1"/>
  <c r="H22" i="56"/>
  <c r="J22" i="2"/>
  <c r="I24" i="56" s="1"/>
  <c r="H24" i="56"/>
  <c r="J14" i="2"/>
  <c r="I16" i="56" s="1"/>
  <c r="H16" i="56"/>
  <c r="B91" i="2"/>
  <c r="H15" i="56"/>
  <c r="J13" i="2"/>
  <c r="I15" i="56" s="1"/>
  <c r="J27" i="2"/>
  <c r="I29" i="56" s="1"/>
  <c r="H29" i="56"/>
  <c r="C65" i="2"/>
  <c r="I66" i="2" s="1"/>
  <c r="I71" i="2" s="1"/>
  <c r="J71" i="2" s="1"/>
  <c r="O6" i="54" a="1"/>
  <c r="O6" i="54" s="1"/>
  <c r="O58" i="54" s="1"/>
  <c r="C59" i="2"/>
  <c r="I60" i="2" s="1"/>
  <c r="I72" i="2" s="1"/>
  <c r="J72" i="2" s="1"/>
  <c r="I93" i="56" s="1"/>
  <c r="L93" i="56" s="1"/>
  <c r="C53" i="2"/>
  <c r="I54" i="2" s="1"/>
  <c r="C62" i="2"/>
  <c r="I63" i="2" s="1"/>
  <c r="I68" i="2" s="1"/>
  <c r="J68" i="2" s="1"/>
  <c r="I86" i="56" s="1"/>
  <c r="L86" i="56" s="1"/>
  <c r="J21" i="2"/>
  <c r="I23" i="56" s="1"/>
  <c r="H23" i="56"/>
  <c r="H26" i="56"/>
  <c r="J24" i="2"/>
  <c r="I26" i="56" s="1"/>
  <c r="I91" i="56" l="1"/>
  <c r="L91" i="56" s="1"/>
  <c r="I70" i="58"/>
  <c r="J70" i="58" s="1"/>
  <c r="I87" i="58"/>
  <c r="J87" i="58" s="1"/>
  <c r="T58" i="58"/>
  <c r="X59" i="58" s="1"/>
  <c r="X71" i="58" s="1"/>
  <c r="Y71" i="58" s="1"/>
  <c r="T52" i="58"/>
  <c r="X53" i="58" s="1"/>
  <c r="T61" i="58"/>
  <c r="X62" i="58" s="1"/>
  <c r="X67" i="58" s="1"/>
  <c r="Y67" i="58" s="1"/>
  <c r="T64" i="58"/>
  <c r="X65" i="58" s="1"/>
  <c r="X70" i="58" s="1"/>
  <c r="Y70" i="58" s="1"/>
  <c r="I86" i="58"/>
  <c r="J86" i="58" s="1"/>
  <c r="I85" i="58"/>
  <c r="J85" i="58" s="1"/>
  <c r="Y12" i="58"/>
  <c r="Y28" i="58" s="1"/>
  <c r="Y33" i="58" s="1"/>
  <c r="X28" i="58"/>
  <c r="S90" i="58"/>
  <c r="I90" i="58"/>
  <c r="J93" i="58" s="1"/>
  <c r="J107" i="58" s="1"/>
  <c r="B93" i="58"/>
  <c r="C118" i="56"/>
  <c r="I90" i="2"/>
  <c r="H118" i="56" s="1"/>
  <c r="B93" i="2"/>
  <c r="C121" i="56" s="1"/>
  <c r="G33" i="2"/>
  <c r="C56" i="2" s="1"/>
  <c r="I57" i="2" s="1"/>
  <c r="H30" i="56"/>
  <c r="E47" i="56" s="1"/>
  <c r="I92" i="2"/>
  <c r="C120" i="56"/>
  <c r="I14" i="56"/>
  <c r="J28" i="2"/>
  <c r="I70" i="2"/>
  <c r="J70" i="2" s="1"/>
  <c r="I89" i="56" s="1"/>
  <c r="I87" i="2"/>
  <c r="J87" i="2" s="1"/>
  <c r="I112" i="56" s="1"/>
  <c r="C119" i="56"/>
  <c r="I91" i="2"/>
  <c r="H119" i="56" s="1"/>
  <c r="S93" i="58" l="1"/>
  <c r="X90" i="58"/>
  <c r="Y93" i="58" s="1"/>
  <c r="I8" i="54"/>
  <c r="Q8" i="54" s="1"/>
  <c r="J109" i="58"/>
  <c r="J8" i="54" s="1"/>
  <c r="V33" i="58"/>
  <c r="T55" i="58"/>
  <c r="X56" i="58" s="1"/>
  <c r="X69" i="58"/>
  <c r="Y69" i="58" s="1"/>
  <c r="X87" i="58"/>
  <c r="Y87" i="58" s="1"/>
  <c r="I30" i="56"/>
  <c r="J33" i="2"/>
  <c r="H120" i="56"/>
  <c r="J93" i="2"/>
  <c r="I86" i="2"/>
  <c r="J86" i="2" s="1"/>
  <c r="I110" i="56" s="1"/>
  <c r="I85" i="2"/>
  <c r="J85" i="2" s="1"/>
  <c r="I108" i="56" s="1"/>
  <c r="L108" i="56" s="1"/>
  <c r="X85" i="58" l="1"/>
  <c r="Y85" i="58" s="1"/>
  <c r="X86" i="58"/>
  <c r="Y86" i="58" s="1"/>
  <c r="Y107" i="58" s="1"/>
  <c r="Y109" i="58" s="1"/>
  <c r="J111" i="58" s="1"/>
  <c r="I121" i="56"/>
  <c r="J107" i="2"/>
  <c r="I114" i="58" l="1"/>
  <c r="I147" i="56"/>
  <c r="J109" i="2"/>
  <c r="I142" i="56"/>
  <c r="I60" i="54" s="1"/>
  <c r="I6" i="54"/>
  <c r="J114" i="58" l="1"/>
  <c r="I58" i="54"/>
  <c r="I62" i="54" s="1"/>
  <c r="Q6" i="54"/>
  <c r="Q58" i="54" s="1"/>
  <c r="J6" i="54"/>
  <c r="J58" i="54" s="1"/>
  <c r="I144" i="56"/>
  <c r="I114" i="2"/>
  <c r="K8" i="54" l="1"/>
  <c r="J116" i="58"/>
  <c r="J126" i="58"/>
  <c r="I149" i="56"/>
  <c r="J114" i="2"/>
  <c r="J60" i="54"/>
  <c r="J62" i="54" s="1"/>
  <c r="H149" i="56"/>
  <c r="J120" i="58" l="1"/>
  <c r="J124" i="58" s="1"/>
  <c r="L8" i="54"/>
  <c r="S8" i="54" s="1"/>
  <c r="V8" i="54" s="1"/>
  <c r="W8" i="54" s="1"/>
  <c r="G8" i="54"/>
  <c r="R8" i="54"/>
  <c r="F8" i="54"/>
  <c r="K6" i="54"/>
  <c r="J116" i="2"/>
  <c r="K60" i="54"/>
  <c r="J126" i="2"/>
  <c r="E10" i="106" l="1"/>
  <c r="M8" i="54"/>
  <c r="L60" i="54"/>
  <c r="L6" i="54"/>
  <c r="J120" i="2"/>
  <c r="J124" i="2" s="1"/>
  <c r="I151" i="56"/>
  <c r="R6" i="54"/>
  <c r="G6" i="54"/>
  <c r="F6" i="54"/>
  <c r="K58" i="54"/>
  <c r="G10" i="106" l="1"/>
  <c r="F58" i="54"/>
  <c r="G58" i="54"/>
  <c r="R58" i="54"/>
  <c r="I159" i="56"/>
  <c r="M6" i="54"/>
  <c r="E5" i="106"/>
  <c r="S6" i="54"/>
  <c r="W6" i="54" s="1"/>
  <c r="W58" i="54" s="1"/>
  <c r="L58" i="54"/>
  <c r="K62" i="54"/>
  <c r="J59" i="57" l="1"/>
  <c r="S58" i="54"/>
  <c r="L62" i="54"/>
  <c r="E483" i="106"/>
  <c r="G5" i="106"/>
  <c r="G483" i="106" s="1"/>
  <c r="M58" i="54"/>
  <c r="M60" i="54"/>
  <c r="M62" i="54" s="1"/>
  <c r="E490" i="106"/>
  <c r="G484" i="106" l="1"/>
  <c r="G490" i="106"/>
  <c r="G514" i="106" s="1"/>
  <c r="G516" i="106" s="1"/>
  <c r="E514" i="10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Local Admin</author>
  </authors>
  <commentList>
    <comment ref="G8" authorId="0" shapeId="0" xr:uid="{A2D17944-F90D-4437-B341-B0FC843C9D0E}">
      <text>
        <r>
          <rPr>
            <b/>
            <sz val="9"/>
            <color indexed="81"/>
            <rFont val="Tahoma"/>
            <family val="2"/>
          </rPr>
          <t>Local Admin:</t>
        </r>
        <r>
          <rPr>
            <sz val="9"/>
            <color indexed="81"/>
            <rFont val="Tahoma"/>
            <family val="2"/>
          </rPr>
          <t xml:space="preserve">
Amount was 530,665.23 in previous months due to not stand alone payment in previous disbursements</t>
        </r>
      </text>
    </comment>
    <comment ref="H51" authorId="0" shapeId="0" xr:uid="{3D6F12DA-D355-420D-9BF8-E83D6231D671}">
      <text>
        <r>
          <rPr>
            <b/>
            <sz val="9"/>
            <color indexed="81"/>
            <rFont val="Tahoma"/>
            <family val="2"/>
          </rPr>
          <t>Local Admin:</t>
        </r>
        <r>
          <rPr>
            <sz val="9"/>
            <color indexed="81"/>
            <rFont val="Tahoma"/>
            <family val="2"/>
          </rPr>
          <t xml:space="preserve">
Amount was 275,467.04 in October payment due to not including stand alone payment.</t>
        </r>
      </text>
    </comment>
    <comment ref="G75" authorId="0" shapeId="0" xr:uid="{F383C382-5AFA-4ECA-98B3-F47DE4FF2DD7}">
      <text>
        <r>
          <rPr>
            <b/>
            <sz val="9"/>
            <color indexed="81"/>
            <rFont val="Tahoma"/>
            <family val="2"/>
          </rPr>
          <t>Local Admin:</t>
        </r>
        <r>
          <rPr>
            <sz val="9"/>
            <color indexed="81"/>
            <rFont val="Tahoma"/>
            <family val="2"/>
          </rPr>
          <t xml:space="preserve">
Updated to include standalone payment</t>
        </r>
      </text>
    </comment>
    <comment ref="H118" authorId="0" shapeId="0" xr:uid="{53EE2F37-F286-4214-B68C-2780360B4F29}">
      <text>
        <r>
          <rPr>
            <b/>
            <sz val="9"/>
            <color indexed="81"/>
            <rFont val="Tahoma"/>
            <family val="2"/>
          </rPr>
          <t>Local Admin:</t>
        </r>
        <r>
          <rPr>
            <sz val="9"/>
            <color indexed="81"/>
            <rFont val="Tahoma"/>
            <family val="2"/>
          </rPr>
          <t xml:space="preserve">
Updated to include stand alone payment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<sst xmlns="http://schemas.openxmlformats.org/spreadsheetml/2006/main" count="20117" uniqueCount="595">
  <si>
    <t>(Insert district number in cell A1, enter, then strike F9. Your district data then pulls from Calculation Detail Sheets)</t>
  </si>
  <si>
    <t>Based on the 2025-26 FEFP Second Calculation</t>
  </si>
  <si>
    <t xml:space="preserve">School District: </t>
  </si>
  <si>
    <t>1A.   2025-26 FEFP State and Local Funding</t>
  </si>
  <si>
    <t>Base Student Allocation</t>
  </si>
  <si>
    <t>Comparable Wage Factor:</t>
  </si>
  <si>
    <t>Small District Factor</t>
  </si>
  <si>
    <t>2025-26</t>
  </si>
  <si>
    <t>Program</t>
  </si>
  <si>
    <t>Weighted FTE</t>
  </si>
  <si>
    <t>Base Funding</t>
  </si>
  <si>
    <t>Number of FTE</t>
  </si>
  <si>
    <t>Cost Factor</t>
  </si>
  <si>
    <t>(2) x (3)</t>
  </si>
  <si>
    <t>(WFTE x BSA x CWF x SDF)</t>
  </si>
  <si>
    <t>(1)</t>
  </si>
  <si>
    <t>(2)</t>
  </si>
  <si>
    <t>(3)</t>
  </si>
  <si>
    <t>(4)</t>
  </si>
  <si>
    <t>(5)</t>
  </si>
  <si>
    <t>101 Basic K-3</t>
  </si>
  <si>
    <t>111 Basic K-3 with ESE Services</t>
  </si>
  <si>
    <t>102 Basic 4-8</t>
  </si>
  <si>
    <t>112 Basic 4-8 with ESE Services</t>
  </si>
  <si>
    <t>103 Basic 9-12</t>
  </si>
  <si>
    <t>113 Basic 9-12 with ESE Services</t>
  </si>
  <si>
    <r>
      <t xml:space="preserve">254 ESE Level 4 </t>
    </r>
    <r>
      <rPr>
        <b/>
        <i/>
        <sz val="12"/>
        <rFont val="Times New Roman"/>
        <family val="1"/>
      </rPr>
      <t>(Grade Level PK-3</t>
    </r>
    <r>
      <rPr>
        <b/>
        <sz val="12"/>
        <rFont val="Times New Roman"/>
        <family val="1"/>
      </rPr>
      <t>)</t>
    </r>
  </si>
  <si>
    <r>
      <t xml:space="preserve">254 ESE Level 4 </t>
    </r>
    <r>
      <rPr>
        <b/>
        <i/>
        <sz val="12"/>
        <rFont val="Times New Roman"/>
        <family val="1"/>
      </rPr>
      <t>(Grade Level 4-8)</t>
    </r>
  </si>
  <si>
    <r>
      <t>254 ESE Level 4</t>
    </r>
    <r>
      <rPr>
        <b/>
        <i/>
        <sz val="12"/>
        <rFont val="Times New Roman"/>
        <family val="1"/>
      </rPr>
      <t xml:space="preserve"> (Grade Level 9-12)</t>
    </r>
  </si>
  <si>
    <r>
      <t xml:space="preserve">255 ESE Level 5 </t>
    </r>
    <r>
      <rPr>
        <b/>
        <i/>
        <sz val="12"/>
        <rFont val="Times New Roman"/>
        <family val="1"/>
      </rPr>
      <t>(Grade Level PK-3</t>
    </r>
    <r>
      <rPr>
        <b/>
        <sz val="12"/>
        <rFont val="Times New Roman"/>
        <family val="1"/>
      </rPr>
      <t>)</t>
    </r>
  </si>
  <si>
    <r>
      <t xml:space="preserve">255 ESE Level 5 </t>
    </r>
    <r>
      <rPr>
        <b/>
        <i/>
        <sz val="12"/>
        <rFont val="Times New Roman"/>
        <family val="1"/>
      </rPr>
      <t>(Grade Level 4-8)</t>
    </r>
  </si>
  <si>
    <r>
      <t>255 ESE Level 5</t>
    </r>
    <r>
      <rPr>
        <b/>
        <i/>
        <sz val="12"/>
        <rFont val="Times New Roman"/>
        <family val="1"/>
      </rPr>
      <t xml:space="preserve"> (Grade Level 9-12)</t>
    </r>
  </si>
  <si>
    <r>
      <t xml:space="preserve">130 ESOL </t>
    </r>
    <r>
      <rPr>
        <b/>
        <i/>
        <sz val="12"/>
        <rFont val="Times New Roman"/>
        <family val="1"/>
      </rPr>
      <t>(Grade Level PK-3)</t>
    </r>
  </si>
  <si>
    <r>
      <t xml:space="preserve">130 ESOL </t>
    </r>
    <r>
      <rPr>
        <b/>
        <i/>
        <sz val="12"/>
        <rFont val="Times New Roman"/>
        <family val="1"/>
      </rPr>
      <t>(Grade Level 4-8)</t>
    </r>
  </si>
  <si>
    <r>
      <t xml:space="preserve">130 ESOL </t>
    </r>
    <r>
      <rPr>
        <b/>
        <i/>
        <sz val="12"/>
        <rFont val="Times New Roman"/>
        <family val="1"/>
      </rPr>
      <t>(Grade Level 9-12)</t>
    </r>
  </si>
  <si>
    <r>
      <t xml:space="preserve">300 Career Education </t>
    </r>
    <r>
      <rPr>
        <b/>
        <i/>
        <sz val="12"/>
        <rFont val="Times New Roman"/>
        <family val="1"/>
      </rPr>
      <t>(Grades 9-12)</t>
    </r>
  </si>
  <si>
    <t>Totals</t>
  </si>
  <si>
    <t>Letters in Parentheses Refer to Notes at Bottom of Worksheet:</t>
  </si>
  <si>
    <t>Additional FTE</t>
  </si>
  <si>
    <r>
      <t xml:space="preserve">Number of FTE
</t>
    </r>
    <r>
      <rPr>
        <i/>
        <sz val="9"/>
        <color indexed="10"/>
        <rFont val="Times New Roman"/>
        <family val="1"/>
      </rPr>
      <t xml:space="preserve">Charter schools should contact their school district sponsor regarding eligible FTE. Please note that “Number of FTE” is NOT equivalent to number of students enrolled in these courses or programs. </t>
    </r>
  </si>
  <si>
    <t>2025-26
Base Funding                              (WFTE x BSA x CWF x SDF)</t>
  </si>
  <si>
    <t>Small District ESE Supplement</t>
  </si>
  <si>
    <t>Total Additional FTE</t>
  </si>
  <si>
    <t>Additional Base Funds</t>
  </si>
  <si>
    <t xml:space="preserve">Total Funded Weighted FTE </t>
  </si>
  <si>
    <t>Total Base Funding</t>
  </si>
  <si>
    <r>
      <t xml:space="preserve">1B. Classroom Teacher and Other Instructional Personnel Salary Increase 
</t>
    </r>
    <r>
      <rPr>
        <b/>
        <sz val="8"/>
        <color indexed="10"/>
        <rFont val="Times New Roman"/>
        <family val="1"/>
      </rPr>
      <t>Maintenance and Growth Portions of the Salary Increase funds are part of the total Conference Base Funding and are not treated as a separate allocation. Amounts are split out here for informative purposes and for the purposes of providing a total that may be used for calculating the adminstrative fee.</t>
    </r>
  </si>
  <si>
    <t>Maintenance Portion (6.67% of Conference Base Funding)</t>
  </si>
  <si>
    <t>(a)</t>
  </si>
  <si>
    <t>X</t>
  </si>
  <si>
    <t>Growth Portion (0.54% of Conference Base Funding)</t>
  </si>
  <si>
    <t xml:space="preserve">         Total Salary Increase Allocation</t>
  </si>
  <si>
    <t xml:space="preserve"> </t>
  </si>
  <si>
    <t>2.   ESE Guaranteed Allocation:</t>
  </si>
  <si>
    <t>FTE</t>
  </si>
  <si>
    <t>Grade Level</t>
  </si>
  <si>
    <t>Matrix Level</t>
  </si>
  <si>
    <t>Guarantee Per Student</t>
  </si>
  <si>
    <r>
      <t>Additional Funding from the ESE Guaranteed Allocation. Enter the FTE from 111,112 and 113 by grade and matrix level.  Students who do not have a matrix level should be considered 251.  This total should equal all FTE from programs 111, 112 and 113 above,</t>
    </r>
    <r>
      <rPr>
        <sz val="12"/>
        <color indexed="10"/>
        <rFont val="Times New Roman"/>
        <family val="1"/>
      </rPr>
      <t xml:space="preserve"> </t>
    </r>
    <r>
      <rPr>
        <b/>
        <u/>
        <sz val="12"/>
        <color indexed="10"/>
        <rFont val="Times New Roman"/>
        <family val="1"/>
      </rPr>
      <t>less any 113 gifted FTE</t>
    </r>
    <r>
      <rPr>
        <sz val="12"/>
        <rFont val="Times New Roman"/>
        <family val="1"/>
      </rPr>
      <t>.</t>
    </r>
  </si>
  <si>
    <t>PK-3</t>
  </si>
  <si>
    <t>4-8</t>
  </si>
  <si>
    <t>9-12</t>
  </si>
  <si>
    <t>Total FTE with ESE Services</t>
  </si>
  <si>
    <t>Total ESE Guarantee</t>
  </si>
  <si>
    <t>3A. Divide school's Unweighted FTE (UFTE) total computed in Section 1, cell C28 above by the district's total UFTE to obtain school's</t>
  </si>
  <si>
    <t xml:space="preserve"> UFTE share.           Charter School UFTE: </t>
  </si>
  <si>
    <t>÷</t>
  </si>
  <si>
    <t>District's Total UFTE:</t>
  </si>
  <si>
    <t>=</t>
  </si>
  <si>
    <t>3B. Divide school's Weighted FTE (WFTE) total computed in Section 1, cell E33 above by the district's total WFTE to obtain school's</t>
  </si>
  <si>
    <t xml:space="preserve"> WFTE share.          Charter School WFTE: </t>
  </si>
  <si>
    <t>District's Total WFTE:</t>
  </si>
  <si>
    <t>3C. Divide school's Unweighted FTE (UFTE) total computed in Section 1, cell C28 above by the district's total non-scholarship UFTE to obtain school's</t>
  </si>
  <si>
    <t xml:space="preserve"> UFTE share.          Charter School UFTE: </t>
  </si>
  <si>
    <t>District's Total Non-Scholarship UFTE:</t>
  </si>
  <si>
    <t>3D. Divide school's Unweighted FTE (UFTE) total computed in Section 1, cell C28 above by the district's total non-virtual UFTE to obtain school's</t>
  </si>
  <si>
    <t>District's Total Non-Virtual UFTE:</t>
  </si>
  <si>
    <t>3E. Divide school's Unweighted FTE (UFTE) total computed in Section 1, cell C28 above by the district's total non-scholarship and non-virtual UFTE to obtain school's</t>
  </si>
  <si>
    <t>District's Total Non-Scholarship Non-Virtual UFTE:</t>
  </si>
  <si>
    <t>4.   Educational Enrichment Share (Non-Virtual UFTE share)</t>
  </si>
  <si>
    <t>(e)</t>
  </si>
  <si>
    <t>x</t>
  </si>
  <si>
    <t>5.   Discretionary Millage Compression Allocation</t>
  </si>
  <si>
    <t>.748 Mills (UFTE share)</t>
  </si>
  <si>
    <t>(b)</t>
  </si>
  <si>
    <t>6.   Safe Schools Allocation (Non-Virtual and Non-Scholarship UFTE share)</t>
  </si>
  <si>
    <t>(f)</t>
  </si>
  <si>
    <t>7.   Mental Health Assistance Allocation (Non-Scholarship UFTE share)</t>
  </si>
  <si>
    <t>(d)</t>
  </si>
  <si>
    <t>8.   Academic Acceleration Options Supplement (Value share)</t>
  </si>
  <si>
    <t>(g)</t>
  </si>
  <si>
    <t>Acceleration Value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</si>
  <si>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(g) below.</t>
    </r>
  </si>
  <si>
    <t>Advanced Placement</t>
  </si>
  <si>
    <t>International Baccalaureate</t>
  </si>
  <si>
    <t>Advanced International Certificate</t>
  </si>
  <si>
    <t>Industry Certified Career Education</t>
  </si>
  <si>
    <t>Early High School Graduation</t>
  </si>
  <si>
    <t>Dual Enrollment</t>
  </si>
  <si>
    <t>School total value</t>
  </si>
  <si>
    <t>District total value</t>
  </si>
  <si>
    <t>School Academic Acceleration Option Supplement</t>
  </si>
  <si>
    <t>9.    Discretionary Local Effort (WFTE share)</t>
  </si>
  <si>
    <t>(c)</t>
  </si>
  <si>
    <t>10.  Proration to Funds Available (WFTE share)</t>
  </si>
  <si>
    <t>11.  Educational Enrollment Stabilization Program (UFTE share)</t>
  </si>
  <si>
    <t>12.  Class Size Reduction Funds:</t>
  </si>
  <si>
    <t>Weighted FTE (not including Add-On)</t>
  </si>
  <si>
    <r>
      <t xml:space="preserve">X         </t>
    </r>
    <r>
      <rPr>
        <b/>
        <u/>
        <sz val="12"/>
        <rFont val="Times New Roman"/>
        <family val="1"/>
      </rPr>
      <t xml:space="preserve"> CWF</t>
    </r>
    <r>
      <rPr>
        <b/>
        <sz val="12"/>
        <rFont val="Times New Roman"/>
        <family val="1"/>
      </rPr>
      <t xml:space="preserve">         X</t>
    </r>
  </si>
  <si>
    <t>Allocation factors</t>
  </si>
  <si>
    <t>PK - 3</t>
  </si>
  <si>
    <r>
      <t xml:space="preserve">Total </t>
    </r>
    <r>
      <rPr>
        <b/>
        <sz val="12"/>
        <color indexed="30"/>
        <rFont val="Times New Roman"/>
        <family val="1"/>
      </rPr>
      <t>*</t>
    </r>
  </si>
  <si>
    <t>Total Class Size Reduction Funds</t>
  </si>
  <si>
    <t>(*Total FTE should equal total in Section 1, column (4) and should not include any additional FTE from Section 1.)</t>
  </si>
  <si>
    <t>13.  Student Transportation</t>
  </si>
  <si>
    <t>(h)</t>
  </si>
  <si>
    <t>Enter All Adjusted Fundable Riders</t>
  </si>
  <si>
    <t xml:space="preserve"> x</t>
  </si>
  <si>
    <t>Enter All Adjusted ESE Riders</t>
  </si>
  <si>
    <t>14.  Federally Connected Student Supplement</t>
  </si>
  <si>
    <t>(i)</t>
  </si>
  <si>
    <t>Impact Aid Student Type</t>
  </si>
  <si>
    <t>Number of Students</t>
  </si>
  <si>
    <t>Exempt Property Allocation</t>
  </si>
  <si>
    <t>Impact Aid Student Allocation</t>
  </si>
  <si>
    <t>Total</t>
  </si>
  <si>
    <t>Military and Indian Lands</t>
  </si>
  <si>
    <t>Civilians on Federal Lands</t>
  </si>
  <si>
    <t>Students with Disabilities</t>
  </si>
  <si>
    <t>15.  Food Service Allocation</t>
  </si>
  <si>
    <t>(j)</t>
  </si>
  <si>
    <t>16.  Total Less Salary Increase Allocation (for administrative fee calculation)</t>
  </si>
  <si>
    <t>(k)</t>
  </si>
  <si>
    <t>17.  Funding for the purpose of calculating the administrative fee for ESE charter schools.</t>
  </si>
  <si>
    <t>(l)</t>
  </si>
  <si>
    <t>If you have more than a 75% ESE student population, please place a 1 in the following box:</t>
  </si>
  <si>
    <t>NOTES:</t>
  </si>
  <si>
    <t xml:space="preserve">(a) This allocation will be frozen as of the 2025-26 FEFP Conference Calculation and will not be recalculated throughout the year. Charter school allocations are recommended not to be recalculated with fluctuations in student enrollment later in the year. </t>
  </si>
  <si>
    <t>(b) District allocations multiplied by percentage from item 3A.</t>
  </si>
  <si>
    <t>(c) District allocations multiplied by percentage from item 3B.</t>
  </si>
  <si>
    <t>(d) District allocations multiplied by percentage from item 3C.</t>
  </si>
  <si>
    <t>(e) District allocations multiplied by percentage from item 3D.</t>
  </si>
  <si>
    <t>(f) District allocations multiplied by percentage from item 3E.</t>
  </si>
  <si>
    <t xml:space="preserve">(g) Acceleration values earned through Advanced Placement, International Baccalaureate, Advanced International Certificate of Education, Industry Certified Career Education (CAPE), Early High School Graduation and Dual Enrollment pursuant to s. 1011.62(17), F.S. </t>
  </si>
  <si>
    <t>(h)  Numbers entered here will be multiplied by the district level transportation funding per rider. "All Adjusted Fundable Riders" should include both basic and ESE Riders. "All Adjusted ESE Riders" should include only ESE Riders.</t>
  </si>
  <si>
    <t xml:space="preserve">(i) The Federally Connected Student Supplement provides additional funding for students on federal lands that receive Section 8003 impact aide pursuant to s. 1011.62(10), F.S. </t>
  </si>
  <si>
    <t xml:space="preserve">(j) Funding based on student eligibility and meals provided, if participating in the National School Lunch Program. </t>
  </si>
  <si>
    <t xml:space="preserve">(k) Consistent with s. 1002.33(20)(a)3, F.S., a school's sponsor may not charge or withhold any administrative fee against a charter school for any funds specfically allocated by the Legislature for teacher compensation. </t>
  </si>
  <si>
    <t xml:space="preserve">(l) Consistent with s. 1002.33(20)(a), F.S., for charter schools with a population of 75% or more ESE students, the administrative fee shall be calculated based on unweighted full-time equivalent students. </t>
  </si>
  <si>
    <t>Administrative fees:</t>
  </si>
  <si>
    <t xml:space="preserve">Administrative fees charged by the school district pursuant to s. 1002.33(20)(a), F.S., shall be calculated based upon 5%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5%. For charter schools within a charter school system that meets the requirements in s. 1002.33(20)(a)2.a.(II), F.S., do the same calculation based for up to and including 500 students. </t>
  </si>
  <si>
    <t xml:space="preserve">For high performing charter schools, administrative fees charged by the school district shall be calculated based upon 2%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2%.  </t>
  </si>
  <si>
    <t>Other:</t>
  </si>
  <si>
    <t>FEFP and categorical funding are recalculated during the year to reflect the revised number of full-time equivalent students reported during the survey periods designated by the Commissioner of Education.</t>
  </si>
  <si>
    <t>Revenues flow to districts from state sources and from county tax collectors on various distribution schedules.</t>
  </si>
  <si>
    <t>Revenue Estimate Worksheet: Palm Beach Preparatory Middle School 0040</t>
  </si>
  <si>
    <t>Total FTE</t>
  </si>
  <si>
    <t>Average FTE</t>
  </si>
  <si>
    <r>
      <t xml:space="preserve">Number of FTE
</t>
    </r>
    <r>
      <rPr>
        <i/>
        <sz val="9"/>
        <color indexed="10"/>
        <rFont val="Times New Roman"/>
        <family val="1"/>
      </rPr>
      <t>Charter schools should contact their school district sponsor regarding eligible FTE. Please note that “Number of FTE” is NOT equivalent to number of students enrolled in these courses or programs. Please refer to footnote (a) below.</t>
    </r>
  </si>
  <si>
    <t>Additional Funding from the ESE Guaranteed Allocation. Enter the FTE from 111,112, &amp; 113 by grade and matrix level.  Students who do not have a matrix level should be considered 251.  This total should equal all FTE from programs 111, 112 &amp; 113 above.</t>
  </si>
  <si>
    <t>3B. Divide school's Weighted FTE (WFTE) total computed in Section 1, cell E39 above by the district's total WFTE to obtain school's</t>
  </si>
  <si>
    <t>District's Total Non-Virtual and Non-Scholarship UFTE:</t>
  </si>
  <si>
    <t>.748 Mills</t>
  </si>
  <si>
    <t>6.   Safe Schools Allocation (Non-Virtual and Scholarship UFTE share)</t>
  </si>
  <si>
    <t>7.  Mental Health Assistance Allocation (Non-Scholarship UFTE share)</t>
  </si>
  <si>
    <t>8.  Academic Acceleration Options Supplement (Value share)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</si>
  <si>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(a) below.</t>
    </r>
  </si>
  <si>
    <t>9.    ESE Guaranteed Allocation</t>
  </si>
  <si>
    <t>10.  Discretionary Local Effort (WFTE share)</t>
  </si>
  <si>
    <t>11.  Proration to Funds Available (WFTE share)</t>
  </si>
  <si>
    <t>12.  Educational Enrollment Stabilization Program (UFTE share)</t>
  </si>
  <si>
    <t>13.  Class Size Reduction Funds:</t>
  </si>
  <si>
    <t>X          CWF         X</t>
  </si>
  <si>
    <t>14.  Student Transportation</t>
  </si>
  <si>
    <t>15.  Federally Connected Student Supplement</t>
  </si>
  <si>
    <t>16.  Food Service Allocation</t>
  </si>
  <si>
    <t>Total Funding for Calculating the Administrative fee of Charters with More Than 75% ESE Students.</t>
  </si>
  <si>
    <t xml:space="preserve">This tab of the worksheet is Set up to show estimated funding based on Unweighted FTE for charter schools with ESE populations of more than 75% so that </t>
  </si>
  <si>
    <t>the proper administrative fee can be estimated. It should not be necessary to enter data on this page.</t>
  </si>
  <si>
    <t>Palm Beach</t>
  </si>
  <si>
    <t>Less Administrative Fee (5% for up to 250 students of Un-Weighted FTE)</t>
  </si>
  <si>
    <t>Total Estimated Revenue</t>
  </si>
  <si>
    <t>Previous Charter School Payments Made</t>
  </si>
  <si>
    <t>Remaining Estimated Revenue</t>
  </si>
  <si>
    <t>Number of Remaining Months</t>
  </si>
  <si>
    <t>Current month's payment amount</t>
  </si>
  <si>
    <t>Excess of Administrative Fees to be Allocated to Capital Expenditures</t>
  </si>
  <si>
    <t>Admin</t>
  </si>
  <si>
    <t>Fee %</t>
  </si>
  <si>
    <t>Annual</t>
  </si>
  <si>
    <t>Current</t>
  </si>
  <si>
    <t>Sec 1 Rev/Fee per FTE</t>
  </si>
  <si>
    <t>Net Rev Per Sec 1 FTE</t>
  </si>
  <si>
    <t>H/P</t>
  </si>
  <si>
    <t>ESE</t>
  </si>
  <si>
    <t>W/O TSIA</t>
  </si>
  <si>
    <t>Revenue</t>
  </si>
  <si>
    <t>Rev - TSIA</t>
  </si>
  <si>
    <t>Admin Fee</t>
  </si>
  <si>
    <t>Net Revenue</t>
  </si>
  <si>
    <t>Mth's Pmt</t>
  </si>
  <si>
    <t>Sec 1 FTE</t>
  </si>
  <si>
    <t>Rev</t>
  </si>
  <si>
    <t>Fee</t>
  </si>
  <si>
    <t>Net Rev</t>
  </si>
  <si>
    <t>75% ESE</t>
  </si>
  <si>
    <t>Other</t>
  </si>
  <si>
    <t>0040</t>
  </si>
  <si>
    <t>Palm Beach Preparatory Middle School</t>
  </si>
  <si>
    <t>0100</t>
  </si>
  <si>
    <t>The Learning Center Highschool</t>
  </si>
  <si>
    <t>1461</t>
  </si>
  <si>
    <t>Inlet Grove Community High School</t>
  </si>
  <si>
    <t>1571</t>
  </si>
  <si>
    <t>South Tech Charter Academy</t>
  </si>
  <si>
    <t>2521</t>
  </si>
  <si>
    <t>Ed Venture</t>
  </si>
  <si>
    <t>2531</t>
  </si>
  <si>
    <t>Bodwell Academy</t>
  </si>
  <si>
    <t>2791</t>
  </si>
  <si>
    <t>The Learning Center @ The Els Center of Excl</t>
  </si>
  <si>
    <t>2801</t>
  </si>
  <si>
    <t>Palm Beach Maritime Academy Elementary</t>
  </si>
  <si>
    <t>2911</t>
  </si>
  <si>
    <t>Western Academy Charter School</t>
  </si>
  <si>
    <t>2941</t>
  </si>
  <si>
    <t>Palm Beach School for Autism</t>
  </si>
  <si>
    <t>3083</t>
  </si>
  <si>
    <t>The Learning Academy @ The Els Center of Excl</t>
  </si>
  <si>
    <t>3345</t>
  </si>
  <si>
    <t>Career Academy of the Palm Beaches</t>
  </si>
  <si>
    <t>3381</t>
  </si>
  <si>
    <t>Imagine Schools - Chancellor Campus</t>
  </si>
  <si>
    <t>3382</t>
  </si>
  <si>
    <t xml:space="preserve">Glades Academy </t>
  </si>
  <si>
    <t>3391</t>
  </si>
  <si>
    <t>Seagull Academy for Independent Living</t>
  </si>
  <si>
    <t>3394</t>
  </si>
  <si>
    <t>Montessori Academy of Early Enrichment</t>
  </si>
  <si>
    <t>3395</t>
  </si>
  <si>
    <t>Somerset Academy Charter School</t>
  </si>
  <si>
    <t>3396</t>
  </si>
  <si>
    <t xml:space="preserve">G-Star School of the Arts </t>
  </si>
  <si>
    <t>3398</t>
  </si>
  <si>
    <t>Everglades Preparatory Academy</t>
  </si>
  <si>
    <t>3400</t>
  </si>
  <si>
    <t>Believers Academy</t>
  </si>
  <si>
    <t>3401</t>
  </si>
  <si>
    <t>Quantum High School</t>
  </si>
  <si>
    <t>3413</t>
  </si>
  <si>
    <t>Somerset Academy Boca</t>
  </si>
  <si>
    <t>3421</t>
  </si>
  <si>
    <t>Worthington High School</t>
  </si>
  <si>
    <t>3431</t>
  </si>
  <si>
    <t>Renaissance Charter School at WPB</t>
  </si>
  <si>
    <t>South Tech Preparatory Academy (MS)</t>
  </si>
  <si>
    <t>Palm Beach Maritime Academy Secondary</t>
  </si>
  <si>
    <t>3941</t>
  </si>
  <si>
    <t>Ben Gamla Charter School</t>
  </si>
  <si>
    <t>3961</t>
  </si>
  <si>
    <t>Gardens School of Technology Arts</t>
  </si>
  <si>
    <t>3971</t>
  </si>
  <si>
    <t>Palm Beach Preparatory Charter Academy</t>
  </si>
  <si>
    <t>4001</t>
  </si>
  <si>
    <t>Renaissance Charter School at Wellington</t>
  </si>
  <si>
    <t xml:space="preserve">Renaissance Charter School at Summit </t>
  </si>
  <si>
    <t xml:space="preserve">Somerset Academy Canyons Middle School </t>
  </si>
  <si>
    <t xml:space="preserve">Somerset Academy Canyons High School </t>
  </si>
  <si>
    <t>Franklin Academy - Boynton Beach</t>
  </si>
  <si>
    <t>Olympus International Academy</t>
  </si>
  <si>
    <t>Somerset Academy Wellington</t>
  </si>
  <si>
    <t xml:space="preserve">Somerset Academy Boca Middle School </t>
  </si>
  <si>
    <t>Renaissance Charter School at Cypress</t>
  </si>
  <si>
    <t>Renaissance Charter School at Central Palm</t>
  </si>
  <si>
    <t>Franklin Academy - Palm Beach Gardens</t>
  </si>
  <si>
    <t>University Preparatory Academy</t>
  </si>
  <si>
    <t>Florida Futures Academy - North Campus</t>
  </si>
  <si>
    <t>Sports Leadership Academy (SLAM)</t>
  </si>
  <si>
    <t>Somerset Academy Lakes</t>
  </si>
  <si>
    <t>Connections Education Center of the PBs</t>
  </si>
  <si>
    <t>BridgePrep Academy of Palm Beach</t>
  </si>
  <si>
    <t>SLAM Boca</t>
  </si>
  <si>
    <t>SLAM HS Palm Beach</t>
  </si>
  <si>
    <t>Somerset Academy Wellington HS</t>
  </si>
  <si>
    <t>Consolidated tab totals</t>
  </si>
  <si>
    <t>Difference</t>
  </si>
  <si>
    <t>Palm Beach County Charter Schools</t>
  </si>
  <si>
    <t>Sorted by School Number</t>
  </si>
  <si>
    <t>Sorted by School Name</t>
  </si>
  <si>
    <t>Dept #</t>
  </si>
  <si>
    <t>Charter School Name</t>
  </si>
  <si>
    <t>PALM BEACH PREPARATORY ACADEMY MS</t>
  </si>
  <si>
    <t>THE LEARNING CENTER HS</t>
  </si>
  <si>
    <t>3391 Seagull Academy for Independent Living and 2531 Potentials Charter School merged in FY 25 and changed their name to Bodwell Academy</t>
  </si>
  <si>
    <t>4102</t>
  </si>
  <si>
    <t>BridgePrep Academy of PB</t>
  </si>
  <si>
    <t>4100</t>
  </si>
  <si>
    <t>Connections Education Center of the Palm Beaches</t>
  </si>
  <si>
    <t>3961 Garden School of Technology is closing for FY 26.</t>
  </si>
  <si>
    <t>Bodwell Academy (formerly - Potentials Charter School)</t>
  </si>
  <si>
    <t>4080 University Prep is closed for FY 26</t>
  </si>
  <si>
    <t>The Learning Center at The Els Center of Excellence</t>
  </si>
  <si>
    <t>4081</t>
  </si>
  <si>
    <t>4020</t>
  </si>
  <si>
    <t>4061</t>
  </si>
  <si>
    <t>New Schools</t>
  </si>
  <si>
    <t>The Learning Academy at The Els Center of Excellence</t>
  </si>
  <si>
    <t>G-Star School of the Arts for Motion Pictures and Television</t>
  </si>
  <si>
    <t>Somserset Avenir</t>
  </si>
  <si>
    <t>Somerset Avenir</t>
  </si>
  <si>
    <t>4030</t>
  </si>
  <si>
    <t>Somerset Academy JFK Charter School</t>
  </si>
  <si>
    <t>3924</t>
  </si>
  <si>
    <t>Potentials Charter School</t>
  </si>
  <si>
    <t>4051</t>
  </si>
  <si>
    <t>3441</t>
  </si>
  <si>
    <t>South Tech Preparatory Academy (Middle School)</t>
  </si>
  <si>
    <t>4050</t>
  </si>
  <si>
    <t>4002</t>
  </si>
  <si>
    <t>4012</t>
  </si>
  <si>
    <t>4013</t>
  </si>
  <si>
    <t>4041</t>
  </si>
  <si>
    <t>4131</t>
  </si>
  <si>
    <t>4080</t>
  </si>
  <si>
    <t>University Prep Palm Beach</t>
  </si>
  <si>
    <t>Sports Leadership &amp; Management (SLAM) MS</t>
  </si>
  <si>
    <t>4103</t>
  </si>
  <si>
    <t>Sports Leadership Arts Management (SLAM) Acdemy MHS (Boca)</t>
  </si>
  <si>
    <t>The Learning Center High School</t>
  </si>
  <si>
    <t>Revenue Estimate Worksheet: All Charter Schools (Consolidated Tab)</t>
  </si>
  <si>
    <t xml:space="preserve">Base Student Allocation:   </t>
  </si>
  <si>
    <t xml:space="preserve">District Cost Differential:   </t>
  </si>
  <si>
    <t xml:space="preserve">Small District Factor:   </t>
  </si>
  <si>
    <r>
      <t xml:space="preserve">254 ESE Level 4 </t>
    </r>
    <r>
      <rPr>
        <b/>
        <i/>
        <sz val="12"/>
        <rFont val="Calibri"/>
        <family val="2"/>
      </rPr>
      <t>(Grade Level PK-3</t>
    </r>
    <r>
      <rPr>
        <b/>
        <sz val="12"/>
        <rFont val="Calibri"/>
        <family val="2"/>
      </rPr>
      <t>)</t>
    </r>
  </si>
  <si>
    <r>
      <t xml:space="preserve">254 ESE Level 4 </t>
    </r>
    <r>
      <rPr>
        <b/>
        <i/>
        <sz val="12"/>
        <rFont val="Calibri"/>
        <family val="2"/>
      </rPr>
      <t>(Grade Level 4-8)</t>
    </r>
  </si>
  <si>
    <r>
      <t>254 ESE Level 4</t>
    </r>
    <r>
      <rPr>
        <b/>
        <i/>
        <sz val="12"/>
        <rFont val="Calibri"/>
        <family val="2"/>
      </rPr>
      <t xml:space="preserve"> (Grade Level 9-12)</t>
    </r>
  </si>
  <si>
    <r>
      <t xml:space="preserve">255 ESE Level 5 </t>
    </r>
    <r>
      <rPr>
        <b/>
        <i/>
        <sz val="12"/>
        <rFont val="Calibri"/>
        <family val="2"/>
      </rPr>
      <t>(Grade Level PK-3</t>
    </r>
    <r>
      <rPr>
        <b/>
        <sz val="12"/>
        <rFont val="Calibri"/>
        <family val="2"/>
      </rPr>
      <t>)</t>
    </r>
  </si>
  <si>
    <r>
      <t xml:space="preserve">255 ESE Level 5 </t>
    </r>
    <r>
      <rPr>
        <b/>
        <i/>
        <sz val="12"/>
        <rFont val="Calibri"/>
        <family val="2"/>
      </rPr>
      <t>(Grade Level 4-8)</t>
    </r>
  </si>
  <si>
    <r>
      <t>255 ESE Level 5</t>
    </r>
    <r>
      <rPr>
        <b/>
        <i/>
        <sz val="12"/>
        <rFont val="Calibri"/>
        <family val="2"/>
      </rPr>
      <t xml:space="preserve"> (Grade Level 9-12)</t>
    </r>
  </si>
  <si>
    <r>
      <t xml:space="preserve">130 ESOL </t>
    </r>
    <r>
      <rPr>
        <b/>
        <i/>
        <sz val="12"/>
        <rFont val="Calibri"/>
        <family val="2"/>
      </rPr>
      <t>(Grade Level PK-3)</t>
    </r>
  </si>
  <si>
    <r>
      <t xml:space="preserve">130 ESOL </t>
    </r>
    <r>
      <rPr>
        <b/>
        <i/>
        <sz val="12"/>
        <rFont val="Calibri"/>
        <family val="2"/>
      </rPr>
      <t>(Grade Level 4-8)</t>
    </r>
  </si>
  <si>
    <r>
      <t xml:space="preserve">130 ESOL </t>
    </r>
    <r>
      <rPr>
        <b/>
        <i/>
        <sz val="12"/>
        <rFont val="Calibri"/>
        <family val="2"/>
      </rPr>
      <t>(Grade Level 9-12)</t>
    </r>
  </si>
  <si>
    <r>
      <t xml:space="preserve">300 Career Education </t>
    </r>
    <r>
      <rPr>
        <b/>
        <i/>
        <sz val="12"/>
        <rFont val="Calibri"/>
        <family val="2"/>
      </rPr>
      <t>(Grades 9-12)</t>
    </r>
  </si>
  <si>
    <t>Totals non-virtual schools</t>
  </si>
  <si>
    <t>Virtual schools ($5,476.28/FTE)</t>
  </si>
  <si>
    <t>Totals all schools</t>
  </si>
  <si>
    <t>2018-19</t>
  </si>
  <si>
    <t>Additional FTE (a)</t>
  </si>
  <si>
    <t>(WFTE x BSA x DCD)</t>
  </si>
  <si>
    <t xml:space="preserve">Total Additional FTE   </t>
  </si>
  <si>
    <t xml:space="preserve">Additional Base Funds  </t>
  </si>
  <si>
    <t xml:space="preserve">Total Funded Weighted FTE   </t>
  </si>
  <si>
    <t xml:space="preserve">Total Base Funding  </t>
  </si>
  <si>
    <t>1B. Classroom Teacher &amp; Other Instructional Personnel Salary Increase</t>
  </si>
  <si>
    <t>Maintenance and Growth Portions of the Salary Increase funds are part of the total Base Funding and are not treated as a separate allocation.</t>
  </si>
  <si>
    <t>Amounts are split out here for informative purposes and for the purposes of providing a total that may be used for calculating the adminstrative fee.</t>
  </si>
  <si>
    <t>Maintenance Portion (6.67% of Conference Funding)</t>
  </si>
  <si>
    <t>(g) (k)</t>
  </si>
  <si>
    <t>Growth Portion (0.54% of Conference Funding)</t>
  </si>
  <si>
    <t>Total Salary Increase</t>
  </si>
  <si>
    <t>Grade</t>
  </si>
  <si>
    <t>Matrix</t>
  </si>
  <si>
    <t>Guarantee</t>
  </si>
  <si>
    <t>Level</t>
  </si>
  <si>
    <t>Per Student</t>
  </si>
  <si>
    <t>Additional Funding from the ESE Guaranteed Allocation. Enter the FTE from 111,112 and 113 by grade and matrix level.  Students who do not have a matrix level should be considered 251.  This total should equal all FTE from programs 111, 112 and 113 above.</t>
  </si>
  <si>
    <t>3A.   Divide school's Unweighted FTE (UFTE) total computed in Section 1, cell E30 above by the district's total UFTE to obtain school's</t>
  </si>
  <si>
    <t xml:space="preserve">          UFTE share.                          CS UFTE: </t>
  </si>
  <si>
    <t xml:space="preserve">    ÷                    District's total UFTE</t>
  </si>
  <si>
    <t>3B.   Divide school's Weighted FTE (WFTE) total computed in Section 1, cell H30 above by the district's total WFTE to obtain school's</t>
  </si>
  <si>
    <t xml:space="preserve">          WFTE share.                       CS WFTE: </t>
  </si>
  <si>
    <t xml:space="preserve">    ÷                    District's total WFTE</t>
  </si>
  <si>
    <t>3C.   Divide school's Unweighted FTE (UFTE) total computed in Section 1, cell E30 above by the District's total non-scholarship UFTE to obtain school's</t>
  </si>
  <si>
    <r>
      <t xml:space="preserve">         </t>
    </r>
    <r>
      <rPr>
        <b/>
        <sz val="11"/>
        <rFont val="Calibri"/>
        <family val="2"/>
        <scheme val="minor"/>
      </rPr>
      <t xml:space="preserve"> UFTE share. </t>
    </r>
    <r>
      <rPr>
        <b/>
        <sz val="12"/>
        <rFont val="Calibri"/>
        <family val="2"/>
        <scheme val="minor"/>
      </rPr>
      <t xml:space="preserve">                           CS UFTE: </t>
    </r>
  </si>
  <si>
    <t xml:space="preserve">    ÷     District's total non-scholarship UFTE    </t>
  </si>
  <si>
    <t>3D.   Divide school's Unweighted FTE (UFTE) total computed in Section 1, cell E30 above by the District's total non-virtual UFTE to obtain school's</t>
  </si>
  <si>
    <t xml:space="preserve">               ÷                  District's total non-virtual UFTE  </t>
  </si>
  <si>
    <t xml:space="preserve">3E.   Divide school's Unweighted FTE (UFTE) total computed in Section 1, cell E30 above by the district's total non-scholarship/virtual UFTE to obtain </t>
  </si>
  <si>
    <r>
      <t xml:space="preserve">         </t>
    </r>
    <r>
      <rPr>
        <b/>
        <sz val="11"/>
        <rFont val="Calibri"/>
        <family val="2"/>
        <scheme val="minor"/>
      </rPr>
      <t xml:space="preserve"> school's UFTE share. </t>
    </r>
    <r>
      <rPr>
        <b/>
        <sz val="12"/>
        <rFont val="Calibri"/>
        <family val="2"/>
        <scheme val="minor"/>
      </rPr>
      <t xml:space="preserve">             CS UFTE: </t>
    </r>
  </si>
  <si>
    <t xml:space="preserve">÷   Dististict's total non-scholarship/virtual UFTE  </t>
  </si>
  <si>
    <t>4.   Educational Enrichment Share (Non-virtual UFTE share)</t>
  </si>
  <si>
    <t xml:space="preserve">        .748 Mills (UFTE share)</t>
  </si>
  <si>
    <t>6.   Safe Schools Allocation (Non-scholarship/virtual UFTE share)</t>
  </si>
  <si>
    <r>
      <t xml:space="preserve">7.   </t>
    </r>
    <r>
      <rPr>
        <b/>
        <sz val="11"/>
        <rFont val="Calibri"/>
        <family val="2"/>
        <scheme val="minor"/>
      </rPr>
      <t>Mental Health Assistance Allocation (Non-scholarship UFTE share)</t>
    </r>
  </si>
  <si>
    <t>Allocation</t>
  </si>
  <si>
    <t>(not including Add-On)</t>
  </si>
  <si>
    <r>
      <rPr>
        <b/>
        <sz val="12"/>
        <rFont val="Calibri"/>
        <family val="2"/>
      </rPr>
      <t xml:space="preserve">  X  </t>
    </r>
    <r>
      <rPr>
        <b/>
        <u/>
        <sz val="12"/>
        <rFont val="Calibri"/>
        <family val="2"/>
      </rPr>
      <t>CWF</t>
    </r>
    <r>
      <rPr>
        <b/>
        <sz val="12"/>
        <rFont val="Calibri"/>
        <family val="2"/>
      </rPr>
      <t xml:space="preserve">  X</t>
    </r>
  </si>
  <si>
    <t>Factors</t>
  </si>
  <si>
    <t xml:space="preserve">PK - 3      </t>
  </si>
  <si>
    <t xml:space="preserve">4-8       </t>
  </si>
  <si>
    <t xml:space="preserve">9-12       </t>
  </si>
  <si>
    <r>
      <t xml:space="preserve">Total </t>
    </r>
    <r>
      <rPr>
        <b/>
        <sz val="12"/>
        <color indexed="30"/>
        <rFont val="Calibri"/>
        <family val="2"/>
      </rPr>
      <t xml:space="preserve">*   </t>
    </r>
  </si>
  <si>
    <t xml:space="preserve">Total Class Size Reduction Funds  </t>
  </si>
  <si>
    <t>Average</t>
  </si>
  <si>
    <t xml:space="preserve">All Adjusted Fundable Riders  </t>
  </si>
  <si>
    <t xml:space="preserve">All Adjusted ESE Riders (Member Cat L)  </t>
  </si>
  <si>
    <t>12.  Federally Connected Student Supplement</t>
  </si>
  <si>
    <t>Impact Aide</t>
  </si>
  <si>
    <t>Exempt Property</t>
  </si>
  <si>
    <t>Student</t>
  </si>
  <si>
    <t>Total Less Total Salary Increase - Item 1B. (for administrative fee calculation)</t>
  </si>
  <si>
    <t>Funding for the purpose of calculating the administrative fee for ESE charter schools.</t>
  </si>
  <si>
    <t xml:space="preserve">(a) Additional FTE includes FTE earned through Advanced Placement, International Baccalaureate, Advanced International Certificate of Education, Industry Certified Career Education (CAPE), Early High School Graduation, the small district ESE Supplement and Dual Enrollment pursuant to s. 1011.62(1)(i-p), F.S. </t>
  </si>
  <si>
    <t>(b) District allocations multiplied by percentage from item 2A.</t>
  </si>
  <si>
    <t>(c) District allocations multiplied by percentage from item 2B.</t>
  </si>
  <si>
    <t>(d) District allocations multiplied by percentage from item 2C.</t>
  </si>
  <si>
    <t>(e) District allocations multiplied by percentage from item 2D.</t>
  </si>
  <si>
    <t>(f) District allocations multiplied by percentage from item 2E.</t>
  </si>
  <si>
    <t xml:space="preserve">(g) This allocation will be frozen as of the 2023-24 FEFP Conference Calculation and will not be recalculated throughout the year. Charter school allocations are recommended not to be recalculated with fluctuations in student enrollment later in the year. </t>
  </si>
  <si>
    <t xml:space="preserve">(i) The Federally Connected Student Supplement provides additional funding for students on federal lands that receive Section 8003 impact aide pursuant to s. 1011.62(13), F.S. </t>
  </si>
  <si>
    <t>Cumulative Payments</t>
  </si>
  <si>
    <t>July</t>
  </si>
  <si>
    <t>August</t>
  </si>
  <si>
    <t>Sept</t>
  </si>
  <si>
    <t>Oct</t>
  </si>
  <si>
    <t>Nov</t>
  </si>
  <si>
    <t>Dec</t>
  </si>
  <si>
    <t>Jan</t>
  </si>
  <si>
    <t>Feb</t>
  </si>
  <si>
    <t>March</t>
  </si>
  <si>
    <t>April</t>
  </si>
  <si>
    <t>May</t>
  </si>
  <si>
    <t>June</t>
  </si>
  <si>
    <t>Payments excluding current month</t>
  </si>
  <si>
    <t>Palm Beach Perparatory Charter Academy</t>
  </si>
  <si>
    <t>Related to first payment (July 2025) to 4080 University Prep</t>
  </si>
  <si>
    <t>Net Revenue - Previous Pmts</t>
  </si>
  <si>
    <t>Calculated Current Payment</t>
  </si>
  <si>
    <t>Actual Current Payment</t>
  </si>
  <si>
    <t>rounding diff</t>
  </si>
  <si>
    <t>*Use this for each tab in worksheet, current month is excluded for  calc.</t>
  </si>
  <si>
    <t>H</t>
  </si>
  <si>
    <t>Revenue Estimate Worksheet: The Learning Center Highschool 0100</t>
  </si>
  <si>
    <t>Revenue Estimate Worksheet: Inlet Grove Community High School - 1461</t>
  </si>
  <si>
    <t>Revenue Estimate Worksheet: South Tech Charter Academy - 1571</t>
  </si>
  <si>
    <t>Revenue Estimate Worksheet: Ed Venture Charter School - 2521</t>
  </si>
  <si>
    <t>Revenue Estimate Worksheet: Bodwell Academy - 2531</t>
  </si>
  <si>
    <t>Revenue Estimate Worksheet: The Learning Center at The Els Center of Excellence - 2791</t>
  </si>
  <si>
    <t>Revenue Estimate Worksheet: Palm Beach Maritime Academy Elementary - 2801</t>
  </si>
  <si>
    <t>Revenue Estimate Worksheet: Western Academy Charter School - 2911</t>
  </si>
  <si>
    <t>Revenue Estimate Worksheet: Palm Beach School for Autism - 2941</t>
  </si>
  <si>
    <t>Revenue Estimate Worksheet: The Learning Academy at The Els Center of Excellence - 3083</t>
  </si>
  <si>
    <t>Revenue Estimate Worksheet: Career Academy of the Palm Beaches - 3345</t>
  </si>
  <si>
    <t>Revenue Estimate Worksheet: Imagine Schools - Chancellor Campus - 3381</t>
  </si>
  <si>
    <t>Revenue Estimate Worksheet: Seagull Academy for Independent Living - 3391</t>
  </si>
  <si>
    <t>Revenue Estimate Worksheet: Montessori Academy of Early Enrichment - 3394</t>
  </si>
  <si>
    <t>Revenue Estimate Worksheet: Somerset Academy JFK Charter School - 3395</t>
  </si>
  <si>
    <t>Revenue Estimate Worksheet: G-Star School of the Arts for Motion Pictures &amp; Television - 3396</t>
  </si>
  <si>
    <t>Revenue Estimate Worksheet: Everglades Preparatory Academy - 3398</t>
  </si>
  <si>
    <t>Revenue Estimate Worksheet: Believers Academy - 3400</t>
  </si>
  <si>
    <t>Revenue Estimate Worksheet: Quantum High School - 3401</t>
  </si>
  <si>
    <t>Revenue Estimate Worksheet: Somerset Academy Boca East - 3413</t>
  </si>
  <si>
    <t>Revenue Estimate Worksheet: Worthington High School - 3421</t>
  </si>
  <si>
    <t>Revenue Estimate Worksheet: Renaissance Charter School at West Palm Beach - 3431</t>
  </si>
  <si>
    <t>Revenue Estimate Worksheet: SouthTech Preparatory Academy - 3441</t>
  </si>
  <si>
    <t>Revenue Estimate Worksheet: Palm Beach Maritime Academy Secondary - 3924</t>
  </si>
  <si>
    <t>Revenue Estimate Worksheet: Ben Gamla Charter School - 3941</t>
  </si>
  <si>
    <t>Revenue Estimate Worksheet: Gardens School of Technology Arts - 3961</t>
  </si>
  <si>
    <t>Revenue Estimate Worksheet: Palm Beach Preparatory Charter Academy - 3971</t>
  </si>
  <si>
    <t>Revenue Estimate Worksheet: Renaissance Charter School at Wellington - 4001</t>
  </si>
  <si>
    <t>Revenue Estimate Worksheet: Renaissance Charter School at Summit - 4002</t>
  </si>
  <si>
    <t>Revenue Estimate Worksheet: Somerset Academy Canyons Middle School - 4012</t>
  </si>
  <si>
    <t>Revenue Estimate Worksheet: Somerset Academy Canyons High School - 4013</t>
  </si>
  <si>
    <t>Revenue Estimate Worksheet: Franklin Academy - Boynton Beach - 4020</t>
  </si>
  <si>
    <t>Revenue Estimate Worksheet: Olympus International Academy - 4030</t>
  </si>
  <si>
    <t>Revenue Estimate Worksheet: Somerset Academy Wellington - 4031</t>
  </si>
  <si>
    <t>Revenue Estimate Worksheet: Somerset Academy Boca Middle School - 4041</t>
  </si>
  <si>
    <t>Revenue Estimate Worksheet: Renaissance Charter School at Cypress - 4050</t>
  </si>
  <si>
    <t>Revenue Estimate Worksheet: Franklin Academy - Palm Beach Gardens - 4061</t>
  </si>
  <si>
    <t>Revenue Estimate Worksheet: University Prep Palm Beach - 4080</t>
  </si>
  <si>
    <t>Revenue Estimate Worksheet: Florida Futures Academy - North Campus - 4081</t>
  </si>
  <si>
    <t>Revenue Estimate Worksheet: Sports Leadership &amp; Management Middle School (SLAM) - 4090</t>
  </si>
  <si>
    <t>Revenue Estimate Worksheet: Somerset Academy Lakes - 4091</t>
  </si>
  <si>
    <t>Revenue Estimate Worksheet: Connections Education Center of the Palm Beaches - 4100</t>
  </si>
  <si>
    <t>Revenue Estimate Worksheet: BridgePrep Academy of PB - 4102</t>
  </si>
  <si>
    <t>Revenue Estimate Worksheet: Sports Leadership &amp; Management (SLAM) MHS (Boca) - 4103</t>
  </si>
  <si>
    <t>Revenue Estimate Worksheet: Sports Leadership &amp; Management (SLAM) Academy High School - 4111</t>
  </si>
  <si>
    <t>Revenue Estimate Worksheet: Somerset Academy Wellington HS - 4131</t>
  </si>
  <si>
    <t>9.   Discretionary Local Effort (WFTE share)</t>
  </si>
  <si>
    <t>10.   Proration to Funds Available (WFTE share)</t>
  </si>
  <si>
    <t>11.  Educational Enrollment Stabilization Program (UFTE Share)</t>
  </si>
  <si>
    <t>14.  Food Service Allocation</t>
  </si>
  <si>
    <t>School #</t>
  </si>
  <si>
    <t>School Name</t>
  </si>
  <si>
    <t>Description</t>
  </si>
  <si>
    <t>Adjustments</t>
  </si>
  <si>
    <t>Net</t>
  </si>
  <si>
    <t>NOTES TO ALL CHARTER SCHOOLS</t>
  </si>
  <si>
    <t>Please go to the bottom of the page.</t>
  </si>
  <si>
    <t>PY Final FEFP</t>
  </si>
  <si>
    <t>Sep Teacher Supplies Retract</t>
  </si>
  <si>
    <t>PY Digital C/R</t>
  </si>
  <si>
    <t>PY Dig C/R A/R</t>
  </si>
  <si>
    <t>PY Class Size Cat.</t>
  </si>
  <si>
    <t>Class Size Cat.</t>
  </si>
  <si>
    <t xml:space="preserve">Transportation </t>
  </si>
  <si>
    <t>School Police</t>
  </si>
  <si>
    <t>AT&amp;T</t>
  </si>
  <si>
    <t>Avaya Maintenance</t>
  </si>
  <si>
    <t>LAN &amp; Internet</t>
  </si>
  <si>
    <t>Ends June 2022</t>
  </si>
  <si>
    <t>SWA Fees</t>
  </si>
  <si>
    <t>FY21 TSIA</t>
  </si>
  <si>
    <t>WPB-248085</t>
  </si>
  <si>
    <t>WPB-248086</t>
  </si>
  <si>
    <t>WPB-248087</t>
  </si>
  <si>
    <t>WPB-249234</t>
  </si>
  <si>
    <t>WPB-297918</t>
  </si>
  <si>
    <t>WPB-303998</t>
  </si>
  <si>
    <t>FY21 CSTAG Training</t>
  </si>
  <si>
    <t>FEFP Adj</t>
  </si>
  <si>
    <t>WPB-</t>
  </si>
  <si>
    <t xml:space="preserve">PY Final FEFP </t>
  </si>
  <si>
    <t>Unused FY21 TSIA Funds</t>
  </si>
  <si>
    <t>FL AG - FY18</t>
  </si>
  <si>
    <t>PY Safe Schl Alloc</t>
  </si>
  <si>
    <t>MS Course Recovery</t>
  </si>
  <si>
    <t>WPB-255421</t>
  </si>
  <si>
    <t>WPB-292889</t>
  </si>
  <si>
    <t>SIS Fee Reduction</t>
  </si>
  <si>
    <t>FL AG - FY20</t>
  </si>
  <si>
    <t>WPB-295674</t>
  </si>
  <si>
    <t>WPB-292383</t>
  </si>
  <si>
    <t>Unused FY21 TSIA add'l adj</t>
  </si>
  <si>
    <t>TSIA deducted 02/22</t>
  </si>
  <si>
    <t>WPB-242343</t>
  </si>
  <si>
    <t>WPB-264049</t>
  </si>
  <si>
    <t>Disallowed IDEA</t>
  </si>
  <si>
    <t>WPB-241201</t>
  </si>
  <si>
    <t>WPB-245095</t>
  </si>
  <si>
    <t>WPB-229862</t>
  </si>
  <si>
    <t>WPB-268356</t>
  </si>
  <si>
    <t>Sports Leadership &amp; Management MS (SLAM)</t>
  </si>
  <si>
    <t>TSIA deducted 07/21</t>
  </si>
  <si>
    <t>Sports Leadership Arts Management (SLAM) - Boca</t>
  </si>
  <si>
    <t>Net payments</t>
  </si>
  <si>
    <t xml:space="preserve">Total current month's FTE payment amount per Consolidated tab  </t>
  </si>
  <si>
    <t>K-12 Initiative Grant</t>
  </si>
  <si>
    <t>WPB-XXX</t>
  </si>
  <si>
    <t xml:space="preserve">Totals per payment approval sheet  </t>
  </si>
  <si>
    <t xml:space="preserve"> calculation, FY 26.</t>
  </si>
  <si>
    <t>payment calculation.</t>
  </si>
  <si>
    <t>÷          District's Total Non-Scholarship Non-Virtual UFTE:</t>
  </si>
  <si>
    <t>÷     District's Total Non-Scholarship Non-Virtual UFTE:</t>
  </si>
  <si>
    <t>NOT PAYING FY 26</t>
  </si>
  <si>
    <t/>
  </si>
  <si>
    <t>Revenue Estimate Worksheet: Palmetto Park - 0571</t>
  </si>
  <si>
    <t>0571</t>
  </si>
  <si>
    <t>Palmetto Park</t>
  </si>
  <si>
    <t>Revenue Estimate Worksheet: Renaissance Charter School at Central Palm- 4051</t>
  </si>
  <si>
    <t>PALMETTO PARK</t>
  </si>
  <si>
    <t xml:space="preserve">payment calculations. </t>
  </si>
  <si>
    <t>Revenue Estimate Worksheet: Somerset Academy Avenir 3362</t>
  </si>
  <si>
    <t>WPB-303276</t>
  </si>
  <si>
    <t>WPB-310033</t>
  </si>
  <si>
    <t>WPB-310034</t>
  </si>
  <si>
    <t>WPB-310035</t>
  </si>
  <si>
    <t>WPB-310036</t>
  </si>
  <si>
    <t>WPB-310037</t>
  </si>
  <si>
    <t>WPB-310038</t>
  </si>
  <si>
    <t>WPB-310039</t>
  </si>
  <si>
    <t>WPB-310040</t>
  </si>
  <si>
    <t>WPB-310041</t>
  </si>
  <si>
    <t>WPB-310042</t>
  </si>
  <si>
    <t>WPB-310490</t>
  </si>
  <si>
    <t>Oct 2025</t>
  </si>
  <si>
    <t>Feb 2026</t>
  </si>
  <si>
    <t>Oct 2025 FTE</t>
  </si>
  <si>
    <t>Feb 2026 FTE</t>
  </si>
  <si>
    <t>Based on the 2025-26 Third Calculation Worksheet</t>
  </si>
  <si>
    <t>Revenue Estimate Worksheet: Glades Day - 3382</t>
  </si>
  <si>
    <t>WPB-313591</t>
  </si>
  <si>
    <t>No payment for March- School closed</t>
  </si>
  <si>
    <t>2. The FDOE has issued the 2025-26 Third Calc Revenue Worksheet for Charter Schools,  which was used for the April 2026</t>
  </si>
  <si>
    <t>3. The FDOE released the updated October 2025 FY 25-26 Survey 2 Transportation information, which was used for the April 2026</t>
  </si>
  <si>
    <t>4. The FDOE released the October 2025 Survey 2 FY 25-26 ESE information, which was used in the April  2026 calculation.</t>
  </si>
  <si>
    <r>
      <t>May 2026</t>
    </r>
    <r>
      <rPr>
        <b/>
        <sz val="10"/>
        <color indexed="12"/>
        <rFont val="Calibri"/>
        <family val="2"/>
      </rPr>
      <t xml:space="preserve"> - </t>
    </r>
    <r>
      <rPr>
        <b/>
        <sz val="10"/>
        <rFont val="Calibri"/>
        <family val="2"/>
      </rPr>
      <t xml:space="preserve">FY </t>
    </r>
    <r>
      <rPr>
        <b/>
        <sz val="10"/>
        <color indexed="12"/>
        <rFont val="Calibri"/>
        <family val="2"/>
      </rPr>
      <t xml:space="preserve">2026 </t>
    </r>
    <r>
      <rPr>
        <b/>
        <sz val="10"/>
        <rFont val="Calibri"/>
        <family val="2"/>
      </rPr>
      <t>Charter School FTE Payment</t>
    </r>
  </si>
  <si>
    <t>FTE May 2026</t>
  </si>
  <si>
    <t>v:\Charter Schools\!!FEFP\FY 26 - FEFP Funding\!Payments 2025-26\2025-09\01 - 2025-08 - FEFP CS Pmt Calc - Old.xlsx</t>
  </si>
  <si>
    <t>Palmetto Park High School</t>
  </si>
  <si>
    <t>WPB-316354</t>
  </si>
  <si>
    <t>WPB- 316355</t>
  </si>
  <si>
    <t>WPB-314561</t>
  </si>
  <si>
    <t>WPB-316028</t>
  </si>
  <si>
    <t>WPB-316029</t>
  </si>
  <si>
    <t>WPB-316030</t>
  </si>
  <si>
    <t>WPB-316031</t>
  </si>
  <si>
    <t>WPB-316044</t>
  </si>
  <si>
    <t>1. The FLDOE released the FY25-26 Survey 3 report in Apr 2026. FTE counts from this report are used beginning May 2026</t>
  </si>
  <si>
    <t>CLOSED</t>
  </si>
  <si>
    <t>Sch No</t>
  </si>
  <si>
    <t>Sch (0000)</t>
  </si>
  <si>
    <t>Prog</t>
  </si>
  <si>
    <t>Count 2 Unwtd</t>
  </si>
  <si>
    <t>Count 3 Unwtd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</si>
</sst>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7" formatCode="&quot;$&quot;#,##0.00_);\(&quot;$&quot;#,##0.00\)"/>
    <numFmt numFmtId="41" formatCode="_(* #,##0_);_(* \(#,##0\);_(* &quot;-&quot;_);_(@_)"/>
    <numFmt numFmtId="44" formatCode="_(&quot;$&quot;* #,##0.00_);_(&quot;$&quot;* \(#,##0.00\);_(&quot;$&quot;* &quot;-&quot;??_);_(@_)"/>
    <numFmt numFmtId="43" formatCode="_(* #,##0.00_);_(* \(#,##0.00\);_(* &quot;-&quot;??_);_(@_)"/>
    <numFmt numFmtId="164" formatCode="0.000"/>
    <numFmt numFmtId="165" formatCode="_-&quot;$&quot;* #,##0.00_-;\-&quot;$&quot;* #,##0.00_-;_-&quot;$&quot;* &quot;-&quot;??_-;_-@_-"/>
    <numFmt numFmtId="166" formatCode="0.0000"/>
    <numFmt numFmtId="167" formatCode="#,##0.0000"/>
    <numFmt numFmtId="168" formatCode="_-&quot;$&quot;* #,##0_-;\-&quot;$&quot;* #,##0_-;_-&quot;$&quot;* &quot;-&quot;??_-;_-@_-"/>
    <numFmt numFmtId="169" formatCode="0.0000%"/>
    <numFmt numFmtId="170" formatCode="_-* #,##0.00_-;\-* #,##0.00_-;_-* &quot;-&quot;??_-;_-@_-"/>
    <numFmt numFmtId="171" formatCode="0."/>
    <numFmt numFmtId="172" formatCode="_(* #,##0.0000_);_(* \(#,##0.0000\);_(* &quot;-&quot;??_);_(@_)"/>
    <numFmt numFmtId="176" formatCode="#,##0._);\(#,##0.\)"/>
    <numFmt numFmtId="177" formatCode="#,##0;[Red]\(#,##0\)"/>
    <numFmt numFmtId="178" formatCode="#,##0.0000\ \ \ _);\(#,##0.0000\)"/>
    <numFmt numFmtId="179" formatCode="_(* #,##0.0000_);_(* \(#,##0.0000\);_(* &quot;-&quot;????_);_(@_)"/>
    <numFmt numFmtId="180" formatCode="#,##0.0000\ \ \ \ \ \ \ \ \ \ _);\(#,##0.0000\ \ \ \ \ \ \ \ \ \ \)"/>
    <numFmt numFmtId="181" formatCode="#,##0.00\ \ \ \ _);\(#,##0.00\)"/>
    <numFmt numFmtId="182" formatCode="_(* #,##0_);_(* \(#,##0\);_(* &quot;-&quot;??_);_(@_)"/>
    <numFmt numFmtId="183" formatCode="#,##0.00\ \ \ _);\(#,##0.00\)"/>
  </numFmts>
  <fonts count="83" x14ac:knownFonts="1">
    <font>
      <sz val="11"/>
      <color theme="1"/>
      <name val="Calibri"/>
      <family val="2"/>
      <scheme val="minor"/>
    </font>
    <font>
      <sz val="11"/>
      <color theme="1"/>
      <name val="Calibri"/>
      <family val="2"/>
      <scheme val="minor"/>
    </font>
    <font>
      <sz val="10"/>
      <name val="Arial"/>
      <family val="2"/>
    </font>
    <font>
      <b/>
      <sz val="12"/>
      <color indexed="10"/>
      <name val="Times New Roman"/>
      <family val="1"/>
    </font>
    <font>
      <b/>
      <sz val="12"/>
      <color indexed="12"/>
      <name val="Times New Roman"/>
      <family val="1"/>
    </font>
    <font>
      <b/>
      <sz val="12"/>
      <name val="Times New Roman"/>
      <family val="1"/>
    </font>
    <font>
      <sz val="10"/>
      <name val="Arial"/>
      <family val="2"/>
    </font>
    <font>
      <b/>
      <sz val="16"/>
      <name val="Times New Roman"/>
      <family val="1"/>
    </font>
    <font>
      <b/>
      <sz val="14"/>
      <name val="Times New Roman"/>
      <family val="1"/>
    </font>
    <font>
      <sz val="12"/>
      <name val="Times New Roman"/>
      <family val="1"/>
    </font>
    <font>
      <sz val="11"/>
      <name val="Calibri"/>
      <family val="2"/>
    </font>
    <font>
      <b/>
      <sz val="12"/>
      <color rgb="FFFF0000"/>
      <name val="Times New Roman"/>
      <family val="1"/>
    </font>
    <font>
      <b/>
      <i/>
      <sz val="12"/>
      <name val="Times New Roman"/>
      <family val="1"/>
    </font>
    <font>
      <b/>
      <sz val="12"/>
      <color rgb="FF00B050"/>
      <name val="Times New Roman"/>
      <family val="1"/>
    </font>
    <font>
      <i/>
      <sz val="9"/>
      <color indexed="10"/>
      <name val="Times New Roman"/>
      <family val="1"/>
    </font>
    <font>
      <b/>
      <sz val="12"/>
      <color theme="0"/>
      <name val="Times New Roman"/>
      <family val="1"/>
    </font>
    <font>
      <b/>
      <sz val="8"/>
      <color indexed="10"/>
      <name val="Times New Roman"/>
      <family val="1"/>
    </font>
    <font>
      <b/>
      <vertAlign val="superscript"/>
      <sz val="12"/>
      <name val="Times New Roman"/>
      <family val="1"/>
    </font>
    <font>
      <b/>
      <sz val="12"/>
      <color indexed="8"/>
      <name val="Times New Roman"/>
      <family val="1"/>
    </font>
    <font>
      <sz val="12"/>
      <color indexed="10"/>
      <name val="Times New Roman"/>
      <family val="1"/>
    </font>
    <font>
      <b/>
      <u/>
      <sz val="12"/>
      <color indexed="10"/>
      <name val="Times New Roman"/>
      <family val="1"/>
    </font>
    <font>
      <b/>
      <sz val="12"/>
      <name val="Calibri"/>
      <family val="2"/>
    </font>
    <font>
      <b/>
      <u/>
      <sz val="12"/>
      <name val="Times New Roman"/>
      <family val="1"/>
    </font>
    <font>
      <b/>
      <sz val="10"/>
      <name val="Times New Roman"/>
      <family val="1"/>
    </font>
    <font>
      <b/>
      <sz val="12"/>
      <color indexed="30"/>
      <name val="Times New Roman"/>
      <family val="1"/>
    </font>
    <font>
      <i/>
      <sz val="12"/>
      <name val="Times New Roman"/>
      <family val="1"/>
    </font>
    <font>
      <sz val="12"/>
      <name val="Arial"/>
      <family val="2"/>
    </font>
    <font>
      <b/>
      <u/>
      <sz val="10"/>
      <name val="Times New Roman"/>
      <family val="1"/>
    </font>
    <font>
      <b/>
      <i/>
      <sz val="10"/>
      <name val="Times New Roman"/>
      <family val="1"/>
    </font>
    <font>
      <b/>
      <sz val="16"/>
      <name val="Calibri"/>
      <family val="2"/>
      <scheme val="minor"/>
    </font>
    <font>
      <b/>
      <sz val="12"/>
      <color rgb="FFFF0000"/>
      <name val="Calibri"/>
      <family val="2"/>
      <scheme val="minor"/>
    </font>
    <font>
      <b/>
      <sz val="12"/>
      <color rgb="FF0000FF"/>
      <name val="Times New Roman"/>
      <family val="1"/>
    </font>
    <font>
      <b/>
      <u/>
      <sz val="12"/>
      <color rgb="FF0000FF"/>
      <name val="Times New Roman"/>
      <family val="1"/>
    </font>
    <font>
      <sz val="11"/>
      <color rgb="FFFF0000"/>
      <name val="Calibri"/>
      <family val="2"/>
      <scheme val="minor"/>
    </font>
    <font>
      <b/>
      <sz val="11"/>
      <color theme="1"/>
      <name val="Calibri"/>
      <family val="2"/>
      <scheme val="minor"/>
    </font>
    <font>
      <b/>
      <sz val="12"/>
      <color rgb="FF0000FF"/>
      <name val="Calibri"/>
      <family val="2"/>
      <scheme val="minor"/>
    </font>
    <font>
      <b/>
      <sz val="12"/>
      <name val="Calibri"/>
      <family val="2"/>
      <scheme val="minor"/>
    </font>
    <font>
      <b/>
      <sz val="12"/>
      <color theme="0"/>
      <name val="Calibri"/>
      <family val="2"/>
      <scheme val="minor"/>
    </font>
    <font>
      <sz val="10"/>
      <name val="Arial"/>
      <family val="2"/>
    </font>
    <font>
      <sz val="10"/>
      <name val="Calibri"/>
      <family val="2"/>
      <scheme val="minor"/>
    </font>
    <font>
      <b/>
      <sz val="10"/>
      <name val="Calibri"/>
      <family val="2"/>
      <scheme val="minor"/>
    </font>
    <font>
      <b/>
      <sz val="10"/>
      <color rgb="FF0000FF"/>
      <name val="Calibri"/>
      <family val="2"/>
      <scheme val="minor"/>
    </font>
    <font>
      <b/>
      <sz val="10"/>
      <color rgb="FFFF0000"/>
      <name val="Calibri"/>
      <family val="2"/>
      <scheme val="minor"/>
    </font>
    <font>
      <sz val="10"/>
      <color rgb="FFFF0000"/>
      <name val="Calibri"/>
      <family val="2"/>
      <scheme val="minor"/>
    </font>
    <font>
      <sz val="10"/>
      <color theme="1"/>
      <name val="Calibri"/>
      <family val="2"/>
      <scheme val="minor"/>
    </font>
    <font>
      <sz val="10"/>
      <color rgb="FF0000FF"/>
      <name val="Calibri"/>
      <family val="2"/>
      <scheme val="minor"/>
    </font>
    <font>
      <b/>
      <sz val="12"/>
      <color indexed="10"/>
      <name val="Calibri"/>
      <family val="2"/>
      <scheme val="minor"/>
    </font>
    <font>
      <b/>
      <sz val="12"/>
      <color indexed="12"/>
      <name val="Calibri"/>
      <family val="2"/>
      <scheme val="minor"/>
    </font>
    <font>
      <sz val="12"/>
      <name val="Calibri"/>
      <family val="2"/>
      <scheme val="minor"/>
    </font>
    <font>
      <b/>
      <sz val="11"/>
      <name val="Calibri"/>
      <family val="2"/>
      <scheme val="minor"/>
    </font>
    <font>
      <b/>
      <i/>
      <sz val="12"/>
      <name val="Calibri"/>
      <family val="2"/>
    </font>
    <font>
      <sz val="12"/>
      <color rgb="FF0000FF"/>
      <name val="Calibri"/>
      <family val="2"/>
      <scheme val="minor"/>
    </font>
    <font>
      <b/>
      <sz val="12"/>
      <color rgb="FF00B050"/>
      <name val="Calibri"/>
      <family val="2"/>
      <scheme val="minor"/>
    </font>
    <font>
      <b/>
      <sz val="8"/>
      <name val="Calibri"/>
      <family val="2"/>
      <scheme val="minor"/>
    </font>
    <font>
      <b/>
      <sz val="12"/>
      <color indexed="8"/>
      <name val="Calibri"/>
      <family val="2"/>
      <scheme val="minor"/>
    </font>
    <font>
      <b/>
      <u/>
      <sz val="12"/>
      <name val="Calibri"/>
      <family val="2"/>
      <scheme val="minor"/>
    </font>
    <font>
      <b/>
      <u/>
      <sz val="12"/>
      <name val="Calibri"/>
      <family val="2"/>
    </font>
    <font>
      <b/>
      <sz val="12"/>
      <color indexed="30"/>
      <name val="Calibri"/>
      <family val="2"/>
    </font>
    <font>
      <i/>
      <sz val="10"/>
      <name val="Calibri"/>
      <family val="2"/>
      <scheme val="minor"/>
    </font>
    <font>
      <sz val="12"/>
      <color rgb="FFFF0000"/>
      <name val="Calibri"/>
      <family val="2"/>
      <scheme val="minor"/>
    </font>
    <font>
      <sz val="12"/>
      <color indexed="8"/>
      <name val="Calibri"/>
      <family val="2"/>
      <scheme val="minor"/>
    </font>
    <font>
      <sz val="10"/>
      <color theme="1"/>
      <name val="Arial"/>
      <family val="2"/>
    </font>
    <font>
      <b/>
      <sz val="11"/>
      <color rgb="FFFF0000"/>
      <name val="Calibri"/>
      <family val="2"/>
      <scheme val="minor"/>
    </font>
    <font>
      <b/>
      <sz val="10"/>
      <color rgb="FFFF0000"/>
      <name val="Arial"/>
      <family val="2"/>
    </font>
    <font>
      <b/>
      <sz val="10"/>
      <name val="Arial"/>
      <family val="2"/>
    </font>
    <font>
      <b/>
      <sz val="10"/>
      <color theme="1"/>
      <name val="Arial"/>
      <family val="2"/>
    </font>
    <font>
      <sz val="11"/>
      <name val="Calibri"/>
      <family val="2"/>
      <scheme val="minor"/>
    </font>
    <font>
      <sz val="10"/>
      <color rgb="FFFF0000"/>
      <name val="Arial"/>
      <family val="2"/>
    </font>
    <font>
      <b/>
      <sz val="10"/>
      <name val="Calibri"/>
      <family val="2"/>
    </font>
    <font>
      <b/>
      <sz val="10"/>
      <color indexed="12"/>
      <name val="Calibri"/>
      <family val="2"/>
    </font>
    <font>
      <b/>
      <sz val="8"/>
      <name val="Arial"/>
      <family val="2"/>
    </font>
    <font>
      <b/>
      <sz val="8"/>
      <color rgb="FFFFFF00"/>
      <name val="Arial"/>
      <family val="2"/>
    </font>
    <font>
      <sz val="10"/>
      <color rgb="FFFFFF00"/>
      <name val="Calibri"/>
      <family val="2"/>
      <scheme val="minor"/>
    </font>
    <font>
      <b/>
      <sz val="11"/>
      <name val="Times New Roman"/>
      <family val="1"/>
    </font>
    <font>
      <b/>
      <sz val="8"/>
      <name val="Times New Roman"/>
      <family val="1"/>
    </font>
    <font>
      <sz val="9"/>
      <color indexed="81"/>
      <name val="Tahoma"/>
      <family val="2"/>
    </font>
    <font>
      <b/>
      <sz val="9"/>
      <color indexed="81"/>
      <name val="Tahoma"/>
      <family val="2"/>
    </font>
    <font>
      <sz val="12"/>
      <color rgb="FF0000FF"/>
      <name val="Times New Roman"/>
      <family val="1"/>
    </font>
    <font>
      <sz val="8"/>
      <name val="Calibri"/>
      <family val="2"/>
      <scheme val="minor"/>
    </font>
    <font>
      <sz val="10"/>
      <color rgb="FF000000"/>
      <name val="Calibri"/>
      <scheme val="minor"/>
    </font>
    <font>
      <b/>
      <sz val="10"/>
      <color theme="1"/>
      <name val="Calibri"/>
      <family val="2"/>
      <scheme val="minor"/>
    </font>
    <font>
      <sz val="10"/>
      <color rgb="FF000000"/>
      <name val="Calibri"/>
      <family val="2"/>
      <scheme val="minor"/>
    </font>
    <font>
      <b/>
      <sz val="10"/>
      <color rgb="FF000000"/>
      <name val="Calibri"/>
      <family val="2"/>
      <scheme val="minor"/>
    </font>
  </fonts>
  <fills count="1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rgb="FFFFFF66"/>
        <bgColor indexed="64"/>
      </patternFill>
    </fill>
    <fill>
      <patternFill patternType="solid">
        <fgColor theme="8" tint="0.59999389629810485"/>
        <bgColor indexed="64"/>
      </patternFill>
    </fill>
    <fill>
      <patternFill patternType="solid">
        <fgColor rgb="FFFFC000"/>
        <bgColor indexed="64"/>
      </patternFill>
    </fill>
    <fill>
      <patternFill patternType="solid">
        <fgColor theme="9" tint="0.59999389629810485"/>
        <bgColor indexed="64"/>
      </patternFill>
    </fill>
    <fill>
      <patternFill patternType="solid">
        <fgColor rgb="FFFF9F9F"/>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s>
  <cellStyleXfs count="25">
    <xf numFmtId="0" fontId="0" fillId="0" borderId="0"/>
    <xf numFmtId="43" fontId="1" fillId="0" borderId="0" applyFont="0" applyFill="0" applyBorder="0" applyAlignment="0" applyProtection="0"/>
    <xf numFmtId="0" fontId="2" fillId="0" borderId="0"/>
    <xf numFmtId="165"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6" fillId="0" borderId="0"/>
    <xf numFmtId="0" fontId="6"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38"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70" fontId="2" fillId="0" borderId="0" applyFont="0" applyFill="0" applyBorder="0" applyAlignment="0" applyProtection="0"/>
    <xf numFmtId="0" fontId="79" fillId="0" borderId="0"/>
    <xf numFmtId="43" fontId="81" fillId="0" borderId="0" applyFont="0" applyFill="0" applyBorder="0" applyAlignment="0" applyProtection="0"/>
  </cellStyleXfs>
  <cellXfs count="925">
    <xf numFmtId="0" fontId="0" fillId="0" borderId="0" xfId="0"/>
    <xf numFmtId="0" fontId="3" fillId="0" borderId="1" xfId="2" applyFont="1" applyBorder="1"/>
    <xf numFmtId="0" fontId="5" fillId="0" borderId="0" xfId="2" applyFont="1"/>
    <xf numFmtId="164" fontId="5" fillId="0" borderId="0" xfId="2" applyNumberFormat="1" applyFont="1"/>
    <xf numFmtId="4" fontId="5" fillId="0" borderId="0" xfId="2" applyNumberFormat="1" applyFont="1"/>
    <xf numFmtId="165" fontId="5" fillId="0" borderId="0" xfId="3" applyFont="1"/>
    <xf numFmtId="0" fontId="7" fillId="0" borderId="0" xfId="2" applyFont="1"/>
    <xf numFmtId="0" fontId="8" fillId="0" borderId="0" xfId="2" applyFont="1"/>
    <xf numFmtId="4" fontId="4" fillId="0" borderId="0" xfId="2" applyNumberFormat="1" applyFont="1"/>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166" fontId="9" fillId="0" borderId="0" xfId="2" applyNumberFormat="1" applyFont="1" applyAlignment="1">
      <alignment horizontal="left"/>
    </xf>
    <xf numFmtId="7" fontId="2" fillId="0" borderId="0" xfId="2" applyNumberFormat="1" applyAlignment="1">
      <alignment horizontal="center"/>
    </xf>
    <xf numFmtId="164" fontId="5" fillId="0" borderId="0" xfId="2" applyNumberFormat="1" applyFont="1" applyAlignment="1">
      <alignment wrapText="1"/>
    </xf>
    <xf numFmtId="4" fontId="5" fillId="0" borderId="0" xfId="2" applyNumberFormat="1" applyFont="1" applyAlignment="1">
      <alignment horizontal="center" wrapText="1"/>
    </xf>
    <xf numFmtId="165" fontId="5" fillId="0" borderId="0" xfId="3" applyFont="1" applyBorder="1" applyAlignment="1">
      <alignment horizontal="center" wrapText="1"/>
    </xf>
    <xf numFmtId="4" fontId="5" fillId="0" borderId="3" xfId="2" applyNumberFormat="1" applyFont="1" applyBorder="1" applyAlignment="1">
      <alignment horizontal="center" wrapText="1"/>
    </xf>
    <xf numFmtId="165" fontId="5" fillId="0" borderId="3" xfId="3" applyFont="1" applyBorder="1" applyAlignment="1">
      <alignment horizontal="center" wrapText="1"/>
    </xf>
    <xf numFmtId="4" fontId="5" fillId="0" borderId="3" xfId="2" quotePrefix="1" applyNumberFormat="1" applyFont="1" applyBorder="1" applyAlignment="1">
      <alignment horizontal="center"/>
    </xf>
    <xf numFmtId="165" fontId="5" fillId="0" borderId="3" xfId="3" quotePrefix="1" applyFont="1" applyBorder="1" applyAlignment="1">
      <alignment horizontal="center"/>
    </xf>
    <xf numFmtId="0" fontId="10" fillId="0" borderId="0" xfId="2" applyFont="1" applyAlignment="1">
      <alignment horizontal="center" vertical="center"/>
    </xf>
    <xf numFmtId="167" fontId="5" fillId="0" borderId="3" xfId="2" applyNumberFormat="1" applyFont="1" applyBorder="1"/>
    <xf numFmtId="166" fontId="5" fillId="0" borderId="5" xfId="2" applyNumberFormat="1" applyFont="1" applyBorder="1"/>
    <xf numFmtId="168" fontId="5" fillId="0" borderId="0" xfId="3" applyNumberFormat="1" applyFont="1" applyBorder="1" applyAlignment="1">
      <alignment horizontal="center"/>
    </xf>
    <xf numFmtId="0" fontId="5" fillId="0" borderId="0" xfId="2" applyFont="1" applyAlignment="1">
      <alignment wrapText="1"/>
    </xf>
    <xf numFmtId="4" fontId="15" fillId="3" borderId="5" xfId="2" applyNumberFormat="1" applyFont="1" applyFill="1" applyBorder="1"/>
    <xf numFmtId="4" fontId="11" fillId="2" borderId="5" xfId="2" applyNumberFormat="1" applyFont="1" applyFill="1" applyBorder="1"/>
    <xf numFmtId="168" fontId="5" fillId="0" borderId="5" xfId="3" applyNumberFormat="1" applyFont="1" applyBorder="1" applyAlignment="1">
      <alignment horizontal="right"/>
    </xf>
    <xf numFmtId="166" fontId="5" fillId="0" borderId="0" xfId="2" applyNumberFormat="1" applyFont="1" applyAlignment="1">
      <alignment horizontal="right"/>
    </xf>
    <xf numFmtId="168" fontId="5" fillId="0" borderId="0" xfId="3" applyNumberFormat="1" applyFont="1" applyBorder="1" applyAlignment="1">
      <alignment horizontal="right"/>
    </xf>
    <xf numFmtId="166" fontId="13" fillId="0" borderId="0" xfId="2" applyNumberFormat="1" applyFont="1" applyAlignment="1">
      <alignment horizontal="right"/>
    </xf>
    <xf numFmtId="168" fontId="5" fillId="0" borderId="1" xfId="3" applyNumberFormat="1" applyFont="1" applyBorder="1"/>
    <xf numFmtId="0" fontId="5" fillId="0" borderId="0" xfId="2" applyFont="1" applyAlignment="1">
      <alignment horizontal="right"/>
    </xf>
    <xf numFmtId="2" fontId="5" fillId="0" borderId="0" xfId="2" applyNumberFormat="1" applyFont="1" applyAlignment="1">
      <alignment horizontal="center"/>
    </xf>
    <xf numFmtId="168" fontId="5" fillId="0" borderId="0" xfId="3" applyNumberFormat="1" applyFont="1" applyBorder="1"/>
    <xf numFmtId="4" fontId="5" fillId="0" borderId="0" xfId="2" quotePrefix="1" applyNumberFormat="1" applyFont="1" applyAlignment="1">
      <alignment horizontal="center"/>
    </xf>
    <xf numFmtId="0" fontId="5" fillId="0" borderId="0" xfId="2" applyFont="1" applyAlignment="1">
      <alignment horizontal="center"/>
    </xf>
    <xf numFmtId="10" fontId="5" fillId="0" borderId="0" xfId="5" applyNumberFormat="1" applyFont="1"/>
    <xf numFmtId="0" fontId="17" fillId="0" borderId="0" xfId="2" applyFont="1" applyAlignment="1">
      <alignment horizontal="right"/>
    </xf>
    <xf numFmtId="3" fontId="5" fillId="0" borderId="0" xfId="2" applyNumberFormat="1" applyFont="1"/>
    <xf numFmtId="169" fontId="5" fillId="0" borderId="0" xfId="2" applyNumberFormat="1" applyFont="1"/>
    <xf numFmtId="0" fontId="5" fillId="0" borderId="0" xfId="2" applyFont="1" applyAlignment="1">
      <alignment horizontal="left"/>
    </xf>
    <xf numFmtId="168" fontId="5" fillId="0" borderId="4" xfId="3" applyNumberFormat="1" applyFont="1" applyFill="1" applyBorder="1"/>
    <xf numFmtId="0" fontId="5" fillId="0" borderId="3" xfId="2" applyFont="1" applyBorder="1"/>
    <xf numFmtId="0" fontId="5" fillId="0" borderId="3" xfId="2" applyFont="1" applyBorder="1" applyAlignment="1">
      <alignment horizontal="center" wrapText="1"/>
    </xf>
    <xf numFmtId="168" fontId="5" fillId="0" borderId="3" xfId="2" applyNumberFormat="1" applyFont="1" applyBorder="1"/>
    <xf numFmtId="0" fontId="5" fillId="0" borderId="0" xfId="2" quotePrefix="1" applyFont="1" applyAlignment="1">
      <alignment horizontal="center"/>
    </xf>
    <xf numFmtId="4" fontId="13" fillId="0" borderId="3" xfId="2" applyNumberFormat="1" applyFont="1" applyBorder="1" applyAlignment="1">
      <alignment horizontal="center"/>
    </xf>
    <xf numFmtId="0" fontId="21" fillId="0" borderId="0" xfId="2" applyFont="1" applyAlignment="1">
      <alignment horizontal="center"/>
    </xf>
    <xf numFmtId="164" fontId="5" fillId="0" borderId="0" xfId="2" applyNumberFormat="1" applyFont="1" applyAlignment="1">
      <alignment horizontal="right"/>
    </xf>
    <xf numFmtId="0" fontId="5" fillId="0" borderId="0" xfId="2" applyFont="1" applyAlignment="1">
      <alignment horizontal="left" indent="2"/>
    </xf>
    <xf numFmtId="0" fontId="5" fillId="0" borderId="0" xfId="2" applyFont="1" applyAlignment="1">
      <alignment horizontal="left" indent="3"/>
    </xf>
    <xf numFmtId="0" fontId="9" fillId="0" borderId="0" xfId="2" quotePrefix="1" applyFont="1" applyAlignment="1">
      <alignment horizontal="center"/>
    </xf>
    <xf numFmtId="0" fontId="9" fillId="0" borderId="0" xfId="2" applyFont="1" applyAlignment="1">
      <alignment horizontal="right"/>
    </xf>
    <xf numFmtId="0" fontId="12" fillId="0" borderId="0" xfId="2" applyFont="1"/>
    <xf numFmtId="2" fontId="5" fillId="0" borderId="0" xfId="2" applyNumberFormat="1" applyFont="1"/>
    <xf numFmtId="170" fontId="5" fillId="0" borderId="0" xfId="6" applyFont="1" applyBorder="1"/>
    <xf numFmtId="170" fontId="5" fillId="0" borderId="0" xfId="6" applyFont="1" applyBorder="1" applyAlignment="1">
      <alignment horizontal="center"/>
    </xf>
    <xf numFmtId="0" fontId="5" fillId="0" borderId="3" xfId="2" applyFont="1" applyBorder="1" applyAlignment="1">
      <alignment horizontal="left" indent="2"/>
    </xf>
    <xf numFmtId="0" fontId="9" fillId="0" borderId="3" xfId="2" quotePrefix="1" applyFont="1" applyBorder="1" applyAlignment="1">
      <alignment horizontal="center"/>
    </xf>
    <xf numFmtId="169" fontId="13" fillId="0" borderId="3" xfId="2" applyNumberFormat="1" applyFont="1" applyBorder="1" applyAlignment="1">
      <alignment horizontal="left" indent="2"/>
    </xf>
    <xf numFmtId="168" fontId="5" fillId="0" borderId="3" xfId="3" applyNumberFormat="1" applyFont="1" applyBorder="1" applyAlignment="1">
      <alignment horizontal="right"/>
    </xf>
    <xf numFmtId="38" fontId="5" fillId="0" borderId="0" xfId="2" applyNumberFormat="1" applyFont="1" applyAlignment="1">
      <alignment horizontal="right"/>
    </xf>
    <xf numFmtId="3" fontId="5" fillId="0" borderId="0" xfId="2" applyNumberFormat="1" applyFont="1" applyAlignment="1">
      <alignment horizontal="right"/>
    </xf>
    <xf numFmtId="4" fontId="11" fillId="3" borderId="5" xfId="2" applyNumberFormat="1" applyFont="1" applyFill="1" applyBorder="1"/>
    <xf numFmtId="164" fontId="5" fillId="0" borderId="0" xfId="2" quotePrefix="1" applyNumberFormat="1" applyFont="1"/>
    <xf numFmtId="43" fontId="5" fillId="0" borderId="0" xfId="7" quotePrefix="1" applyFont="1" applyFill="1"/>
    <xf numFmtId="4" fontId="11" fillId="3" borderId="5" xfId="2" applyNumberFormat="1" applyFont="1" applyFill="1" applyBorder="1" applyAlignment="1">
      <alignment wrapText="1"/>
    </xf>
    <xf numFmtId="0" fontId="5" fillId="0" borderId="5" xfId="2" applyFont="1" applyBorder="1" applyAlignment="1">
      <alignment horizontal="left" indent="3"/>
    </xf>
    <xf numFmtId="0" fontId="23" fillId="0" borderId="0" xfId="2" applyFont="1"/>
    <xf numFmtId="164" fontId="23" fillId="0" borderId="0" xfId="2" applyNumberFormat="1" applyFont="1"/>
    <xf numFmtId="168" fontId="5" fillId="0" borderId="0" xfId="2" applyNumberFormat="1" applyFont="1"/>
    <xf numFmtId="4" fontId="11" fillId="3" borderId="3" xfId="2" applyNumberFormat="1" applyFont="1" applyFill="1" applyBorder="1"/>
    <xf numFmtId="43" fontId="5" fillId="0" borderId="5" xfId="7" applyFont="1" applyBorder="1"/>
    <xf numFmtId="43" fontId="5" fillId="0" borderId="0" xfId="7" applyFont="1" applyBorder="1"/>
    <xf numFmtId="4" fontId="23" fillId="0" borderId="0" xfId="2" quotePrefix="1" applyNumberFormat="1" applyFont="1" applyAlignment="1">
      <alignment horizontal="center"/>
    </xf>
    <xf numFmtId="0" fontId="6" fillId="0" borderId="0" xfId="2" applyFont="1"/>
    <xf numFmtId="0" fontId="22" fillId="0" borderId="0" xfId="2" applyFont="1" applyAlignment="1">
      <alignment horizontal="right"/>
    </xf>
    <xf numFmtId="0" fontId="22" fillId="0" borderId="0" xfId="2" applyFont="1" applyAlignment="1">
      <alignment horizontal="center"/>
    </xf>
    <xf numFmtId="166" fontId="5" fillId="0" borderId="0" xfId="2" applyNumberFormat="1" applyFont="1" applyAlignment="1">
      <alignment horizontal="center"/>
    </xf>
    <xf numFmtId="166" fontId="5" fillId="0" borderId="0" xfId="2" applyNumberFormat="1" applyFont="1"/>
    <xf numFmtId="16" fontId="5" fillId="0" borderId="0" xfId="2" quotePrefix="1" applyNumberFormat="1" applyFont="1" applyAlignment="1">
      <alignment horizontal="right"/>
    </xf>
    <xf numFmtId="0" fontId="5" fillId="0" borderId="0" xfId="2" quotePrefix="1" applyFont="1" applyAlignment="1">
      <alignment horizontal="right"/>
    </xf>
    <xf numFmtId="170" fontId="5" fillId="0" borderId="0" xfId="6" applyFont="1" applyBorder="1" applyAlignment="1">
      <alignment horizontal="right"/>
    </xf>
    <xf numFmtId="4" fontId="5" fillId="0" borderId="0" xfId="2" applyNumberFormat="1" applyFont="1" applyAlignment="1">
      <alignment horizontal="left" indent="2"/>
    </xf>
    <xf numFmtId="38" fontId="5" fillId="0" borderId="0" xfId="2" quotePrefix="1" applyNumberFormat="1" applyFont="1"/>
    <xf numFmtId="0" fontId="5" fillId="0" borderId="3" xfId="2" applyFont="1" applyBorder="1" applyAlignment="1">
      <alignment horizontal="center"/>
    </xf>
    <xf numFmtId="7" fontId="5" fillId="0" borderId="0" xfId="2" applyNumberFormat="1" applyFont="1"/>
    <xf numFmtId="7" fontId="5" fillId="0" borderId="3" xfId="2" applyNumberFormat="1" applyFont="1" applyBorder="1"/>
    <xf numFmtId="0" fontId="11" fillId="0" borderId="0" xfId="2" applyFont="1"/>
    <xf numFmtId="168" fontId="5" fillId="0" borderId="1" xfId="2" applyNumberFormat="1" applyFont="1" applyBorder="1" applyAlignment="1">
      <alignment horizontal="right"/>
    </xf>
    <xf numFmtId="3" fontId="5" fillId="0" borderId="0" xfId="2" quotePrefix="1" applyNumberFormat="1" applyFont="1" applyAlignment="1">
      <alignment horizontal="center"/>
    </xf>
    <xf numFmtId="168" fontId="5" fillId="2" borderId="3" xfId="3" applyNumberFormat="1" applyFont="1" applyFill="1" applyBorder="1" applyAlignment="1">
      <alignment horizontal="right"/>
    </xf>
    <xf numFmtId="0" fontId="26" fillId="0" borderId="0" xfId="2" applyFont="1"/>
    <xf numFmtId="168" fontId="5" fillId="0" borderId="9" xfId="2" applyNumberFormat="1" applyFont="1" applyBorder="1" applyAlignment="1">
      <alignment horizontal="right"/>
    </xf>
    <xf numFmtId="168" fontId="5" fillId="0" borderId="10" xfId="2" applyNumberFormat="1" applyFont="1" applyBorder="1"/>
    <xf numFmtId="0" fontId="11" fillId="2" borderId="3" xfId="2" applyFont="1" applyFill="1" applyBorder="1"/>
    <xf numFmtId="0" fontId="23" fillId="0" borderId="0" xfId="2" applyFont="1" applyAlignment="1">
      <alignment horizontal="left"/>
    </xf>
    <xf numFmtId="171" fontId="5" fillId="0" borderId="0" xfId="2" applyNumberFormat="1" applyFont="1" applyAlignment="1">
      <alignment horizontal="left"/>
    </xf>
    <xf numFmtId="0" fontId="5" fillId="0" borderId="3" xfId="2" applyFont="1" applyBorder="1" applyAlignment="1">
      <alignment horizontal="left" wrapText="1"/>
    </xf>
    <xf numFmtId="0" fontId="7" fillId="0" borderId="0" xfId="2" applyFont="1" applyAlignment="1">
      <alignment horizontal="left" vertical="top"/>
    </xf>
    <xf numFmtId="166" fontId="9" fillId="0" borderId="0" xfId="2" applyNumberFormat="1" applyFont="1"/>
    <xf numFmtId="0" fontId="5" fillId="0" borderId="3" xfId="2" applyFont="1" applyBorder="1" applyAlignment="1">
      <alignment horizontal="left" indent="3"/>
    </xf>
    <xf numFmtId="0" fontId="5" fillId="0" borderId="0" xfId="2" applyFont="1" applyAlignment="1">
      <alignment horizontal="left" wrapText="1"/>
    </xf>
    <xf numFmtId="0" fontId="5" fillId="0" borderId="5" xfId="2" applyFont="1" applyBorder="1" applyAlignment="1">
      <alignment horizontal="left" wrapText="1" indent="3"/>
    </xf>
    <xf numFmtId="0" fontId="11" fillId="0" borderId="0" xfId="2" applyFont="1" applyAlignment="1">
      <alignment horizontal="right"/>
    </xf>
    <xf numFmtId="7" fontId="30" fillId="0" borderId="0" xfId="0" quotePrefix="1" applyNumberFormat="1" applyFont="1" applyAlignment="1">
      <alignment horizontal="center"/>
    </xf>
    <xf numFmtId="17" fontId="30" fillId="0" borderId="0" xfId="0" quotePrefix="1" applyNumberFormat="1" applyFont="1" applyAlignment="1">
      <alignment horizontal="center"/>
    </xf>
    <xf numFmtId="0" fontId="30" fillId="0" borderId="3" xfId="0" quotePrefix="1" applyFont="1" applyBorder="1" applyAlignment="1">
      <alignment horizontal="center"/>
    </xf>
    <xf numFmtId="43" fontId="5" fillId="0" borderId="3" xfId="1" quotePrefix="1" applyFont="1" applyBorder="1" applyAlignment="1">
      <alignment horizontal="center"/>
    </xf>
    <xf numFmtId="43" fontId="5" fillId="6" borderId="0" xfId="1" applyFont="1" applyFill="1" applyAlignment="1">
      <alignment horizontal="left" indent="3"/>
    </xf>
    <xf numFmtId="0" fontId="11" fillId="0" borderId="3" xfId="2" applyFont="1" applyBorder="1" applyAlignment="1">
      <alignment horizontal="center" wrapText="1"/>
    </xf>
    <xf numFmtId="43" fontId="5" fillId="6" borderId="3" xfId="1" applyFont="1" applyFill="1" applyBorder="1" applyAlignment="1">
      <alignment horizontal="left" indent="3"/>
    </xf>
    <xf numFmtId="43" fontId="9" fillId="6" borderId="0" xfId="1" applyFont="1" applyFill="1" applyBorder="1" applyAlignment="1">
      <alignment horizontal="left" vertical="center" wrapText="1" indent="3"/>
    </xf>
    <xf numFmtId="43" fontId="9" fillId="6" borderId="0" xfId="1" applyFont="1" applyFill="1" applyAlignment="1">
      <alignment horizontal="left" vertical="center" wrapText="1" indent="3"/>
    </xf>
    <xf numFmtId="3" fontId="31" fillId="5" borderId="3" xfId="2" applyNumberFormat="1" applyFont="1" applyFill="1" applyBorder="1"/>
    <xf numFmtId="4" fontId="31" fillId="5" borderId="0" xfId="2" applyNumberFormat="1" applyFont="1" applyFill="1" applyAlignment="1">
      <alignment horizontal="center"/>
    </xf>
    <xf numFmtId="0" fontId="11" fillId="0" borderId="0" xfId="2" applyFont="1" applyAlignment="1">
      <alignment horizontal="left"/>
    </xf>
    <xf numFmtId="0" fontId="11" fillId="0" borderId="0" xfId="2" applyFont="1" applyAlignment="1">
      <alignment horizontal="center"/>
    </xf>
    <xf numFmtId="0" fontId="31" fillId="6" borderId="0" xfId="2" applyFont="1" applyFill="1" applyAlignment="1">
      <alignment horizontal="center"/>
    </xf>
    <xf numFmtId="165" fontId="5" fillId="0" borderId="3" xfId="3" applyFont="1" applyBorder="1"/>
    <xf numFmtId="43" fontId="11" fillId="2" borderId="5" xfId="1" applyFont="1" applyFill="1" applyBorder="1" applyAlignment="1">
      <alignment horizontal="center" wrapText="1"/>
    </xf>
    <xf numFmtId="43" fontId="11" fillId="2" borderId="5" xfId="1" applyFont="1" applyFill="1" applyBorder="1" applyAlignment="1">
      <alignment horizontal="right"/>
    </xf>
    <xf numFmtId="38" fontId="31" fillId="5" borderId="0" xfId="2" quotePrefix="1" applyNumberFormat="1" applyFont="1" applyFill="1"/>
    <xf numFmtId="165" fontId="5" fillId="3" borderId="3" xfId="3" applyFont="1" applyFill="1" applyBorder="1"/>
    <xf numFmtId="44" fontId="5" fillId="0" borderId="0" xfId="4" applyFont="1" applyFill="1" applyBorder="1"/>
    <xf numFmtId="43" fontId="31" fillId="6" borderId="0" xfId="1" applyFont="1" applyFill="1" applyAlignment="1">
      <alignment horizontal="left" vertical="center" wrapText="1" indent="3"/>
    </xf>
    <xf numFmtId="168" fontId="18" fillId="5" borderId="3" xfId="3" applyNumberFormat="1" applyFont="1" applyFill="1" applyBorder="1"/>
    <xf numFmtId="0" fontId="18" fillId="0" borderId="0" xfId="2" applyFont="1" applyAlignment="1">
      <alignment horizontal="center" wrapText="1"/>
    </xf>
    <xf numFmtId="168" fontId="18" fillId="5" borderId="0" xfId="3" applyNumberFormat="1" applyFont="1" applyFill="1" applyBorder="1"/>
    <xf numFmtId="165" fontId="5" fillId="0" borderId="3" xfId="2" applyNumberFormat="1" applyFont="1" applyBorder="1"/>
    <xf numFmtId="165" fontId="5" fillId="0" borderId="3" xfId="3" applyFont="1" applyBorder="1" applyAlignment="1">
      <alignment horizontal="right"/>
    </xf>
    <xf numFmtId="43" fontId="31" fillId="5" borderId="3" xfId="1" applyFont="1" applyFill="1" applyBorder="1"/>
    <xf numFmtId="4" fontId="5" fillId="0" borderId="3" xfId="2" applyNumberFormat="1" applyFont="1" applyBorder="1"/>
    <xf numFmtId="172" fontId="5" fillId="0" borderId="3" xfId="1" applyNumberFormat="1" applyFont="1" applyBorder="1"/>
    <xf numFmtId="0" fontId="3" fillId="5" borderId="1" xfId="0" applyFont="1" applyFill="1" applyBorder="1" applyAlignment="1">
      <alignment horizontal="left"/>
    </xf>
    <xf numFmtId="4" fontId="4" fillId="5" borderId="0" xfId="0" applyNumberFormat="1" applyFont="1" applyFill="1"/>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7" fontId="0" fillId="5" borderId="0" xfId="0" applyNumberFormat="1" applyFill="1" applyAlignment="1">
      <alignment horizontal="center"/>
    </xf>
    <xf numFmtId="164" fontId="5" fillId="5" borderId="0" xfId="0" applyNumberFormat="1" applyFont="1" applyFill="1" applyAlignment="1">
      <alignment wrapText="1"/>
    </xf>
    <xf numFmtId="4" fontId="5" fillId="5" borderId="0" xfId="0" applyNumberFormat="1" applyFont="1" applyFill="1" applyAlignment="1">
      <alignment horizontal="center" wrapText="1"/>
    </xf>
    <xf numFmtId="165" fontId="5" fillId="5" borderId="0" xfId="3" applyFont="1" applyFill="1" applyBorder="1" applyAlignment="1">
      <alignment horizontal="center" wrapText="1"/>
    </xf>
    <xf numFmtId="4" fontId="5" fillId="5" borderId="3" xfId="0" applyNumberFormat="1" applyFont="1" applyFill="1" applyBorder="1" applyAlignment="1">
      <alignment horizontal="center" wrapText="1"/>
    </xf>
    <xf numFmtId="165" fontId="5" fillId="5" borderId="3" xfId="3" applyFont="1" applyFill="1" applyBorder="1" applyAlignment="1">
      <alignment horizontal="center" wrapText="1"/>
    </xf>
    <xf numFmtId="4" fontId="5" fillId="5" borderId="3" xfId="0" quotePrefix="1" applyNumberFormat="1" applyFont="1" applyFill="1" applyBorder="1" applyAlignment="1">
      <alignment horizontal="center"/>
    </xf>
    <xf numFmtId="165" fontId="5" fillId="5" borderId="3" xfId="3" quotePrefix="1" applyFont="1" applyFill="1" applyBorder="1" applyAlignment="1">
      <alignment horizontal="center"/>
    </xf>
    <xf numFmtId="167" fontId="5" fillId="5" borderId="3" xfId="0" applyNumberFormat="1" applyFont="1" applyFill="1" applyBorder="1"/>
    <xf numFmtId="168" fontId="5" fillId="5" borderId="3" xfId="3" applyNumberFormat="1" applyFont="1" applyFill="1" applyBorder="1" applyAlignment="1">
      <alignment horizontal="right"/>
    </xf>
    <xf numFmtId="166" fontId="5" fillId="5" borderId="5" xfId="0" applyNumberFormat="1" applyFont="1" applyFill="1" applyBorder="1"/>
    <xf numFmtId="168" fontId="5" fillId="5" borderId="0" xfId="3" applyNumberFormat="1" applyFont="1" applyFill="1" applyBorder="1" applyAlignment="1">
      <alignment horizontal="center"/>
    </xf>
    <xf numFmtId="0" fontId="5" fillId="5" borderId="3" xfId="0" applyFont="1" applyFill="1" applyBorder="1" applyAlignment="1">
      <alignment horizontal="left" wrapText="1"/>
    </xf>
    <xf numFmtId="168" fontId="5" fillId="5" borderId="5" xfId="3" applyNumberFormat="1" applyFont="1" applyFill="1" applyBorder="1" applyAlignment="1">
      <alignment horizontal="right"/>
    </xf>
    <xf numFmtId="166" fontId="5" fillId="5" borderId="0" xfId="0" applyNumberFormat="1" applyFont="1" applyFill="1" applyAlignment="1">
      <alignment horizontal="right"/>
    </xf>
    <xf numFmtId="168" fontId="5" fillId="5" borderId="0" xfId="3" applyNumberFormat="1" applyFont="1" applyFill="1" applyBorder="1" applyAlignment="1">
      <alignment horizontal="right"/>
    </xf>
    <xf numFmtId="166" fontId="13" fillId="5" borderId="0" xfId="0" applyNumberFormat="1" applyFont="1" applyFill="1" applyAlignment="1">
      <alignment horizontal="right"/>
    </xf>
    <xf numFmtId="168" fontId="5" fillId="5" borderId="1" xfId="3" applyNumberFormat="1" applyFont="1" applyFill="1" applyBorder="1" applyAlignment="1">
      <alignment horizontal="right"/>
    </xf>
    <xf numFmtId="0" fontId="5" fillId="5" borderId="0" xfId="0" applyFont="1" applyFill="1" applyAlignment="1">
      <alignment horizontal="right"/>
    </xf>
    <xf numFmtId="2" fontId="5" fillId="5" borderId="0" xfId="0" applyNumberFormat="1" applyFont="1" applyFill="1" applyAlignment="1">
      <alignment horizontal="center"/>
    </xf>
    <xf numFmtId="168" fontId="5" fillId="5" borderId="0" xfId="3" applyNumberFormat="1" applyFont="1" applyFill="1" applyBorder="1"/>
    <xf numFmtId="4" fontId="5" fillId="5" borderId="0" xfId="0" quotePrefix="1" applyNumberFormat="1" applyFont="1" applyFill="1" applyAlignment="1">
      <alignment horizontal="center"/>
    </xf>
    <xf numFmtId="0" fontId="5" fillId="5" borderId="0" xfId="0" applyFont="1" applyFill="1"/>
    <xf numFmtId="3" fontId="5" fillId="5" borderId="3" xfId="0" applyNumberFormat="1" applyFont="1" applyFill="1" applyBorder="1"/>
    <xf numFmtId="44" fontId="5" fillId="5" borderId="0" xfId="4" applyFont="1" applyFill="1" applyBorder="1"/>
    <xf numFmtId="0" fontId="5" fillId="5" borderId="0" xfId="0" applyFont="1" applyFill="1" applyAlignment="1">
      <alignment horizontal="center"/>
    </xf>
    <xf numFmtId="10" fontId="5" fillId="5" borderId="0" xfId="0" applyNumberFormat="1" applyFont="1" applyFill="1"/>
    <xf numFmtId="3" fontId="5" fillId="5" borderId="0" xfId="0" applyNumberFormat="1" applyFont="1" applyFill="1"/>
    <xf numFmtId="169" fontId="5" fillId="5" borderId="0" xfId="0" applyNumberFormat="1" applyFont="1" applyFill="1"/>
    <xf numFmtId="0" fontId="5" fillId="5" borderId="0" xfId="0" applyFont="1" applyFill="1" applyAlignment="1">
      <alignment horizontal="left"/>
    </xf>
    <xf numFmtId="168" fontId="5" fillId="5" borderId="4" xfId="3" applyNumberFormat="1" applyFont="1" applyFill="1" applyBorder="1" applyAlignment="1">
      <alignment horizontal="right"/>
    </xf>
    <xf numFmtId="0" fontId="5" fillId="5" borderId="3" xfId="0" applyFont="1" applyFill="1" applyBorder="1"/>
    <xf numFmtId="0" fontId="5" fillId="5" borderId="3" xfId="0" applyFont="1" applyFill="1" applyBorder="1" applyAlignment="1">
      <alignment horizontal="center" wrapText="1"/>
    </xf>
    <xf numFmtId="0" fontId="18" fillId="5" borderId="3" xfId="0" applyFont="1" applyFill="1" applyBorder="1" applyAlignment="1">
      <alignment horizontal="center" wrapText="1"/>
    </xf>
    <xf numFmtId="0" fontId="5" fillId="5" borderId="0" xfId="0" quotePrefix="1" applyFont="1" applyFill="1" applyAlignment="1">
      <alignment horizontal="center"/>
    </xf>
    <xf numFmtId="4" fontId="13" fillId="5" borderId="3" xfId="0" applyNumberFormat="1" applyFont="1" applyFill="1" applyBorder="1" applyAlignment="1">
      <alignment horizontal="center"/>
    </xf>
    <xf numFmtId="0" fontId="21" fillId="5" borderId="0" xfId="0" applyFont="1" applyFill="1" applyAlignment="1">
      <alignment horizontal="center"/>
    </xf>
    <xf numFmtId="164" fontId="5" fillId="5" borderId="0" xfId="0" applyNumberFormat="1" applyFont="1" applyFill="1"/>
    <xf numFmtId="164" fontId="5" fillId="5" borderId="0" xfId="0" applyNumberFormat="1" applyFont="1" applyFill="1" applyAlignment="1">
      <alignment horizontal="right"/>
    </xf>
    <xf numFmtId="0" fontId="5" fillId="5" borderId="0" xfId="0" applyFont="1" applyFill="1" applyAlignment="1">
      <alignment horizontal="left" indent="2"/>
    </xf>
    <xf numFmtId="0" fontId="5" fillId="5" borderId="0" xfId="0" applyFont="1" applyFill="1" applyAlignment="1">
      <alignment horizontal="left" indent="3"/>
    </xf>
    <xf numFmtId="0" fontId="9" fillId="5" borderId="0" xfId="0" quotePrefix="1" applyFont="1" applyFill="1" applyAlignment="1">
      <alignment horizontal="center"/>
    </xf>
    <xf numFmtId="4" fontId="5" fillId="5" borderId="0" xfId="2" applyNumberFormat="1" applyFont="1" applyFill="1"/>
    <xf numFmtId="0" fontId="9" fillId="5" borderId="3" xfId="0" quotePrefix="1" applyFont="1" applyFill="1" applyBorder="1" applyAlignment="1">
      <alignment horizontal="center"/>
    </xf>
    <xf numFmtId="169" fontId="13" fillId="5" borderId="3" xfId="0" applyNumberFormat="1" applyFont="1" applyFill="1" applyBorder="1" applyAlignment="1">
      <alignment horizontal="left" indent="2"/>
    </xf>
    <xf numFmtId="3" fontId="5" fillId="5" borderId="3" xfId="0" applyNumberFormat="1" applyFont="1" applyFill="1" applyBorder="1" applyAlignment="1">
      <alignment horizontal="right"/>
    </xf>
    <xf numFmtId="38" fontId="5" fillId="5" borderId="0" xfId="0" applyNumberFormat="1" applyFont="1" applyFill="1"/>
    <xf numFmtId="43" fontId="5" fillId="5" borderId="3" xfId="1" applyFont="1" applyFill="1" applyBorder="1" applyAlignment="1">
      <alignment horizontal="right"/>
    </xf>
    <xf numFmtId="3" fontId="5" fillId="5" borderId="4" xfId="0" applyNumberFormat="1" applyFont="1" applyFill="1" applyBorder="1"/>
    <xf numFmtId="4" fontId="11" fillId="5" borderId="5" xfId="0" applyNumberFormat="1" applyFont="1" applyFill="1" applyBorder="1"/>
    <xf numFmtId="4" fontId="11" fillId="5" borderId="5" xfId="0" applyNumberFormat="1" applyFont="1" applyFill="1" applyBorder="1" applyAlignment="1">
      <alignment wrapText="1"/>
    </xf>
    <xf numFmtId="0" fontId="5" fillId="5" borderId="5" xfId="0" applyFont="1" applyFill="1" applyBorder="1" applyAlignment="1">
      <alignment horizontal="left" indent="3"/>
    </xf>
    <xf numFmtId="4" fontId="11" fillId="5" borderId="3" xfId="0" applyNumberFormat="1" applyFont="1" applyFill="1" applyBorder="1"/>
    <xf numFmtId="43" fontId="5" fillId="5" borderId="5" xfId="7" applyFont="1" applyFill="1" applyBorder="1"/>
    <xf numFmtId="43" fontId="5" fillId="5" borderId="0" xfId="7" applyFont="1" applyFill="1" applyBorder="1"/>
    <xf numFmtId="38" fontId="5" fillId="5" borderId="3" xfId="0" applyNumberFormat="1" applyFont="1" applyFill="1" applyBorder="1"/>
    <xf numFmtId="166" fontId="5" fillId="5" borderId="0" xfId="0" applyNumberFormat="1" applyFont="1" applyFill="1" applyAlignment="1">
      <alignment horizontal="center"/>
    </xf>
    <xf numFmtId="166" fontId="5" fillId="5" borderId="0" xfId="0" applyNumberFormat="1" applyFont="1" applyFill="1"/>
    <xf numFmtId="16" fontId="5" fillId="5" borderId="0" xfId="0" quotePrefix="1" applyNumberFormat="1" applyFont="1" applyFill="1" applyAlignment="1">
      <alignment horizontal="right"/>
    </xf>
    <xf numFmtId="0" fontId="5" fillId="5" borderId="0" xfId="0" quotePrefix="1" applyFont="1" applyFill="1" applyAlignment="1">
      <alignment horizontal="right"/>
    </xf>
    <xf numFmtId="166" fontId="5" fillId="5" borderId="8" xfId="0" applyNumberFormat="1" applyFont="1" applyFill="1" applyBorder="1" applyAlignment="1">
      <alignment horizontal="center"/>
    </xf>
    <xf numFmtId="170" fontId="5" fillId="5" borderId="0" xfId="6" applyFont="1" applyFill="1" applyBorder="1" applyAlignment="1">
      <alignment horizontal="right"/>
    </xf>
    <xf numFmtId="166" fontId="5" fillId="5" borderId="1" xfId="0" applyNumberFormat="1" applyFont="1" applyFill="1" applyBorder="1" applyAlignment="1">
      <alignment horizontal="center"/>
    </xf>
    <xf numFmtId="4" fontId="5" fillId="5" borderId="0" xfId="0" applyNumberFormat="1" applyFont="1" applyFill="1" applyAlignment="1">
      <alignment horizontal="left" indent="2"/>
    </xf>
    <xf numFmtId="38" fontId="5" fillId="5" borderId="0" xfId="0" quotePrefix="1" applyNumberFormat="1" applyFont="1" applyFill="1"/>
    <xf numFmtId="0" fontId="5" fillId="5" borderId="3" xfId="0" applyFont="1" applyFill="1" applyBorder="1" applyAlignment="1">
      <alignment horizontal="center"/>
    </xf>
    <xf numFmtId="7" fontId="5" fillId="5" borderId="0" xfId="0" applyNumberFormat="1" applyFont="1" applyFill="1"/>
    <xf numFmtId="7" fontId="5" fillId="5" borderId="3" xfId="0" applyNumberFormat="1" applyFont="1" applyFill="1" applyBorder="1"/>
    <xf numFmtId="0" fontId="11" fillId="5" borderId="0" xfId="0" applyFont="1" applyFill="1"/>
    <xf numFmtId="168" fontId="5" fillId="5" borderId="1" xfId="0" applyNumberFormat="1" applyFont="1" applyFill="1" applyBorder="1" applyAlignment="1">
      <alignment horizontal="right"/>
    </xf>
    <xf numFmtId="3" fontId="5" fillId="5" borderId="0" xfId="0" quotePrefix="1" applyNumberFormat="1" applyFont="1" applyFill="1" applyAlignment="1">
      <alignment horizontal="center"/>
    </xf>
    <xf numFmtId="168" fontId="5" fillId="5" borderId="5" xfId="0" applyNumberFormat="1" applyFont="1" applyFill="1" applyBorder="1" applyAlignment="1">
      <alignment horizontal="right"/>
    </xf>
    <xf numFmtId="168" fontId="5" fillId="5" borderId="3" xfId="0" applyNumberFormat="1" applyFont="1" applyFill="1" applyBorder="1" applyAlignment="1">
      <alignment horizontal="right"/>
    </xf>
    <xf numFmtId="0" fontId="11" fillId="5" borderId="0" xfId="0" applyFont="1" applyFill="1" applyAlignment="1">
      <alignment horizontal="right"/>
    </xf>
    <xf numFmtId="4" fontId="4" fillId="0" borderId="0" xfId="2" applyNumberFormat="1" applyFont="1" applyAlignment="1">
      <alignment horizontal="left"/>
    </xf>
    <xf numFmtId="165" fontId="5" fillId="5" borderId="3" xfId="3" applyFont="1" applyFill="1" applyBorder="1" applyAlignment="1">
      <alignment horizontal="right"/>
    </xf>
    <xf numFmtId="165" fontId="5" fillId="5" borderId="3" xfId="0" applyNumberFormat="1" applyFont="1" applyFill="1" applyBorder="1"/>
    <xf numFmtId="165" fontId="5" fillId="5" borderId="1" xfId="3" applyFont="1" applyFill="1" applyBorder="1"/>
    <xf numFmtId="165" fontId="5" fillId="5" borderId="0" xfId="3" applyFont="1" applyFill="1" applyBorder="1" applyAlignment="1">
      <alignment horizontal="right"/>
    </xf>
    <xf numFmtId="43" fontId="5" fillId="5" borderId="3" xfId="1" applyFont="1" applyFill="1" applyBorder="1"/>
    <xf numFmtId="0" fontId="31" fillId="6" borderId="0" xfId="1" applyNumberFormat="1" applyFont="1" applyFill="1" applyAlignment="1">
      <alignment horizontal="center"/>
    </xf>
    <xf numFmtId="3" fontId="5" fillId="5" borderId="5" xfId="0" applyNumberFormat="1" applyFont="1" applyFill="1" applyBorder="1"/>
    <xf numFmtId="0" fontId="11" fillId="5" borderId="0" xfId="0" applyFont="1" applyFill="1" applyAlignment="1">
      <alignment horizontal="center"/>
    </xf>
    <xf numFmtId="165" fontId="5" fillId="0" borderId="1" xfId="3" applyFont="1" applyBorder="1"/>
    <xf numFmtId="3" fontId="31" fillId="5" borderId="3" xfId="2" applyNumberFormat="1" applyFont="1" applyFill="1" applyBorder="1" applyAlignment="1">
      <alignment horizontal="right"/>
    </xf>
    <xf numFmtId="0" fontId="31" fillId="6" borderId="3" xfId="1" applyNumberFormat="1" applyFont="1" applyFill="1" applyBorder="1" applyAlignment="1">
      <alignment horizontal="center"/>
    </xf>
    <xf numFmtId="43" fontId="31" fillId="6" borderId="0" xfId="1" applyFont="1" applyFill="1" applyAlignment="1">
      <alignment horizontal="center"/>
    </xf>
    <xf numFmtId="0" fontId="11" fillId="2" borderId="3" xfId="2" applyFont="1" applyFill="1" applyBorder="1" applyAlignment="1">
      <alignment horizontal="center"/>
    </xf>
    <xf numFmtId="17" fontId="31" fillId="0" borderId="0" xfId="2" quotePrefix="1" applyNumberFormat="1" applyFont="1" applyAlignment="1">
      <alignment vertical="top" wrapText="1"/>
    </xf>
    <xf numFmtId="17" fontId="31" fillId="0" borderId="0" xfId="2" applyNumberFormat="1" applyFont="1" applyAlignment="1">
      <alignment vertical="top" wrapText="1"/>
    </xf>
    <xf numFmtId="166" fontId="9" fillId="5" borderId="0" xfId="2" applyNumberFormat="1" applyFont="1" applyFill="1" applyAlignment="1">
      <alignment horizontal="left"/>
    </xf>
    <xf numFmtId="165" fontId="5" fillId="0" borderId="0" xfId="3" applyFont="1" applyFill="1"/>
    <xf numFmtId="0" fontId="23" fillId="0" borderId="0" xfId="0" applyFont="1" applyAlignment="1">
      <alignment horizontal="left"/>
    </xf>
    <xf numFmtId="0" fontId="36" fillId="0" borderId="0" xfId="0" applyFont="1"/>
    <xf numFmtId="0" fontId="36" fillId="0" borderId="0" xfId="0" applyFont="1" applyAlignment="1">
      <alignment horizontal="left"/>
    </xf>
    <xf numFmtId="0" fontId="36" fillId="6" borderId="11" xfId="0" applyFont="1" applyFill="1" applyBorder="1" applyAlignment="1">
      <alignment horizontal="center"/>
    </xf>
    <xf numFmtId="0" fontId="37" fillId="0" borderId="0" xfId="0" applyFont="1"/>
    <xf numFmtId="43" fontId="36" fillId="0" borderId="3" xfId="1" applyFont="1" applyBorder="1" applyAlignment="1"/>
    <xf numFmtId="0" fontId="30" fillId="0" borderId="0" xfId="0" applyFont="1"/>
    <xf numFmtId="43" fontId="36" fillId="0" borderId="0" xfId="1" applyFont="1" applyBorder="1" applyAlignment="1"/>
    <xf numFmtId="0" fontId="36" fillId="8" borderId="0" xfId="0" applyFont="1" applyFill="1"/>
    <xf numFmtId="0" fontId="36" fillId="8" borderId="0" xfId="0" applyFont="1" applyFill="1" applyAlignment="1">
      <alignment horizontal="left"/>
    </xf>
    <xf numFmtId="0" fontId="30" fillId="8" borderId="0" xfId="0" applyFont="1" applyFill="1"/>
    <xf numFmtId="43" fontId="36" fillId="8" borderId="0" xfId="1" applyFont="1" applyFill="1" applyBorder="1" applyAlignment="1"/>
    <xf numFmtId="0" fontId="35" fillId="0" borderId="0" xfId="0" applyFont="1" applyAlignment="1">
      <alignment horizontal="center"/>
    </xf>
    <xf numFmtId="43" fontId="35" fillId="0" borderId="3" xfId="1" applyFont="1" applyBorder="1" applyAlignment="1"/>
    <xf numFmtId="43" fontId="36" fillId="9" borderId="10" xfId="1" applyFont="1" applyFill="1" applyBorder="1" applyAlignment="1"/>
    <xf numFmtId="43" fontId="36" fillId="0" borderId="10" xfId="1" applyFont="1" applyBorder="1" applyAlignment="1"/>
    <xf numFmtId="168" fontId="36" fillId="0" borderId="0" xfId="0" applyNumberFormat="1" applyFont="1"/>
    <xf numFmtId="0" fontId="39" fillId="0" borderId="0" xfId="16" applyFont="1"/>
    <xf numFmtId="0" fontId="39" fillId="0" borderId="0" xfId="16" applyFont="1" applyAlignment="1">
      <alignment horizontal="center"/>
    </xf>
    <xf numFmtId="0" fontId="39" fillId="0" borderId="0" xfId="16" quotePrefix="1" applyFont="1" applyAlignment="1">
      <alignment horizontal="left" indent="1"/>
    </xf>
    <xf numFmtId="49" fontId="39" fillId="0" borderId="0" xfId="16" applyNumberFormat="1" applyFont="1" applyAlignment="1">
      <alignment horizontal="center"/>
    </xf>
    <xf numFmtId="0" fontId="39" fillId="10" borderId="0" xfId="16" applyFont="1" applyFill="1"/>
    <xf numFmtId="16" fontId="39" fillId="0" borderId="0" xfId="16" applyNumberFormat="1" applyFont="1"/>
    <xf numFmtId="0" fontId="40" fillId="0" borderId="13" xfId="16" applyFont="1" applyBorder="1" applyAlignment="1">
      <alignment horizontal="center"/>
    </xf>
    <xf numFmtId="9" fontId="40" fillId="0" borderId="13" xfId="16" applyNumberFormat="1" applyFont="1" applyBorder="1" applyAlignment="1">
      <alignment horizontal="center"/>
    </xf>
    <xf numFmtId="0" fontId="40" fillId="0" borderId="16" xfId="16" applyFont="1" applyBorder="1" applyAlignment="1">
      <alignment horizontal="center"/>
    </xf>
    <xf numFmtId="0" fontId="40" fillId="0" borderId="0" xfId="16" applyFont="1" applyAlignment="1">
      <alignment horizontal="center"/>
    </xf>
    <xf numFmtId="0" fontId="40" fillId="0" borderId="12" xfId="16" applyFont="1" applyBorder="1" applyAlignment="1">
      <alignment horizontal="center"/>
    </xf>
    <xf numFmtId="0" fontId="40" fillId="0" borderId="12" xfId="16" quotePrefix="1" applyFont="1" applyBorder="1" applyAlignment="1">
      <alignment horizontal="center"/>
    </xf>
    <xf numFmtId="0" fontId="40" fillId="0" borderId="11" xfId="16" applyFont="1" applyBorder="1" applyAlignment="1">
      <alignment horizontal="center"/>
    </xf>
    <xf numFmtId="0" fontId="40" fillId="0" borderId="11" xfId="16" quotePrefix="1" applyFont="1" applyBorder="1" applyAlignment="1">
      <alignment horizontal="center"/>
    </xf>
    <xf numFmtId="43" fontId="40" fillId="0" borderId="12" xfId="17" applyFont="1" applyBorder="1" applyAlignment="1">
      <alignment horizontal="center"/>
    </xf>
    <xf numFmtId="43" fontId="39" fillId="0" borderId="11" xfId="17" applyFont="1" applyBorder="1" applyAlignment="1">
      <alignment horizontal="center"/>
    </xf>
    <xf numFmtId="1" fontId="39" fillId="13" borderId="0" xfId="18" applyNumberFormat="1" applyFont="1" applyFill="1" applyAlignment="1">
      <alignment horizontal="center"/>
    </xf>
    <xf numFmtId="1" fontId="39" fillId="0" borderId="0" xfId="18" applyNumberFormat="1" applyFont="1"/>
    <xf numFmtId="41" fontId="41" fillId="0" borderId="17" xfId="18" applyNumberFormat="1" applyFont="1" applyBorder="1" applyAlignment="1">
      <alignment horizontal="center"/>
    </xf>
    <xf numFmtId="10" fontId="39" fillId="0" borderId="17" xfId="19" applyNumberFormat="1" applyFont="1" applyBorder="1"/>
    <xf numFmtId="10" fontId="39" fillId="0" borderId="0" xfId="19" applyNumberFormat="1" applyFont="1" applyBorder="1"/>
    <xf numFmtId="10" fontId="39" fillId="0" borderId="0" xfId="19" applyNumberFormat="1" applyFont="1"/>
    <xf numFmtId="43" fontId="39" fillId="0" borderId="17" xfId="16" applyNumberFormat="1" applyFont="1" applyBorder="1"/>
    <xf numFmtId="43" fontId="39" fillId="0" borderId="17" xfId="17" applyFont="1" applyBorder="1"/>
    <xf numFmtId="43" fontId="39" fillId="0" borderId="0" xfId="16" applyNumberFormat="1" applyFont="1"/>
    <xf numFmtId="49" fontId="39" fillId="0" borderId="0" xfId="18" applyNumberFormat="1" applyFont="1" applyAlignment="1">
      <alignment horizontal="center"/>
    </xf>
    <xf numFmtId="1" fontId="39" fillId="0" borderId="0" xfId="18" applyNumberFormat="1" applyFont="1" applyAlignment="1">
      <alignment horizontal="center"/>
    </xf>
    <xf numFmtId="1" fontId="39" fillId="0" borderId="0" xfId="18" quotePrefix="1" applyNumberFormat="1" applyFont="1" applyAlignment="1">
      <alignment horizontal="left"/>
    </xf>
    <xf numFmtId="41" fontId="41" fillId="0" borderId="17" xfId="18" quotePrefix="1" applyNumberFormat="1" applyFont="1" applyBorder="1" applyAlignment="1">
      <alignment horizontal="center"/>
    </xf>
    <xf numFmtId="1" fontId="43" fillId="0" borderId="0" xfId="18" applyNumberFormat="1" applyFont="1"/>
    <xf numFmtId="1" fontId="39" fillId="0" borderId="0" xfId="20" quotePrefix="1" applyNumberFormat="1" applyFont="1" applyFill="1" applyBorder="1" applyAlignment="1">
      <alignment horizontal="center"/>
    </xf>
    <xf numFmtId="1" fontId="39" fillId="0" borderId="0" xfId="20" quotePrefix="1" applyNumberFormat="1" applyFont="1" applyFill="1" applyBorder="1" applyAlignment="1"/>
    <xf numFmtId="41" fontId="41" fillId="0" borderId="17" xfId="20" quotePrefix="1" applyNumberFormat="1" applyFont="1" applyFill="1" applyBorder="1" applyAlignment="1">
      <alignment horizontal="center"/>
    </xf>
    <xf numFmtId="1" fontId="39" fillId="0" borderId="0" xfId="20" applyNumberFormat="1" applyFont="1" applyFill="1" applyBorder="1" applyAlignment="1">
      <alignment horizontal="center"/>
    </xf>
    <xf numFmtId="1" fontId="39" fillId="0" borderId="0" xfId="20" applyNumberFormat="1" applyFont="1" applyFill="1" applyBorder="1" applyAlignment="1"/>
    <xf numFmtId="41" fontId="41" fillId="0" borderId="17" xfId="20" applyNumberFormat="1" applyFont="1" applyFill="1" applyBorder="1" applyAlignment="1">
      <alignment horizontal="center"/>
    </xf>
    <xf numFmtId="1" fontId="39" fillId="0" borderId="0" xfId="20" quotePrefix="1" applyNumberFormat="1" applyFont="1" applyFill="1" applyBorder="1" applyAlignment="1">
      <alignment horizontal="left"/>
    </xf>
    <xf numFmtId="1" fontId="43" fillId="0" borderId="0" xfId="20" quotePrefix="1" applyNumberFormat="1" applyFont="1" applyFill="1" applyBorder="1" applyAlignment="1">
      <alignment horizontal="left"/>
    </xf>
    <xf numFmtId="176" fontId="39" fillId="0" borderId="0" xfId="16" applyNumberFormat="1" applyFont="1"/>
    <xf numFmtId="43" fontId="39" fillId="0" borderId="0" xfId="17" applyFont="1"/>
    <xf numFmtId="41" fontId="39" fillId="0" borderId="0" xfId="16" applyNumberFormat="1" applyFont="1" applyAlignment="1">
      <alignment horizontal="center"/>
    </xf>
    <xf numFmtId="43" fontId="39" fillId="0" borderId="3" xfId="16" applyNumberFormat="1" applyFont="1" applyBorder="1"/>
    <xf numFmtId="0" fontId="42" fillId="0" borderId="0" xfId="16" applyFont="1" applyAlignment="1">
      <alignment horizontal="center"/>
    </xf>
    <xf numFmtId="43" fontId="39" fillId="0" borderId="10" xfId="16" applyNumberFormat="1" applyFont="1" applyBorder="1"/>
    <xf numFmtId="43" fontId="40" fillId="0" borderId="0" xfId="16" applyNumberFormat="1" applyFont="1"/>
    <xf numFmtId="49" fontId="40" fillId="0" borderId="0" xfId="20" quotePrefix="1" applyNumberFormat="1" applyFont="1" applyAlignment="1">
      <alignment horizontal="left"/>
    </xf>
    <xf numFmtId="0" fontId="40" fillId="0" borderId="0" xfId="2" applyFont="1"/>
    <xf numFmtId="49" fontId="40" fillId="0" borderId="0" xfId="2" applyNumberFormat="1" applyFont="1" applyAlignment="1">
      <alignment horizontal="left"/>
    </xf>
    <xf numFmtId="49" fontId="40" fillId="0" borderId="0" xfId="20" applyNumberFormat="1" applyFont="1" applyAlignment="1">
      <alignment horizontal="left"/>
    </xf>
    <xf numFmtId="49" fontId="40" fillId="0" borderId="11" xfId="2" quotePrefix="1" applyNumberFormat="1" applyFont="1" applyBorder="1" applyAlignment="1">
      <alignment horizontal="center"/>
    </xf>
    <xf numFmtId="0" fontId="40" fillId="0" borderId="11" xfId="2" quotePrefix="1" applyFont="1" applyBorder="1" applyAlignment="1">
      <alignment horizontal="center"/>
    </xf>
    <xf numFmtId="49" fontId="44" fillId="0" borderId="0" xfId="2" quotePrefix="1" applyNumberFormat="1" applyFont="1" applyAlignment="1">
      <alignment horizontal="center" vertical="center"/>
    </xf>
    <xf numFmtId="177" fontId="44" fillId="0" borderId="0" xfId="2" applyNumberFormat="1" applyFont="1"/>
    <xf numFmtId="177" fontId="44" fillId="0" borderId="0" xfId="2" quotePrefix="1" applyNumberFormat="1" applyFont="1" applyAlignment="1">
      <alignment horizontal="left"/>
    </xf>
    <xf numFmtId="0" fontId="43" fillId="0" borderId="0" xfId="16" applyFont="1"/>
    <xf numFmtId="49" fontId="45" fillId="0" borderId="0" xfId="2" quotePrefix="1" applyNumberFormat="1" applyFont="1" applyAlignment="1">
      <alignment horizontal="center" vertical="center"/>
    </xf>
    <xf numFmtId="177" fontId="45" fillId="0" borderId="0" xfId="2" applyNumberFormat="1" applyFont="1"/>
    <xf numFmtId="0" fontId="40" fillId="0" borderId="0" xfId="16" applyFont="1"/>
    <xf numFmtId="0" fontId="45" fillId="0" borderId="0" xfId="16" quotePrefix="1" applyFont="1" applyAlignment="1">
      <alignment horizontal="center"/>
    </xf>
    <xf numFmtId="0" fontId="45" fillId="0" borderId="0" xfId="16" applyFont="1"/>
    <xf numFmtId="0" fontId="39" fillId="0" borderId="0" xfId="2" applyFont="1"/>
    <xf numFmtId="0" fontId="45" fillId="0" borderId="0" xfId="16" applyFont="1" applyAlignment="1">
      <alignment horizontal="center"/>
    </xf>
    <xf numFmtId="0" fontId="45" fillId="0" borderId="0" xfId="16" applyFont="1" applyAlignment="1">
      <alignment horizontal="left"/>
    </xf>
    <xf numFmtId="0" fontId="39" fillId="0" borderId="0" xfId="2" quotePrefix="1" applyFont="1" applyAlignment="1">
      <alignment horizontal="left"/>
    </xf>
    <xf numFmtId="49" fontId="44" fillId="0" borderId="0" xfId="2" applyNumberFormat="1" applyFont="1" applyAlignment="1">
      <alignment horizontal="center" vertical="center"/>
    </xf>
    <xf numFmtId="0" fontId="39" fillId="0" borderId="0" xfId="16" quotePrefix="1" applyFont="1" applyAlignment="1">
      <alignment horizontal="center"/>
    </xf>
    <xf numFmtId="0" fontId="39" fillId="0" borderId="0" xfId="16" quotePrefix="1" applyFont="1" applyAlignment="1">
      <alignment horizontal="left"/>
    </xf>
    <xf numFmtId="0" fontId="46" fillId="0" borderId="1" xfId="16" applyFont="1" applyBorder="1"/>
    <xf numFmtId="0" fontId="36" fillId="0" borderId="0" xfId="16" applyFont="1"/>
    <xf numFmtId="0" fontId="29" fillId="0" borderId="0" xfId="16" quotePrefix="1" applyFont="1" applyAlignment="1">
      <alignment horizontal="left"/>
    </xf>
    <xf numFmtId="0" fontId="29" fillId="0" borderId="0" xfId="16" applyFont="1"/>
    <xf numFmtId="0" fontId="36" fillId="0" borderId="0" xfId="16" quotePrefix="1" applyFont="1" applyAlignment="1">
      <alignment horizontal="left"/>
    </xf>
    <xf numFmtId="49" fontId="47" fillId="0" borderId="0" xfId="16" applyNumberFormat="1" applyFont="1"/>
    <xf numFmtId="4" fontId="47" fillId="0" borderId="0" xfId="16" applyNumberFormat="1" applyFont="1"/>
    <xf numFmtId="4" fontId="36" fillId="0" borderId="8" xfId="16" applyNumberFormat="1" applyFont="1" applyBorder="1"/>
    <xf numFmtId="4" fontId="47" fillId="0" borderId="8" xfId="16" applyNumberFormat="1" applyFont="1" applyBorder="1" applyAlignment="1">
      <alignment horizontal="left"/>
    </xf>
    <xf numFmtId="4" fontId="47" fillId="0" borderId="8" xfId="16" applyNumberFormat="1" applyFont="1" applyBorder="1"/>
    <xf numFmtId="4" fontId="36" fillId="0" borderId="0" xfId="16" applyNumberFormat="1" applyFont="1"/>
    <xf numFmtId="4" fontId="47" fillId="0" borderId="0" xfId="16" applyNumberFormat="1" applyFont="1" applyAlignment="1">
      <alignment horizontal="left"/>
    </xf>
    <xf numFmtId="0" fontId="48" fillId="0" borderId="0" xfId="16" quotePrefix="1" applyFont="1"/>
    <xf numFmtId="0" fontId="48" fillId="0" borderId="0" xfId="16" quotePrefix="1" applyFont="1" applyAlignment="1">
      <alignment horizontal="right"/>
    </xf>
    <xf numFmtId="7" fontId="48" fillId="0" borderId="0" xfId="16" applyNumberFormat="1" applyFont="1" applyAlignment="1">
      <alignment horizontal="left"/>
    </xf>
    <xf numFmtId="49" fontId="48" fillId="0" borderId="0" xfId="16" applyNumberFormat="1" applyFont="1"/>
    <xf numFmtId="49" fontId="48" fillId="0" borderId="0" xfId="16" applyNumberFormat="1" applyFont="1" applyProtection="1">
      <protection locked="0"/>
    </xf>
    <xf numFmtId="166" fontId="48" fillId="0" borderId="0" xfId="16" applyNumberFormat="1" applyFont="1" applyAlignment="1">
      <alignment horizontal="center"/>
    </xf>
    <xf numFmtId="166" fontId="48" fillId="0" borderId="0" xfId="16" applyNumberFormat="1" applyFont="1"/>
    <xf numFmtId="0" fontId="48" fillId="0" borderId="0" xfId="16" applyFont="1" applyAlignment="1">
      <alignment horizontal="center"/>
    </xf>
    <xf numFmtId="7" fontId="39" fillId="0" borderId="0" xfId="16" applyNumberFormat="1" applyFont="1" applyAlignment="1">
      <alignment horizontal="center"/>
    </xf>
    <xf numFmtId="164" fontId="36" fillId="0" borderId="0" xfId="16" applyNumberFormat="1" applyFont="1" applyAlignment="1">
      <alignment wrapText="1"/>
    </xf>
    <xf numFmtId="4" fontId="36" fillId="0" borderId="0" xfId="16" applyNumberFormat="1" applyFont="1" applyAlignment="1">
      <alignment horizontal="center" wrapText="1"/>
    </xf>
    <xf numFmtId="165" fontId="36" fillId="0" borderId="0" xfId="21" quotePrefix="1" applyFont="1" applyBorder="1" applyAlignment="1">
      <alignment horizontal="center"/>
    </xf>
    <xf numFmtId="7" fontId="30" fillId="0" borderId="0" xfId="16" quotePrefix="1" applyNumberFormat="1" applyFont="1" applyAlignment="1">
      <alignment horizontal="center"/>
    </xf>
    <xf numFmtId="7" fontId="30" fillId="0" borderId="0" xfId="16" applyNumberFormat="1" applyFont="1" applyAlignment="1">
      <alignment horizontal="center"/>
    </xf>
    <xf numFmtId="165" fontId="36" fillId="0" borderId="0" xfId="21" applyFont="1" applyBorder="1" applyAlignment="1">
      <alignment horizontal="center" wrapText="1"/>
    </xf>
    <xf numFmtId="7" fontId="30" fillId="0" borderId="3" xfId="16" quotePrefix="1" applyNumberFormat="1" applyFont="1" applyBorder="1" applyAlignment="1">
      <alignment horizontal="center"/>
    </xf>
    <xf numFmtId="0" fontId="30" fillId="0" borderId="3" xfId="16" applyFont="1" applyBorder="1" applyAlignment="1">
      <alignment horizontal="center"/>
    </xf>
    <xf numFmtId="4" fontId="36" fillId="0" borderId="3" xfId="16" applyNumberFormat="1" applyFont="1" applyBorder="1" applyAlignment="1">
      <alignment horizontal="center" wrapText="1"/>
    </xf>
    <xf numFmtId="165" fontId="49" fillId="0" borderId="3" xfId="21" quotePrefix="1" applyFont="1" applyBorder="1" applyAlignment="1">
      <alignment horizontal="center"/>
    </xf>
    <xf numFmtId="0" fontId="46" fillId="0" borderId="3" xfId="16" quotePrefix="1" applyFont="1" applyBorder="1"/>
    <xf numFmtId="0" fontId="36" fillId="0" borderId="5" xfId="16" quotePrefix="1" applyFont="1" applyBorder="1" applyAlignment="1">
      <alignment horizontal="center"/>
    </xf>
    <xf numFmtId="4" fontId="36" fillId="0" borderId="5" xfId="16" quotePrefix="1" applyNumberFormat="1" applyFont="1" applyBorder="1" applyAlignment="1">
      <alignment horizontal="center"/>
    </xf>
    <xf numFmtId="165" fontId="36" fillId="0" borderId="5" xfId="21" quotePrefix="1" applyFont="1" applyBorder="1" applyAlignment="1">
      <alignment horizontal="center"/>
    </xf>
    <xf numFmtId="43" fontId="35" fillId="6" borderId="4" xfId="20" applyFont="1" applyFill="1" applyBorder="1" applyAlignment="1"/>
    <xf numFmtId="43" fontId="36" fillId="0" borderId="0" xfId="20" applyFont="1" applyFill="1" applyBorder="1" applyAlignment="1"/>
    <xf numFmtId="178" fontId="36" fillId="0" borderId="0" xfId="16" applyNumberFormat="1" applyFont="1"/>
    <xf numFmtId="43" fontId="36" fillId="0" borderId="0" xfId="20" applyFont="1" applyBorder="1" applyAlignment="1"/>
    <xf numFmtId="43" fontId="35" fillId="6" borderId="0" xfId="20" applyFont="1" applyFill="1" applyBorder="1" applyAlignment="1"/>
    <xf numFmtId="43" fontId="35" fillId="6" borderId="3" xfId="20" applyFont="1" applyFill="1" applyBorder="1" applyAlignment="1"/>
    <xf numFmtId="43" fontId="36" fillId="0" borderId="4" xfId="20" applyFont="1" applyBorder="1" applyAlignment="1"/>
    <xf numFmtId="43" fontId="36" fillId="0" borderId="4" xfId="20" applyFont="1" applyFill="1" applyBorder="1" applyAlignment="1"/>
    <xf numFmtId="178" fontId="36" fillId="0" borderId="4" xfId="16" applyNumberFormat="1" applyFont="1" applyBorder="1"/>
    <xf numFmtId="0" fontId="36" fillId="0" borderId="0" xfId="16" applyFont="1" applyAlignment="1">
      <alignment horizontal="left" indent="2"/>
    </xf>
    <xf numFmtId="43" fontId="36" fillId="0" borderId="5" xfId="20" applyFont="1" applyBorder="1" applyAlignment="1"/>
    <xf numFmtId="2" fontId="36" fillId="0" borderId="0" xfId="16" applyNumberFormat="1" applyFont="1" applyAlignment="1">
      <alignment horizontal="center"/>
    </xf>
    <xf numFmtId="0" fontId="36" fillId="0" borderId="0" xfId="16" applyFont="1" applyAlignment="1">
      <alignment horizontal="right"/>
    </xf>
    <xf numFmtId="0" fontId="36" fillId="0" borderId="0" xfId="16" applyFont="1" applyAlignment="1">
      <alignment horizontal="left" indent="1"/>
    </xf>
    <xf numFmtId="0" fontId="36" fillId="0" borderId="0" xfId="16" applyFont="1" applyAlignment="1">
      <alignment horizontal="left"/>
    </xf>
    <xf numFmtId="168" fontId="36" fillId="0" borderId="0" xfId="21" quotePrefix="1" applyNumberFormat="1" applyFont="1" applyBorder="1" applyAlignment="1">
      <alignment horizontal="center"/>
    </xf>
    <xf numFmtId="166" fontId="36" fillId="0" borderId="0" xfId="16" applyNumberFormat="1" applyFont="1"/>
    <xf numFmtId="168" fontId="36" fillId="0" borderId="0" xfId="21" applyNumberFormat="1" applyFont="1" applyBorder="1" applyAlignment="1">
      <alignment horizontal="center"/>
    </xf>
    <xf numFmtId="0" fontId="30" fillId="0" borderId="3" xfId="16" quotePrefix="1" applyFont="1" applyBorder="1" applyAlignment="1">
      <alignment horizontal="center"/>
    </xf>
    <xf numFmtId="2" fontId="30" fillId="0" borderId="3" xfId="16" applyNumberFormat="1" applyFont="1" applyBorder="1"/>
    <xf numFmtId="165" fontId="40" fillId="0" borderId="3" xfId="21" applyFont="1" applyBorder="1" applyAlignment="1">
      <alignment horizontal="center" wrapText="1"/>
    </xf>
    <xf numFmtId="43" fontId="51" fillId="6" borderId="4" xfId="20" applyFont="1" applyFill="1" applyBorder="1" applyAlignment="1"/>
    <xf numFmtId="4" fontId="30" fillId="0" borderId="4" xfId="16" applyNumberFormat="1" applyFont="1" applyBorder="1"/>
    <xf numFmtId="43" fontId="51" fillId="6" borderId="0" xfId="20" applyFont="1" applyFill="1" applyBorder="1" applyAlignment="1"/>
    <xf numFmtId="4" fontId="30" fillId="0" borderId="0" xfId="16" applyNumberFormat="1" applyFont="1"/>
    <xf numFmtId="43" fontId="51" fillId="6" borderId="3" xfId="20" applyFont="1" applyFill="1" applyBorder="1" applyAlignment="1"/>
    <xf numFmtId="43" fontId="36" fillId="0" borderId="3" xfId="20" applyFont="1" applyFill="1" applyBorder="1" applyAlignment="1"/>
    <xf numFmtId="43" fontId="36" fillId="0" borderId="3" xfId="20" applyFont="1" applyBorder="1" applyAlignment="1"/>
    <xf numFmtId="0" fontId="36" fillId="0" borderId="0" xfId="16" quotePrefix="1" applyFont="1" applyAlignment="1">
      <alignment horizontal="right"/>
    </xf>
    <xf numFmtId="166" fontId="36" fillId="0" borderId="0" xfId="16" applyNumberFormat="1" applyFont="1" applyAlignment="1">
      <alignment horizontal="right"/>
    </xf>
    <xf numFmtId="2" fontId="36" fillId="0" borderId="0" xfId="16" applyNumberFormat="1" applyFont="1"/>
    <xf numFmtId="2" fontId="36" fillId="0" borderId="0" xfId="16" quotePrefix="1" applyNumberFormat="1" applyFont="1" applyAlignment="1">
      <alignment horizontal="right"/>
    </xf>
    <xf numFmtId="179" fontId="36" fillId="0" borderId="9" xfId="20" applyNumberFormat="1" applyFont="1" applyBorder="1" applyAlignment="1"/>
    <xf numFmtId="166" fontId="52" fillId="0" borderId="0" xfId="16" applyNumberFormat="1" applyFont="1" applyAlignment="1">
      <alignment horizontal="right"/>
    </xf>
    <xf numFmtId="0" fontId="53" fillId="0" borderId="0" xfId="16" quotePrefix="1" applyFont="1" applyAlignment="1">
      <alignment horizontal="left" vertical="center" indent="2"/>
    </xf>
    <xf numFmtId="0" fontId="36" fillId="0" borderId="0" xfId="16" applyFont="1" applyAlignment="1">
      <alignment horizontal="left" vertical="center" indent="2"/>
    </xf>
    <xf numFmtId="166" fontId="52" fillId="0" borderId="0" xfId="16" applyNumberFormat="1" applyFont="1" applyAlignment="1">
      <alignment horizontal="left" vertical="center" indent="2"/>
    </xf>
    <xf numFmtId="2" fontId="36" fillId="0" borderId="0" xfId="16" applyNumberFormat="1" applyFont="1" applyAlignment="1">
      <alignment horizontal="left" vertical="center" indent="2"/>
    </xf>
    <xf numFmtId="43" fontId="36" fillId="0" borderId="0" xfId="20" applyFont="1" applyBorder="1" applyAlignment="1">
      <alignment horizontal="left" vertical="center" indent="2"/>
    </xf>
    <xf numFmtId="0" fontId="53" fillId="0" borderId="0" xfId="16" applyFont="1" applyAlignment="1">
      <alignment horizontal="left" vertical="top" indent="2"/>
    </xf>
    <xf numFmtId="0" fontId="53" fillId="0" borderId="0" xfId="16" applyFont="1" applyAlignment="1">
      <alignment horizontal="left" indent="2"/>
    </xf>
    <xf numFmtId="4" fontId="36" fillId="0" borderId="0" xfId="16" quotePrefix="1" applyNumberFormat="1" applyFont="1" applyAlignment="1">
      <alignment horizontal="center"/>
    </xf>
    <xf numFmtId="44" fontId="36" fillId="0" borderId="0" xfId="20" applyNumberFormat="1" applyFont="1" applyAlignment="1">
      <alignment horizontal="right"/>
    </xf>
    <xf numFmtId="2" fontId="36" fillId="0" borderId="0" xfId="16" quotePrefix="1" applyNumberFormat="1" applyFont="1" applyAlignment="1">
      <alignment horizontal="center"/>
    </xf>
    <xf numFmtId="10" fontId="36" fillId="0" borderId="0" xfId="19" applyNumberFormat="1" applyFont="1" applyAlignment="1">
      <alignment horizontal="center"/>
    </xf>
    <xf numFmtId="44" fontId="36" fillId="0" borderId="0" xfId="16" applyNumberFormat="1" applyFont="1"/>
    <xf numFmtId="17" fontId="30" fillId="0" borderId="0" xfId="16" quotePrefix="1" applyNumberFormat="1" applyFont="1" applyAlignment="1">
      <alignment horizontal="center"/>
    </xf>
    <xf numFmtId="166" fontId="36" fillId="0" borderId="0" xfId="16" applyNumberFormat="1" applyFont="1" applyAlignment="1">
      <alignment horizontal="center"/>
    </xf>
    <xf numFmtId="0" fontId="54" fillId="0" borderId="0" xfId="16" quotePrefix="1" applyFont="1" applyAlignment="1">
      <alignment horizontal="center"/>
    </xf>
    <xf numFmtId="0" fontId="36" fillId="0" borderId="3" xfId="16" applyFont="1" applyBorder="1"/>
    <xf numFmtId="0" fontId="36" fillId="0" borderId="3" xfId="16" quotePrefix="1" applyFont="1" applyBorder="1" applyAlignment="1">
      <alignment horizontal="center"/>
    </xf>
    <xf numFmtId="0" fontId="36" fillId="0" borderId="3" xfId="16" applyFont="1" applyBorder="1" applyAlignment="1">
      <alignment horizontal="center"/>
    </xf>
    <xf numFmtId="0" fontId="54" fillId="0" borderId="3" xfId="16" quotePrefix="1" applyFont="1" applyBorder="1" applyAlignment="1">
      <alignment horizontal="center"/>
    </xf>
    <xf numFmtId="0" fontId="36" fillId="0" borderId="0" xfId="16" applyFont="1" applyAlignment="1">
      <alignment horizontal="center"/>
    </xf>
    <xf numFmtId="168" fontId="54" fillId="11" borderId="0" xfId="21" applyNumberFormat="1" applyFont="1" applyFill="1" applyBorder="1" applyAlignment="1"/>
    <xf numFmtId="0" fontId="36" fillId="0" borderId="0" xfId="16" quotePrefix="1" applyFont="1" applyAlignment="1">
      <alignment horizontal="center"/>
    </xf>
    <xf numFmtId="43" fontId="36" fillId="0" borderId="0" xfId="16" applyNumberFormat="1" applyFont="1" applyAlignment="1">
      <alignment horizontal="right"/>
    </xf>
    <xf numFmtId="43" fontId="52" fillId="0" borderId="3" xfId="20" applyFont="1" applyBorder="1" applyAlignment="1">
      <alignment horizontal="center"/>
    </xf>
    <xf numFmtId="4" fontId="35" fillId="11" borderId="3" xfId="16" applyNumberFormat="1" applyFont="1" applyFill="1" applyBorder="1" applyAlignment="1">
      <alignment horizontal="center"/>
    </xf>
    <xf numFmtId="4" fontId="55" fillId="0" borderId="0" xfId="16" applyNumberFormat="1" applyFont="1"/>
    <xf numFmtId="0" fontId="48" fillId="0" borderId="0" xfId="16" quotePrefix="1" applyFont="1" applyAlignment="1">
      <alignment horizontal="center"/>
    </xf>
    <xf numFmtId="169" fontId="52" fillId="0" borderId="0" xfId="16" applyNumberFormat="1" applyFont="1" applyAlignment="1">
      <alignment horizontal="center"/>
    </xf>
    <xf numFmtId="169" fontId="52" fillId="0" borderId="0" xfId="16" applyNumberFormat="1" applyFont="1"/>
    <xf numFmtId="0" fontId="49" fillId="0" borderId="0" xfId="16" quotePrefix="1" applyFont="1" applyAlignment="1">
      <alignment horizontal="left"/>
    </xf>
    <xf numFmtId="0" fontId="49" fillId="0" borderId="0" xfId="16" applyFont="1"/>
    <xf numFmtId="41" fontId="35" fillId="11" borderId="0" xfId="20" applyNumberFormat="1" applyFont="1" applyFill="1" applyBorder="1" applyAlignment="1"/>
    <xf numFmtId="169" fontId="36" fillId="0" borderId="0" xfId="16" applyNumberFormat="1" applyFont="1" applyAlignment="1">
      <alignment horizontal="center"/>
    </xf>
    <xf numFmtId="43" fontId="36" fillId="0" borderId="0" xfId="16" applyNumberFormat="1" applyFont="1"/>
    <xf numFmtId="0" fontId="36" fillId="0" borderId="0" xfId="16" quotePrefix="1" applyFont="1"/>
    <xf numFmtId="41" fontId="35" fillId="0" borderId="0" xfId="20" applyNumberFormat="1" applyFont="1" applyFill="1" applyBorder="1" applyAlignment="1"/>
    <xf numFmtId="0" fontId="36" fillId="0" borderId="0" xfId="16" quotePrefix="1" applyFont="1" applyAlignment="1">
      <alignment horizontal="left" wrapText="1"/>
    </xf>
    <xf numFmtId="43" fontId="36" fillId="0" borderId="0" xfId="20" applyFont="1"/>
    <xf numFmtId="0" fontId="55" fillId="0" borderId="0" xfId="16" applyFont="1"/>
    <xf numFmtId="0" fontId="55" fillId="0" borderId="0" xfId="16" quotePrefix="1" applyFont="1" applyAlignment="1">
      <alignment horizontal="left"/>
    </xf>
    <xf numFmtId="4" fontId="36" fillId="0" borderId="3" xfId="16" applyNumberFormat="1" applyFont="1" applyBorder="1" applyAlignment="1">
      <alignment horizontal="center"/>
    </xf>
    <xf numFmtId="181" fontId="35" fillId="11" borderId="0" xfId="16" applyNumberFormat="1" applyFont="1" applyFill="1"/>
    <xf numFmtId="16" fontId="36" fillId="0" borderId="0" xfId="16" quotePrefix="1" applyNumberFormat="1" applyFont="1" applyAlignment="1">
      <alignment horizontal="right"/>
    </xf>
    <xf numFmtId="170" fontId="36" fillId="0" borderId="0" xfId="22" applyFont="1" applyBorder="1" applyAlignment="1">
      <alignment horizontal="right"/>
    </xf>
    <xf numFmtId="170" fontId="36" fillId="0" borderId="0" xfId="22" quotePrefix="1" applyFont="1" applyBorder="1" applyAlignment="1">
      <alignment horizontal="right"/>
    </xf>
    <xf numFmtId="170" fontId="36" fillId="0" borderId="0" xfId="22" applyFont="1" applyBorder="1" applyAlignment="1"/>
    <xf numFmtId="170" fontId="36" fillId="0" borderId="2" xfId="22" quotePrefix="1" applyFont="1" applyBorder="1" applyAlignment="1">
      <alignment horizontal="right"/>
    </xf>
    <xf numFmtId="2" fontId="58" fillId="0" borderId="0" xfId="16" applyNumberFormat="1" applyFont="1" applyAlignment="1">
      <alignment horizontal="left" indent="3"/>
    </xf>
    <xf numFmtId="4" fontId="36" fillId="0" borderId="0" xfId="16" applyNumberFormat="1" applyFont="1" applyAlignment="1">
      <alignment horizontal="center"/>
    </xf>
    <xf numFmtId="38" fontId="35" fillId="11" borderId="0" xfId="16" quotePrefix="1" applyNumberFormat="1" applyFont="1" applyFill="1"/>
    <xf numFmtId="0" fontId="30" fillId="0" borderId="0" xfId="16" applyFont="1" applyAlignment="1">
      <alignment horizontal="right"/>
    </xf>
    <xf numFmtId="0" fontId="30" fillId="0" borderId="0" xfId="16" applyFont="1"/>
    <xf numFmtId="4" fontId="36" fillId="0" borderId="0" xfId="16" applyNumberFormat="1" applyFont="1" applyAlignment="1">
      <alignment horizontal="left"/>
    </xf>
    <xf numFmtId="38" fontId="36" fillId="0" borderId="0" xfId="16" quotePrefix="1" applyNumberFormat="1" applyFont="1"/>
    <xf numFmtId="7" fontId="36" fillId="0" borderId="0" xfId="16" applyNumberFormat="1" applyFont="1" applyAlignment="1">
      <alignment horizontal="center"/>
    </xf>
    <xf numFmtId="7" fontId="36" fillId="0" borderId="0" xfId="16" applyNumberFormat="1" applyFont="1"/>
    <xf numFmtId="7" fontId="36" fillId="0" borderId="3" xfId="16" applyNumberFormat="1" applyFont="1" applyBorder="1"/>
    <xf numFmtId="3" fontId="36" fillId="0" borderId="0" xfId="16" quotePrefix="1" applyNumberFormat="1" applyFont="1" applyAlignment="1">
      <alignment horizontal="center"/>
    </xf>
    <xf numFmtId="16" fontId="36" fillId="0" borderId="0" xfId="16" applyNumberFormat="1" applyFont="1"/>
    <xf numFmtId="168" fontId="36" fillId="0" borderId="0" xfId="16" applyNumberFormat="1" applyFont="1"/>
    <xf numFmtId="0" fontId="30" fillId="6" borderId="11" xfId="16" applyFont="1" applyFill="1" applyBorder="1" applyAlignment="1">
      <alignment horizontal="center"/>
    </xf>
    <xf numFmtId="0" fontId="36" fillId="6" borderId="11" xfId="16" applyFont="1" applyFill="1" applyBorder="1" applyAlignment="1">
      <alignment horizontal="center"/>
    </xf>
    <xf numFmtId="0" fontId="37" fillId="0" borderId="0" xfId="16" applyFont="1"/>
    <xf numFmtId="0" fontId="36" fillId="8" borderId="0" xfId="16" applyFont="1" applyFill="1"/>
    <xf numFmtId="0" fontId="36" fillId="8" borderId="0" xfId="16" applyFont="1" applyFill="1" applyAlignment="1">
      <alignment horizontal="left"/>
    </xf>
    <xf numFmtId="0" fontId="30" fillId="8" borderId="0" xfId="16" applyFont="1" applyFill="1"/>
    <xf numFmtId="43" fontId="36" fillId="8" borderId="0" xfId="20" applyFont="1" applyFill="1" applyBorder="1" applyAlignment="1"/>
    <xf numFmtId="0" fontId="35" fillId="0" borderId="0" xfId="16" applyFont="1" applyAlignment="1">
      <alignment horizontal="center"/>
    </xf>
    <xf numFmtId="43" fontId="35" fillId="0" borderId="3" xfId="20" applyFont="1" applyBorder="1" applyAlignment="1"/>
    <xf numFmtId="43" fontId="36" fillId="9" borderId="10" xfId="20" applyFont="1" applyFill="1" applyBorder="1" applyAlignment="1"/>
    <xf numFmtId="0" fontId="48" fillId="0" borderId="0" xfId="16" applyFont="1" applyAlignment="1">
      <alignment horizontal="right"/>
    </xf>
    <xf numFmtId="7" fontId="59" fillId="0" borderId="0" xfId="16" quotePrefix="1" applyNumberFormat="1" applyFont="1" applyAlignment="1">
      <alignment horizontal="center"/>
    </xf>
    <xf numFmtId="17" fontId="59" fillId="0" borderId="0" xfId="16" quotePrefix="1" applyNumberFormat="1" applyFont="1" applyAlignment="1">
      <alignment horizontal="center"/>
    </xf>
    <xf numFmtId="7" fontId="59" fillId="0" borderId="0" xfId="16" applyNumberFormat="1" applyFont="1" applyAlignment="1">
      <alignment horizontal="center"/>
    </xf>
    <xf numFmtId="2" fontId="48" fillId="0" borderId="0" xfId="16" quotePrefix="1" applyNumberFormat="1" applyFont="1" applyAlignment="1">
      <alignment horizontal="center"/>
    </xf>
    <xf numFmtId="0" fontId="60" fillId="0" borderId="0" xfId="16" quotePrefix="1" applyFont="1" applyAlignment="1">
      <alignment horizontal="center"/>
    </xf>
    <xf numFmtId="43" fontId="48" fillId="0" borderId="0" xfId="20" applyFont="1" applyFill="1" applyBorder="1" applyAlignment="1"/>
    <xf numFmtId="0" fontId="48" fillId="0" borderId="0" xfId="16" applyFont="1"/>
    <xf numFmtId="0" fontId="23" fillId="0" borderId="0" xfId="16" applyFont="1" applyAlignment="1">
      <alignment horizontal="left" vertical="center"/>
    </xf>
    <xf numFmtId="0" fontId="28" fillId="0" borderId="0" xfId="16" applyFont="1" applyAlignment="1">
      <alignment horizontal="left" vertical="center" wrapText="1"/>
    </xf>
    <xf numFmtId="0" fontId="61" fillId="0" borderId="0" xfId="14" applyFont="1" applyAlignment="1">
      <alignment horizontal="left"/>
    </xf>
    <xf numFmtId="0" fontId="1" fillId="0" borderId="0" xfId="14" applyAlignment="1">
      <alignment horizontal="center"/>
    </xf>
    <xf numFmtId="0" fontId="1" fillId="0" borderId="0" xfId="14"/>
    <xf numFmtId="43" fontId="0" fillId="0" borderId="0" xfId="15" applyFont="1"/>
    <xf numFmtId="43" fontId="61" fillId="0" borderId="0" xfId="20" applyFont="1"/>
    <xf numFmtId="43" fontId="1" fillId="0" borderId="0" xfId="20" applyFont="1"/>
    <xf numFmtId="0" fontId="62" fillId="0" borderId="0" xfId="14" applyFont="1"/>
    <xf numFmtId="43" fontId="63" fillId="0" borderId="0" xfId="15" applyFont="1"/>
    <xf numFmtId="0" fontId="34" fillId="0" borderId="0" xfId="14" applyFont="1"/>
    <xf numFmtId="0" fontId="34" fillId="0" borderId="0" xfId="14" applyFont="1" applyAlignment="1">
      <alignment horizontal="center"/>
    </xf>
    <xf numFmtId="43" fontId="64" fillId="0" borderId="0" xfId="15" applyFont="1" applyAlignment="1">
      <alignment horizontal="center"/>
    </xf>
    <xf numFmtId="43" fontId="65" fillId="0" borderId="0" xfId="20" applyFont="1" applyAlignment="1">
      <alignment horizontal="center"/>
    </xf>
    <xf numFmtId="43" fontId="34" fillId="0" borderId="0" xfId="20" applyFont="1" applyAlignment="1">
      <alignment horizontal="center"/>
    </xf>
    <xf numFmtId="0" fontId="34" fillId="0" borderId="0" xfId="14" applyFont="1" applyAlignment="1">
      <alignment horizontal="center" wrapText="1"/>
    </xf>
    <xf numFmtId="49" fontId="1" fillId="0" borderId="0" xfId="14" applyNumberFormat="1" applyAlignment="1">
      <alignment horizontal="center"/>
    </xf>
    <xf numFmtId="43" fontId="2" fillId="0" borderId="0" xfId="15" applyFont="1" applyAlignment="1">
      <alignment horizontal="center"/>
    </xf>
    <xf numFmtId="43" fontId="1" fillId="0" borderId="0" xfId="20" applyFont="1" applyAlignment="1">
      <alignment horizontal="center"/>
    </xf>
    <xf numFmtId="43" fontId="61" fillId="0" borderId="0" xfId="20" applyFont="1" applyAlignment="1">
      <alignment horizontal="center"/>
    </xf>
    <xf numFmtId="43" fontId="1" fillId="0" borderId="0" xfId="14" applyNumberFormat="1"/>
    <xf numFmtId="43" fontId="2" fillId="0" borderId="0" xfId="15" applyFont="1"/>
    <xf numFmtId="43" fontId="2" fillId="0" borderId="0" xfId="20" applyFont="1" applyFill="1"/>
    <xf numFmtId="43" fontId="0" fillId="0" borderId="0" xfId="15" applyFont="1" applyFill="1"/>
    <xf numFmtId="43" fontId="0" fillId="0" borderId="0" xfId="20" applyFont="1" applyFill="1"/>
    <xf numFmtId="43" fontId="61" fillId="0" borderId="0" xfId="20" applyFont="1" applyFill="1"/>
    <xf numFmtId="43" fontId="1" fillId="0" borderId="0" xfId="20" applyFont="1" applyFill="1"/>
    <xf numFmtId="43" fontId="2" fillId="0" borderId="0" xfId="15" applyFont="1" applyFill="1"/>
    <xf numFmtId="0" fontId="66" fillId="0" borderId="0" xfId="14" applyFont="1" applyAlignment="1">
      <alignment horizontal="center"/>
    </xf>
    <xf numFmtId="0" fontId="66" fillId="0" borderId="0" xfId="14" applyFont="1"/>
    <xf numFmtId="43" fontId="67" fillId="0" borderId="0" xfId="15" applyFont="1" applyFill="1"/>
    <xf numFmtId="0" fontId="33" fillId="0" borderId="0" xfId="14" applyFont="1" applyAlignment="1">
      <alignment horizontal="center"/>
    </xf>
    <xf numFmtId="0" fontId="33" fillId="0" borderId="0" xfId="14" applyFont="1"/>
    <xf numFmtId="43" fontId="67" fillId="0" borderId="0" xfId="15" applyFont="1"/>
    <xf numFmtId="43" fontId="67" fillId="0" borderId="0" xfId="20" applyFont="1" applyFill="1"/>
    <xf numFmtId="0" fontId="1" fillId="7" borderId="0" xfId="14" applyFill="1" applyAlignment="1">
      <alignment horizontal="center"/>
    </xf>
    <xf numFmtId="0" fontId="1" fillId="7" borderId="0" xfId="14" applyFill="1"/>
    <xf numFmtId="43" fontId="0" fillId="7" borderId="0" xfId="15" applyFont="1" applyFill="1"/>
    <xf numFmtId="43" fontId="2" fillId="7" borderId="0" xfId="15" applyFont="1" applyFill="1"/>
    <xf numFmtId="43" fontId="2" fillId="7" borderId="0" xfId="20" applyFont="1" applyFill="1"/>
    <xf numFmtId="43" fontId="0" fillId="7" borderId="0" xfId="20" applyFont="1" applyFill="1"/>
    <xf numFmtId="43" fontId="0" fillId="12" borderId="0" xfId="15" applyFont="1" applyFill="1"/>
    <xf numFmtId="43" fontId="2" fillId="12" borderId="0" xfId="15" applyFont="1" applyFill="1"/>
    <xf numFmtId="43" fontId="2" fillId="0" borderId="0" xfId="20" applyFont="1"/>
    <xf numFmtId="43" fontId="0" fillId="0" borderId="0" xfId="20" applyFont="1"/>
    <xf numFmtId="0" fontId="61" fillId="0" borderId="0" xfId="14" applyFont="1" applyAlignment="1">
      <alignment horizontal="right"/>
    </xf>
    <xf numFmtId="0" fontId="61" fillId="0" borderId="0" xfId="14" applyFont="1"/>
    <xf numFmtId="43" fontId="61" fillId="0" borderId="0" xfId="14" applyNumberFormat="1" applyFont="1"/>
    <xf numFmtId="43" fontId="67" fillId="0" borderId="0" xfId="20" applyFont="1"/>
    <xf numFmtId="43" fontId="1" fillId="0" borderId="0" xfId="14" applyNumberFormat="1" applyAlignment="1">
      <alignment horizontal="center"/>
    </xf>
    <xf numFmtId="43" fontId="5" fillId="0" borderId="3" xfId="1" applyFont="1" applyBorder="1"/>
    <xf numFmtId="44" fontId="5" fillId="0" borderId="0" xfId="2" applyNumberFormat="1" applyFont="1"/>
    <xf numFmtId="167" fontId="5" fillId="0" borderId="0" xfId="2" applyNumberFormat="1" applyFont="1"/>
    <xf numFmtId="165" fontId="5" fillId="0" borderId="0" xfId="3" applyFont="1" applyBorder="1"/>
    <xf numFmtId="165" fontId="5" fillId="0" borderId="9" xfId="2" applyNumberFormat="1" applyFont="1" applyBorder="1" applyAlignment="1">
      <alignment horizontal="right"/>
    </xf>
    <xf numFmtId="165" fontId="5" fillId="0" borderId="0" xfId="2" applyNumberFormat="1" applyFont="1"/>
    <xf numFmtId="165" fontId="5" fillId="0" borderId="10" xfId="2" applyNumberFormat="1" applyFont="1" applyBorder="1"/>
    <xf numFmtId="165" fontId="5" fillId="0" borderId="0" xfId="2" applyNumberFormat="1" applyFont="1" applyAlignment="1">
      <alignment horizontal="left"/>
    </xf>
    <xf numFmtId="182" fontId="11" fillId="2" borderId="3" xfId="1" applyNumberFormat="1" applyFont="1" applyFill="1" applyBorder="1" applyAlignment="1">
      <alignment horizontal="center"/>
    </xf>
    <xf numFmtId="2" fontId="5" fillId="0" borderId="0" xfId="2" applyNumberFormat="1" applyFont="1" applyAlignment="1">
      <alignment horizontal="right"/>
    </xf>
    <xf numFmtId="182" fontId="11" fillId="2" borderId="3" xfId="1" applyNumberFormat="1" applyFont="1" applyFill="1" applyBorder="1" applyAlignment="1">
      <alignment vertical="center"/>
    </xf>
    <xf numFmtId="43" fontId="1" fillId="0" borderId="0" xfId="1" applyFont="1" applyAlignment="1">
      <alignment horizontal="center"/>
    </xf>
    <xf numFmtId="43" fontId="39" fillId="0" borderId="0" xfId="16" applyNumberFormat="1" applyFont="1" applyAlignment="1">
      <alignment horizontal="center"/>
    </xf>
    <xf numFmtId="183" fontId="36" fillId="0" borderId="0" xfId="16" applyNumberFormat="1" applyFont="1"/>
    <xf numFmtId="183" fontId="36" fillId="0" borderId="4" xfId="16" applyNumberFormat="1" applyFont="1" applyBorder="1"/>
    <xf numFmtId="183" fontId="36" fillId="0" borderId="0" xfId="16" applyNumberFormat="1" applyFont="1" applyAlignment="1">
      <alignment horizontal="right"/>
    </xf>
    <xf numFmtId="4" fontId="35" fillId="11" borderId="3" xfId="16" applyNumberFormat="1" applyFont="1" applyFill="1" applyBorder="1" applyAlignment="1">
      <alignment horizontal="right"/>
    </xf>
    <xf numFmtId="43" fontId="36" fillId="2" borderId="0" xfId="20" applyFont="1" applyFill="1" applyBorder="1" applyAlignment="1"/>
    <xf numFmtId="43" fontId="39" fillId="0" borderId="0" xfId="17" applyFont="1" applyBorder="1"/>
    <xf numFmtId="43" fontId="1" fillId="12" borderId="0" xfId="1" applyFill="1" applyAlignment="1">
      <alignment horizontal="center"/>
    </xf>
    <xf numFmtId="0" fontId="40" fillId="0" borderId="15" xfId="16" applyFont="1" applyBorder="1" applyAlignment="1">
      <alignment horizontal="center"/>
    </xf>
    <xf numFmtId="0" fontId="39" fillId="0" borderId="0" xfId="16" applyFont="1" applyAlignment="1">
      <alignment horizontal="left"/>
    </xf>
    <xf numFmtId="1" fontId="68" fillId="0" borderId="0" xfId="16" quotePrefix="1" applyNumberFormat="1" applyFont="1" applyAlignment="1">
      <alignment horizontal="left"/>
    </xf>
    <xf numFmtId="1" fontId="40" fillId="0" borderId="0" xfId="16" quotePrefix="1" applyNumberFormat="1" applyFont="1"/>
    <xf numFmtId="43" fontId="39" fillId="0" borderId="0" xfId="20" applyFont="1"/>
    <xf numFmtId="0" fontId="40" fillId="0" borderId="0" xfId="16" quotePrefix="1" applyFont="1" applyAlignment="1">
      <alignment vertical="center"/>
    </xf>
    <xf numFmtId="1" fontId="41" fillId="0" borderId="0" xfId="16" quotePrefix="1" applyNumberFormat="1" applyFont="1" applyAlignment="1">
      <alignment horizontal="left"/>
    </xf>
    <xf numFmtId="1" fontId="39" fillId="0" borderId="0" xfId="16" applyNumberFormat="1" applyFont="1"/>
    <xf numFmtId="0" fontId="40" fillId="0" borderId="0" xfId="16" quotePrefix="1" applyFont="1" applyAlignment="1">
      <alignment horizontal="center"/>
    </xf>
    <xf numFmtId="43" fontId="40" fillId="0" borderId="0" xfId="20" quotePrefix="1" applyFont="1" applyFill="1" applyBorder="1" applyAlignment="1">
      <alignment horizontal="center"/>
    </xf>
    <xf numFmtId="0" fontId="40" fillId="0" borderId="0" xfId="16" quotePrefix="1" applyFont="1" applyAlignment="1">
      <alignment horizontal="left" indent="4"/>
    </xf>
    <xf numFmtId="1" fontId="39" fillId="0" borderId="0" xfId="16" applyNumberFormat="1" applyFont="1" applyAlignment="1">
      <alignment horizontal="center"/>
    </xf>
    <xf numFmtId="1" fontId="40" fillId="0" borderId="11" xfId="16" applyNumberFormat="1" applyFont="1" applyBorder="1" applyAlignment="1">
      <alignment horizontal="center"/>
    </xf>
    <xf numFmtId="1" fontId="40" fillId="0" borderId="15" xfId="16" applyNumberFormat="1" applyFont="1" applyBorder="1" applyAlignment="1">
      <alignment horizontal="center"/>
    </xf>
    <xf numFmtId="43" fontId="40" fillId="0" borderId="11" xfId="20" quotePrefix="1" applyFont="1" applyFill="1" applyBorder="1" applyAlignment="1">
      <alignment horizontal="center"/>
    </xf>
    <xf numFmtId="0" fontId="42" fillId="0" borderId="1" xfId="16" quotePrefix="1" applyFont="1" applyBorder="1" applyAlignment="1">
      <alignment horizontal="center"/>
    </xf>
    <xf numFmtId="0" fontId="40" fillId="6" borderId="0" xfId="16" applyFont="1" applyFill="1" applyAlignment="1">
      <alignment horizontal="center"/>
    </xf>
    <xf numFmtId="49" fontId="39" fillId="6" borderId="0" xfId="16" applyNumberFormat="1" applyFont="1" applyFill="1" applyAlignment="1">
      <alignment horizontal="center"/>
    </xf>
    <xf numFmtId="1" fontId="39" fillId="6" borderId="0" xfId="16" applyNumberFormat="1" applyFont="1" applyFill="1" applyAlignment="1">
      <alignment horizontal="left"/>
    </xf>
    <xf numFmtId="0" fontId="39" fillId="6" borderId="0" xfId="16" applyFont="1" applyFill="1" applyAlignment="1">
      <alignment horizontal="left"/>
    </xf>
    <xf numFmtId="43" fontId="39" fillId="6" borderId="0" xfId="2" applyNumberFormat="1" applyFont="1" applyFill="1"/>
    <xf numFmtId="43" fontId="40" fillId="6" borderId="0" xfId="20" quotePrefix="1" applyFont="1" applyFill="1" applyBorder="1" applyAlignment="1">
      <alignment horizontal="center"/>
    </xf>
    <xf numFmtId="0" fontId="70" fillId="5" borderId="18" xfId="16" quotePrefix="1" applyFont="1" applyFill="1" applyBorder="1" applyAlignment="1">
      <alignment horizontal="left"/>
    </xf>
    <xf numFmtId="1" fontId="40" fillId="0" borderId="0" xfId="16" applyNumberFormat="1" applyFont="1" applyAlignment="1">
      <alignment horizontal="center"/>
    </xf>
    <xf numFmtId="0" fontId="71" fillId="5" borderId="19" xfId="16" quotePrefix="1" applyFont="1" applyFill="1" applyBorder="1" applyAlignment="1">
      <alignment horizontal="left" indent="1"/>
    </xf>
    <xf numFmtId="0" fontId="70" fillId="5" borderId="19" xfId="16" quotePrefix="1" applyFont="1" applyFill="1" applyBorder="1" applyAlignment="1">
      <alignment horizontal="left" indent="1"/>
    </xf>
    <xf numFmtId="1" fontId="39" fillId="0" borderId="0" xfId="16" applyNumberFormat="1" applyFont="1" applyAlignment="1">
      <alignment horizontal="left"/>
    </xf>
    <xf numFmtId="43" fontId="39" fillId="0" borderId="0" xfId="2" applyNumberFormat="1" applyFont="1"/>
    <xf numFmtId="0" fontId="72" fillId="5" borderId="19" xfId="16" applyFont="1" applyFill="1" applyBorder="1"/>
    <xf numFmtId="0" fontId="71" fillId="5" borderId="19" xfId="16" quotePrefix="1" applyFont="1" applyFill="1" applyBorder="1" applyAlignment="1">
      <alignment horizontal="left"/>
    </xf>
    <xf numFmtId="1" fontId="39" fillId="6" borderId="0" xfId="2" applyNumberFormat="1" applyFont="1" applyFill="1" applyAlignment="1">
      <alignment horizontal="center"/>
    </xf>
    <xf numFmtId="1" fontId="39" fillId="6" borderId="0" xfId="2" applyNumberFormat="1" applyFont="1" applyFill="1"/>
    <xf numFmtId="43" fontId="45" fillId="6" borderId="0" xfId="20" applyFont="1" applyFill="1" applyBorder="1" applyAlignment="1"/>
    <xf numFmtId="43" fontId="45" fillId="0" borderId="0" xfId="20" applyFont="1"/>
    <xf numFmtId="0" fontId="39" fillId="6" borderId="0" xfId="16" quotePrefix="1" applyFont="1" applyFill="1" applyAlignment="1">
      <alignment horizontal="left" indent="1"/>
    </xf>
    <xf numFmtId="0" fontId="39" fillId="6" borderId="0" xfId="16" quotePrefix="1" applyFont="1" applyFill="1" applyAlignment="1">
      <alignment horizontal="left" vertical="center" indent="1"/>
    </xf>
    <xf numFmtId="0" fontId="71" fillId="5" borderId="20" xfId="16" quotePrefix="1" applyFont="1" applyFill="1" applyBorder="1" applyAlignment="1">
      <alignment horizontal="left" indent="2"/>
    </xf>
    <xf numFmtId="1" fontId="39" fillId="6" borderId="0" xfId="2" applyNumberFormat="1" applyFont="1" applyFill="1" applyAlignment="1">
      <alignment horizontal="left" indent="1"/>
    </xf>
    <xf numFmtId="49" fontId="39" fillId="6" borderId="0" xfId="2" applyNumberFormat="1" applyFont="1" applyFill="1" applyAlignment="1">
      <alignment horizontal="left" indent="1"/>
    </xf>
    <xf numFmtId="0" fontId="71" fillId="5" borderId="20" xfId="16" quotePrefix="1" applyFont="1" applyFill="1" applyBorder="1" applyAlignment="1">
      <alignment horizontal="left"/>
    </xf>
    <xf numFmtId="0" fontId="70" fillId="0" borderId="0" xfId="16" quotePrefix="1" applyFont="1" applyAlignment="1">
      <alignment horizontal="left" indent="1"/>
    </xf>
    <xf numFmtId="49" fontId="39" fillId="6" borderId="0" xfId="2" quotePrefix="1" applyNumberFormat="1" applyFont="1" applyFill="1" applyAlignment="1">
      <alignment horizontal="left" indent="1"/>
    </xf>
    <xf numFmtId="0" fontId="71" fillId="0" borderId="0" xfId="16" quotePrefix="1" applyFont="1" applyAlignment="1">
      <alignment horizontal="left" indent="2"/>
    </xf>
    <xf numFmtId="1" fontId="39" fillId="6" borderId="0" xfId="2" applyNumberFormat="1" applyFont="1" applyFill="1" applyAlignment="1">
      <alignment horizontal="right" indent="1"/>
    </xf>
    <xf numFmtId="0" fontId="71" fillId="0" borderId="0" xfId="16" quotePrefix="1" applyFont="1" applyAlignment="1">
      <alignment horizontal="left"/>
    </xf>
    <xf numFmtId="0" fontId="70" fillId="0" borderId="0" xfId="16" quotePrefix="1" applyFont="1" applyAlignment="1">
      <alignment horizontal="left"/>
    </xf>
    <xf numFmtId="43" fontId="70" fillId="0" borderId="0" xfId="16" quotePrefix="1" applyNumberFormat="1" applyFont="1" applyAlignment="1">
      <alignment horizontal="left" indent="1"/>
    </xf>
    <xf numFmtId="1" fontId="39" fillId="0" borderId="0" xfId="2" applyNumberFormat="1" applyFont="1" applyAlignment="1">
      <alignment horizontal="center"/>
    </xf>
    <xf numFmtId="1" fontId="39" fillId="0" borderId="0" xfId="2" applyNumberFormat="1" applyFont="1"/>
    <xf numFmtId="49" fontId="39" fillId="0" borderId="0" xfId="16" quotePrefix="1" applyNumberFormat="1" applyFont="1"/>
    <xf numFmtId="43" fontId="45" fillId="0" borderId="0" xfId="20" applyFont="1" applyFill="1" applyBorder="1" applyAlignment="1"/>
    <xf numFmtId="1" fontId="39" fillId="0" borderId="0" xfId="2" quotePrefix="1" applyNumberFormat="1" applyFont="1" applyAlignment="1">
      <alignment horizontal="right"/>
    </xf>
    <xf numFmtId="0" fontId="39" fillId="0" borderId="0" xfId="16" quotePrefix="1" applyFont="1" applyAlignment="1">
      <alignment horizontal="left" vertical="center" indent="1"/>
    </xf>
    <xf numFmtId="43" fontId="39" fillId="0" borderId="0" xfId="20" applyFont="1" applyFill="1" applyBorder="1" applyAlignment="1"/>
    <xf numFmtId="16" fontId="45" fillId="0" borderId="0" xfId="16" applyNumberFormat="1" applyFont="1"/>
    <xf numFmtId="1" fontId="39" fillId="0" borderId="0" xfId="2" applyNumberFormat="1" applyFont="1" applyAlignment="1">
      <alignment horizontal="left" indent="1"/>
    </xf>
    <xf numFmtId="49" fontId="39" fillId="0" borderId="0" xfId="16" quotePrefix="1" applyNumberFormat="1" applyFont="1" applyAlignment="1">
      <alignment horizontal="left" indent="1"/>
    </xf>
    <xf numFmtId="1" fontId="39" fillId="0" borderId="0" xfId="2" quotePrefix="1" applyNumberFormat="1" applyFont="1" applyAlignment="1">
      <alignment horizontal="right" indent="1"/>
    </xf>
    <xf numFmtId="49" fontId="39" fillId="0" borderId="0" xfId="2" quotePrefix="1" applyNumberFormat="1" applyFont="1" applyAlignment="1">
      <alignment horizontal="left" indent="1"/>
    </xf>
    <xf numFmtId="43" fontId="45" fillId="0" borderId="0" xfId="20" applyFont="1" applyFill="1"/>
    <xf numFmtId="49" fontId="39" fillId="6" borderId="0" xfId="16" quotePrefix="1" applyNumberFormat="1" applyFont="1" applyFill="1"/>
    <xf numFmtId="1" fontId="39" fillId="6" borderId="0" xfId="2" quotePrefix="1" applyNumberFormat="1" applyFont="1" applyFill="1" applyAlignment="1">
      <alignment horizontal="left"/>
    </xf>
    <xf numFmtId="1" fontId="39" fillId="0" borderId="0" xfId="2" quotePrefix="1" applyNumberFormat="1" applyFont="1" applyAlignment="1">
      <alignment horizontal="left"/>
    </xf>
    <xf numFmtId="49" fontId="39" fillId="6" borderId="0" xfId="16" quotePrefix="1" applyNumberFormat="1" applyFont="1" applyFill="1" applyAlignment="1">
      <alignment horizontal="left" indent="1"/>
    </xf>
    <xf numFmtId="43" fontId="39" fillId="0" borderId="0" xfId="20" applyFont="1" applyFill="1"/>
    <xf numFmtId="0" fontId="40" fillId="0" borderId="0" xfId="16" quotePrefix="1" applyFont="1" applyAlignment="1">
      <alignment horizontal="left" vertical="top"/>
    </xf>
    <xf numFmtId="43" fontId="45" fillId="6" borderId="0" xfId="2" applyNumberFormat="1" applyFont="1" applyFill="1"/>
    <xf numFmtId="0" fontId="39" fillId="0" borderId="0" xfId="16" quotePrefix="1" applyFont="1" applyAlignment="1">
      <alignment horizontal="left" vertical="top"/>
    </xf>
    <xf numFmtId="43" fontId="39" fillId="0" borderId="0" xfId="2" applyNumberFormat="1" applyFont="1" applyAlignment="1">
      <alignment vertical="center"/>
    </xf>
    <xf numFmtId="43" fontId="45" fillId="0" borderId="0" xfId="2" applyNumberFormat="1" applyFont="1"/>
    <xf numFmtId="1" fontId="39" fillId="6" borderId="0" xfId="20" applyNumberFormat="1" applyFont="1" applyFill="1" applyBorder="1" applyAlignment="1">
      <alignment horizontal="center"/>
    </xf>
    <xf numFmtId="1" fontId="39" fillId="6" borderId="0" xfId="20" quotePrefix="1" applyNumberFormat="1" applyFont="1" applyFill="1" applyBorder="1" applyAlignment="1">
      <alignment horizontal="left"/>
    </xf>
    <xf numFmtId="49" fontId="39" fillId="0" borderId="0" xfId="16" applyNumberFormat="1" applyFont="1"/>
    <xf numFmtId="43" fontId="45" fillId="0" borderId="0" xfId="20" applyFont="1" applyFill="1" applyAlignment="1"/>
    <xf numFmtId="43" fontId="39" fillId="0" borderId="9" xfId="16" applyNumberFormat="1" applyFont="1" applyBorder="1"/>
    <xf numFmtId="0" fontId="39" fillId="0" borderId="0" xfId="16" quotePrefix="1" applyFont="1" applyAlignment="1">
      <alignment horizontal="right"/>
    </xf>
    <xf numFmtId="0" fontId="39" fillId="0" borderId="0" xfId="16" quotePrefix="1" applyFont="1"/>
    <xf numFmtId="43" fontId="71" fillId="0" borderId="0" xfId="16" quotePrefix="1" applyNumberFormat="1" applyFont="1" applyAlignment="1">
      <alignment horizontal="left"/>
    </xf>
    <xf numFmtId="0" fontId="39" fillId="0" borderId="0" xfId="16" quotePrefix="1" applyFont="1" applyAlignment="1">
      <alignment vertical="center"/>
    </xf>
    <xf numFmtId="49" fontId="39" fillId="0" borderId="0" xfId="2" applyNumberFormat="1" applyFont="1"/>
    <xf numFmtId="43" fontId="45" fillId="0" borderId="0" xfId="20" applyFont="1" applyFill="1" applyBorder="1"/>
    <xf numFmtId="0" fontId="39" fillId="0" borderId="0" xfId="16" applyFont="1" applyAlignment="1">
      <alignment horizontal="right"/>
    </xf>
    <xf numFmtId="0" fontId="42" fillId="5" borderId="24" xfId="16" applyFont="1" applyFill="1" applyBorder="1"/>
    <xf numFmtId="0" fontId="40" fillId="5" borderId="2" xfId="16" quotePrefix="1" applyFont="1" applyFill="1" applyBorder="1" applyAlignment="1">
      <alignment horizontal="left"/>
    </xf>
    <xf numFmtId="0" fontId="42" fillId="5" borderId="25" xfId="16" applyFont="1" applyFill="1" applyBorder="1"/>
    <xf numFmtId="0" fontId="40" fillId="5" borderId="2" xfId="16" quotePrefix="1" applyFont="1" applyFill="1" applyBorder="1"/>
    <xf numFmtId="49" fontId="40" fillId="5" borderId="2" xfId="16" quotePrefix="1" applyNumberFormat="1" applyFont="1" applyFill="1" applyBorder="1"/>
    <xf numFmtId="49" fontId="40" fillId="5" borderId="25" xfId="16" quotePrefix="1" applyNumberFormat="1" applyFont="1" applyFill="1" applyBorder="1" applyAlignment="1">
      <alignment wrapText="1"/>
    </xf>
    <xf numFmtId="0" fontId="42" fillId="0" borderId="0" xfId="16" applyFont="1"/>
    <xf numFmtId="49" fontId="40" fillId="5" borderId="2" xfId="16" quotePrefix="1" applyNumberFormat="1" applyFont="1" applyFill="1" applyBorder="1" applyAlignment="1">
      <alignment horizontal="left" wrapText="1"/>
    </xf>
    <xf numFmtId="0" fontId="40" fillId="5" borderId="2" xfId="16" quotePrefix="1" applyFont="1" applyFill="1" applyBorder="1" applyAlignment="1">
      <alignment horizontal="left" indent="1"/>
    </xf>
    <xf numFmtId="0" fontId="40" fillId="5" borderId="25" xfId="16" quotePrefix="1" applyFont="1" applyFill="1" applyBorder="1" applyAlignment="1">
      <alignment vertical="top" wrapText="1"/>
    </xf>
    <xf numFmtId="0" fontId="40" fillId="5" borderId="27" xfId="16" applyFont="1" applyFill="1" applyBorder="1"/>
    <xf numFmtId="165" fontId="31" fillId="0" borderId="0" xfId="3" applyFont="1" applyBorder="1" applyAlignment="1">
      <alignment horizontal="center" wrapText="1"/>
    </xf>
    <xf numFmtId="43" fontId="31" fillId="6" borderId="0" xfId="1" applyFont="1" applyFill="1" applyAlignment="1">
      <alignment horizontal="left" indent="3"/>
    </xf>
    <xf numFmtId="2" fontId="31" fillId="0" borderId="0" xfId="2" applyNumberFormat="1" applyFont="1" applyAlignment="1">
      <alignment horizontal="right"/>
    </xf>
    <xf numFmtId="43" fontId="5" fillId="0" borderId="0" xfId="1" applyFont="1" applyAlignment="1">
      <alignment horizontal="right"/>
    </xf>
    <xf numFmtId="0" fontId="18" fillId="0" borderId="3" xfId="2" applyFont="1" applyBorder="1" applyAlignment="1">
      <alignment horizontal="center" wrapText="1"/>
    </xf>
    <xf numFmtId="4" fontId="32" fillId="0" borderId="0" xfId="2" applyNumberFormat="1" applyFont="1"/>
    <xf numFmtId="4" fontId="32" fillId="5" borderId="0" xfId="2" applyNumberFormat="1" applyFont="1" applyFill="1"/>
    <xf numFmtId="4" fontId="22" fillId="0" borderId="0" xfId="2" applyNumberFormat="1" applyFont="1"/>
    <xf numFmtId="172" fontId="5" fillId="0" borderId="0" xfId="1" applyNumberFormat="1" applyFont="1" applyBorder="1"/>
    <xf numFmtId="43" fontId="5" fillId="0" borderId="0" xfId="1" applyFont="1" applyBorder="1"/>
    <xf numFmtId="0" fontId="5" fillId="6" borderId="11" xfId="0" applyFont="1" applyFill="1" applyBorder="1" applyAlignment="1">
      <alignment horizontal="center"/>
    </xf>
    <xf numFmtId="0" fontId="15" fillId="0" borderId="0" xfId="0" applyFont="1"/>
    <xf numFmtId="43" fontId="5" fillId="0" borderId="3" xfId="1" applyFont="1" applyBorder="1" applyAlignment="1"/>
    <xf numFmtId="0" fontId="5" fillId="0" borderId="0" xfId="0" applyFont="1" applyAlignment="1">
      <alignment horizontal="left"/>
    </xf>
    <xf numFmtId="0" fontId="11" fillId="0" borderId="0" xfId="0" applyFont="1"/>
    <xf numFmtId="43" fontId="5" fillId="0" borderId="0" xfId="1" applyFont="1" applyBorder="1" applyAlignment="1"/>
    <xf numFmtId="0" fontId="5" fillId="8" borderId="0" xfId="0" applyFont="1" applyFill="1" applyAlignment="1">
      <alignment horizontal="left"/>
    </xf>
    <xf numFmtId="0" fontId="11" fillId="8" borderId="0" xfId="0" applyFont="1" applyFill="1"/>
    <xf numFmtId="43" fontId="5" fillId="8" borderId="0" xfId="1" applyFont="1" applyFill="1" applyBorder="1" applyAlignment="1"/>
    <xf numFmtId="43" fontId="31" fillId="0" borderId="3" xfId="1" applyFont="1" applyBorder="1" applyAlignment="1"/>
    <xf numFmtId="37" fontId="31" fillId="0" borderId="3" xfId="1" applyNumberFormat="1" applyFont="1" applyBorder="1" applyAlignment="1"/>
    <xf numFmtId="43" fontId="5" fillId="9" borderId="10" xfId="1" applyFont="1" applyFill="1" applyBorder="1" applyAlignment="1"/>
    <xf numFmtId="43" fontId="5" fillId="0" borderId="10" xfId="1" applyFont="1" applyBorder="1" applyAlignment="1"/>
    <xf numFmtId="168" fontId="5" fillId="0" borderId="0" xfId="0" applyNumberFormat="1" applyFont="1"/>
    <xf numFmtId="165" fontId="5" fillId="5" borderId="5" xfId="0" applyNumberFormat="1" applyFont="1" applyFill="1" applyBorder="1" applyAlignment="1">
      <alignment horizontal="right"/>
    </xf>
    <xf numFmtId="165" fontId="5" fillId="5" borderId="3" xfId="0" applyNumberFormat="1" applyFont="1" applyFill="1" applyBorder="1" applyAlignment="1">
      <alignment horizontal="right"/>
    </xf>
    <xf numFmtId="43" fontId="35" fillId="6" borderId="8" xfId="20" applyFont="1" applyFill="1" applyBorder="1" applyAlignment="1"/>
    <xf numFmtId="43" fontId="5" fillId="0" borderId="7" xfId="1" applyFont="1" applyBorder="1" applyAlignment="1">
      <alignment horizontal="right"/>
    </xf>
    <xf numFmtId="43" fontId="5" fillId="0" borderId="3" xfId="1" applyFont="1" applyBorder="1" applyAlignment="1">
      <alignment horizontal="right"/>
    </xf>
    <xf numFmtId="0" fontId="5" fillId="0" borderId="0" xfId="0" applyFont="1"/>
    <xf numFmtId="0" fontId="5" fillId="8" borderId="0" xfId="0" applyFont="1" applyFill="1"/>
    <xf numFmtId="0" fontId="31" fillId="0" borderId="0" xfId="0" applyFont="1" applyAlignment="1">
      <alignment horizontal="center"/>
    </xf>
    <xf numFmtId="0" fontId="30" fillId="14" borderId="0" xfId="0" applyFont="1" applyFill="1"/>
    <xf numFmtId="4" fontId="36" fillId="0" borderId="0" xfId="16" quotePrefix="1" applyNumberFormat="1" applyFont="1" applyAlignment="1">
      <alignment horizontal="left"/>
    </xf>
    <xf numFmtId="41" fontId="41" fillId="0" borderId="0" xfId="18" applyNumberFormat="1" applyFont="1" applyAlignment="1">
      <alignment horizontal="center"/>
    </xf>
    <xf numFmtId="0" fontId="39" fillId="6" borderId="0" xfId="16" applyFont="1" applyFill="1"/>
    <xf numFmtId="49" fontId="45" fillId="0" borderId="0" xfId="16" applyNumberFormat="1" applyFont="1" applyAlignment="1">
      <alignment horizontal="center"/>
    </xf>
    <xf numFmtId="49" fontId="39" fillId="10" borderId="0" xfId="16" applyNumberFormat="1" applyFont="1" applyFill="1" applyAlignment="1">
      <alignment horizontal="center"/>
    </xf>
    <xf numFmtId="0" fontId="41" fillId="6" borderId="0" xfId="16" applyFont="1" applyFill="1" applyAlignment="1">
      <alignment horizontal="center"/>
    </xf>
    <xf numFmtId="43" fontId="39" fillId="0" borderId="0" xfId="1" applyFont="1"/>
    <xf numFmtId="0" fontId="40" fillId="5" borderId="2" xfId="0" quotePrefix="1" applyFont="1" applyFill="1" applyBorder="1" applyAlignment="1">
      <alignment horizontal="left"/>
    </xf>
    <xf numFmtId="0" fontId="40" fillId="5" borderId="2" xfId="0" quotePrefix="1" applyFont="1" applyFill="1" applyBorder="1" applyAlignment="1">
      <alignment horizontal="left" indent="1"/>
    </xf>
    <xf numFmtId="0" fontId="40" fillId="5" borderId="2" xfId="0" quotePrefix="1" applyFont="1" applyFill="1" applyBorder="1" applyAlignment="1">
      <alignment horizontal="left" indent="2"/>
    </xf>
    <xf numFmtId="49" fontId="40" fillId="5" borderId="28" xfId="16" quotePrefix="1" applyNumberFormat="1" applyFont="1" applyFill="1" applyBorder="1" applyAlignment="1">
      <alignment horizontal="left"/>
    </xf>
    <xf numFmtId="49" fontId="42" fillId="5" borderId="29" xfId="16" quotePrefix="1" applyNumberFormat="1" applyFont="1" applyFill="1" applyBorder="1" applyAlignment="1">
      <alignment horizontal="center"/>
    </xf>
    <xf numFmtId="49" fontId="40" fillId="5" borderId="0" xfId="16" quotePrefix="1" applyNumberFormat="1" applyFont="1" applyFill="1" applyAlignment="1">
      <alignment horizontal="center"/>
    </xf>
    <xf numFmtId="49" fontId="42" fillId="5" borderId="0" xfId="16" quotePrefix="1" applyNumberFormat="1" applyFont="1" applyFill="1" applyAlignment="1">
      <alignment horizontal="center"/>
    </xf>
    <xf numFmtId="49" fontId="40" fillId="5" borderId="0" xfId="16" quotePrefix="1" applyNumberFormat="1" applyFont="1" applyFill="1" applyAlignment="1">
      <alignment wrapText="1"/>
    </xf>
    <xf numFmtId="0" fontId="40" fillId="5" borderId="0" xfId="16" quotePrefix="1" applyFont="1" applyFill="1" applyAlignment="1">
      <alignment vertical="top" wrapText="1"/>
    </xf>
    <xf numFmtId="0" fontId="40" fillId="5" borderId="0" xfId="0" quotePrefix="1" applyFont="1" applyFill="1" applyAlignment="1">
      <alignment vertical="top" wrapText="1"/>
    </xf>
    <xf numFmtId="0" fontId="40" fillId="5" borderId="26" xfId="0" quotePrefix="1" applyFont="1" applyFill="1" applyBorder="1" applyAlignment="1">
      <alignment horizontal="left" indent="2"/>
    </xf>
    <xf numFmtId="0" fontId="40" fillId="5" borderId="8" xfId="0" quotePrefix="1" applyFont="1" applyFill="1" applyBorder="1" applyAlignment="1">
      <alignment vertical="top" wrapText="1"/>
    </xf>
    <xf numFmtId="43" fontId="39" fillId="0" borderId="0" xfId="20" quotePrefix="1" applyFont="1" applyFill="1" applyBorder="1" applyAlignment="1">
      <alignment horizontal="center"/>
    </xf>
    <xf numFmtId="43" fontId="77" fillId="6" borderId="0" xfId="1" applyFont="1" applyFill="1" applyAlignment="1">
      <alignment horizontal="left" vertical="center" wrapText="1" indent="3"/>
    </xf>
    <xf numFmtId="43" fontId="35" fillId="0" borderId="0" xfId="20" applyFont="1" applyFill="1" applyBorder="1" applyAlignment="1"/>
    <xf numFmtId="43" fontId="36" fillId="13" borderId="0" xfId="1" applyFont="1" applyFill="1"/>
    <xf numFmtId="37" fontId="35" fillId="13" borderId="3" xfId="20" applyNumberFormat="1" applyFont="1" applyFill="1" applyBorder="1" applyAlignment="1"/>
    <xf numFmtId="41" fontId="36" fillId="11" borderId="0" xfId="20" applyNumberFormat="1" applyFont="1" applyFill="1" applyBorder="1" applyAlignment="1"/>
    <xf numFmtId="0" fontId="8" fillId="0" borderId="0" xfId="2" applyFont="1" applyAlignment="1">
      <alignment horizontal="right"/>
    </xf>
    <xf numFmtId="43" fontId="61" fillId="0" borderId="0" xfId="14" applyNumberFormat="1" applyFont="1" applyFill="1"/>
    <xf numFmtId="43" fontId="61" fillId="13" borderId="3" xfId="14" applyNumberFormat="1" applyFont="1" applyFill="1" applyBorder="1"/>
    <xf numFmtId="49" fontId="39" fillId="0" borderId="0" xfId="2" quotePrefix="1" applyNumberFormat="1" applyFont="1" applyFill="1" applyAlignment="1">
      <alignment horizontal="left" indent="1"/>
    </xf>
    <xf numFmtId="43" fontId="39" fillId="0" borderId="0" xfId="2" applyNumberFormat="1" applyFont="1" applyFill="1"/>
    <xf numFmtId="49" fontId="39" fillId="0" borderId="0" xfId="16" quotePrefix="1" applyNumberFormat="1" applyFont="1" applyFill="1" applyAlignment="1">
      <alignment horizontal="left" indent="1"/>
    </xf>
    <xf numFmtId="0" fontId="5" fillId="13" borderId="0" xfId="2" applyFont="1" applyFill="1"/>
    <xf numFmtId="0" fontId="7" fillId="13" borderId="0" xfId="2" applyFont="1" applyFill="1" applyAlignment="1">
      <alignment horizontal="center"/>
    </xf>
    <xf numFmtId="0" fontId="8" fillId="13" borderId="0" xfId="2" applyFont="1" applyFill="1" applyAlignment="1">
      <alignment horizontal="right"/>
    </xf>
    <xf numFmtId="0" fontId="80" fillId="7" borderId="3" xfId="23" applyFont="1" applyFill="1" applyBorder="1"/>
    <xf numFmtId="0" fontId="80" fillId="7" borderId="3" xfId="23" applyFont="1" applyFill="1" applyBorder="1" applyAlignment="1">
      <alignment horizontal="center" wrapText="1"/>
    </xf>
    <xf numFmtId="43" fontId="80" fillId="7" borderId="3" xfId="24" applyFont="1" applyFill="1" applyBorder="1" applyAlignment="1">
      <alignment horizontal="center" wrapText="1"/>
    </xf>
    <xf numFmtId="43" fontId="80" fillId="0" borderId="0" xfId="24" applyFont="1" applyFill="1" applyBorder="1" applyAlignment="1">
      <alignment horizontal="center" wrapText="1"/>
    </xf>
    <xf numFmtId="0" fontId="79" fillId="0" borderId="0" xfId="23"/>
    <xf numFmtId="0" fontId="44" fillId="0" borderId="0" xfId="23" applyFont="1"/>
    <xf numFmtId="43" fontId="44" fillId="0" borderId="0" xfId="24" applyFont="1"/>
    <xf numFmtId="43" fontId="0" fillId="0" borderId="0" xfId="24" applyFont="1"/>
    <xf numFmtId="0" fontId="80" fillId="7" borderId="3" xfId="0" applyFont="1" applyFill="1" applyBorder="1"/>
    <xf numFmtId="0" fontId="80" fillId="7" borderId="3" xfId="0" applyFont="1" applyFill="1" applyBorder="1" applyAlignment="1">
      <alignment horizontal="center" wrapText="1"/>
    </xf>
    <xf numFmtId="0" fontId="44" fillId="0" borderId="0" xfId="0" applyFont="1"/>
    <xf numFmtId="0" fontId="44" fillId="7" borderId="0" xfId="0" applyFont="1" applyFill="1"/>
    <xf numFmtId="43" fontId="44" fillId="7" borderId="0" xfId="24" applyFont="1" applyFill="1"/>
    <xf numFmtId="43" fontId="0" fillId="7" borderId="0" xfId="24" applyFont="1" applyFill="1"/>
    <xf numFmtId="0" fontId="80" fillId="7" borderId="3" xfId="0" applyFont="1" applyFill="1" applyBorder="1" applyAlignment="1">
      <alignment horizontal="center"/>
    </xf>
    <xf numFmtId="0" fontId="80" fillId="7" borderId="3" xfId="23" applyFont="1" applyFill="1" applyBorder="1" applyAlignment="1">
      <alignment horizontal="center"/>
    </xf>
    <xf numFmtId="0" fontId="7" fillId="0" borderId="0" xfId="2" quotePrefix="1" applyFont="1" applyAlignment="1">
      <alignment horizontal="left"/>
    </xf>
    <xf numFmtId="0" fontId="7" fillId="0" borderId="0" xfId="0" quotePrefix="1" applyFont="1" applyAlignment="1">
      <alignment horizontal="left"/>
    </xf>
    <xf numFmtId="0" fontId="7" fillId="0" borderId="0" xfId="0" quotePrefix="1" applyFont="1"/>
    <xf numFmtId="49" fontId="44" fillId="15" borderId="0" xfId="2" quotePrefix="1" applyNumberFormat="1" applyFont="1" applyFill="1" applyAlignment="1">
      <alignment horizontal="center" vertical="center"/>
    </xf>
    <xf numFmtId="177" fontId="44" fillId="15" borderId="0" xfId="2" applyNumberFormat="1" applyFont="1" applyFill="1"/>
    <xf numFmtId="177" fontId="44" fillId="15" borderId="0" xfId="2" quotePrefix="1" applyNumberFormat="1" applyFont="1" applyFill="1" applyAlignment="1">
      <alignment horizontal="left"/>
    </xf>
    <xf numFmtId="43" fontId="31" fillId="6" borderId="4" xfId="1" applyFont="1" applyFill="1" applyBorder="1" applyAlignment="1">
      <alignment horizontal="left" indent="3"/>
    </xf>
    <xf numFmtId="43" fontId="31" fillId="6" borderId="0" xfId="20" applyFont="1" applyFill="1" applyBorder="1" applyAlignment="1"/>
    <xf numFmtId="43" fontId="31" fillId="6" borderId="4" xfId="20" applyFont="1" applyFill="1" applyBorder="1" applyAlignment="1"/>
    <xf numFmtId="43" fontId="31" fillId="0" borderId="0" xfId="1" applyFont="1" applyBorder="1" applyAlignment="1">
      <alignment horizontal="right"/>
    </xf>
    <xf numFmtId="17" fontId="47" fillId="0" borderId="0" xfId="16" applyNumberFormat="1" applyFont="1"/>
    <xf numFmtId="0" fontId="79" fillId="0" borderId="0" xfId="23" applyAlignment="1">
      <alignment horizontal="right"/>
    </xf>
    <xf numFmtId="43" fontId="79" fillId="0" borderId="0" xfId="1" applyFont="1"/>
    <xf numFmtId="43" fontId="82" fillId="0" borderId="0" xfId="1" applyFont="1"/>
    <xf numFmtId="0" fontId="82" fillId="0" borderId="0" xfId="23" applyFont="1" applyAlignment="1">
      <alignment horizontal="right"/>
    </xf>
    <xf numFmtId="0" fontId="40" fillId="0" borderId="15" xfId="16" applyFont="1" applyBorder="1" applyAlignment="1">
      <alignment horizontal="center"/>
    </xf>
    <xf numFmtId="0" fontId="40" fillId="0" borderId="5" xfId="16" applyFont="1" applyBorder="1" applyAlignment="1">
      <alignment horizontal="center"/>
    </xf>
    <xf numFmtId="0" fontId="40" fillId="0" borderId="14" xfId="16" applyFont="1" applyBorder="1" applyAlignment="1">
      <alignment horizontal="center"/>
    </xf>
    <xf numFmtId="0" fontId="40" fillId="0" borderId="0" xfId="16" quotePrefix="1" applyFont="1" applyAlignment="1">
      <alignment horizontal="center"/>
    </xf>
    <xf numFmtId="0" fontId="42" fillId="0" borderId="21" xfId="16" quotePrefix="1" applyFont="1" applyBorder="1" applyAlignment="1">
      <alignment horizontal="center"/>
    </xf>
    <xf numFmtId="0" fontId="42" fillId="0" borderId="22" xfId="16" quotePrefix="1" applyFont="1" applyBorder="1" applyAlignment="1">
      <alignment horizontal="center"/>
    </xf>
    <xf numFmtId="0" fontId="42" fillId="0" borderId="23" xfId="16" quotePrefix="1" applyFont="1" applyBorder="1" applyAlignment="1">
      <alignment horizontal="center"/>
    </xf>
    <xf numFmtId="43" fontId="40" fillId="0" borderId="11" xfId="17" quotePrefix="1" applyFont="1" applyBorder="1" applyAlignment="1">
      <alignment horizontal="center"/>
    </xf>
    <xf numFmtId="0" fontId="40" fillId="0" borderId="11" xfId="16" quotePrefix="1" applyFont="1" applyBorder="1" applyAlignment="1">
      <alignment horizontal="center"/>
    </xf>
    <xf numFmtId="49" fontId="42" fillId="0" borderId="11" xfId="2" quotePrefix="1" applyNumberFormat="1" applyFont="1" applyBorder="1" applyAlignment="1">
      <alignment horizontal="center"/>
    </xf>
    <xf numFmtId="49" fontId="42" fillId="0" borderId="11" xfId="2" applyNumberFormat="1" applyFont="1" applyBorder="1" applyAlignment="1">
      <alignment horizontal="center"/>
    </xf>
    <xf numFmtId="0" fontId="5" fillId="5" borderId="0" xfId="0" applyFont="1" applyFill="1" applyAlignment="1">
      <alignment horizontal="left" indent="3"/>
    </xf>
    <xf numFmtId="0" fontId="5" fillId="0" borderId="0" xfId="2" applyFont="1" applyAlignment="1">
      <alignment horizontal="left" indent="3"/>
    </xf>
    <xf numFmtId="0" fontId="5" fillId="5" borderId="0" xfId="0" applyFont="1" applyFill="1" applyAlignment="1">
      <alignment horizontal="left"/>
    </xf>
    <xf numFmtId="0" fontId="5" fillId="5" borderId="5" xfId="0" applyFont="1" applyFill="1" applyBorder="1" applyAlignment="1">
      <alignment horizontal="left" wrapText="1" indent="3"/>
    </xf>
    <xf numFmtId="0" fontId="5" fillId="0" borderId="5" xfId="2" applyFont="1" applyBorder="1" applyAlignment="1">
      <alignment horizontal="left" wrapText="1" indent="3"/>
    </xf>
    <xf numFmtId="0" fontId="5" fillId="5" borderId="5" xfId="0" applyFont="1" applyFill="1" applyBorder="1" applyAlignment="1">
      <alignment horizontal="left" indent="3"/>
    </xf>
    <xf numFmtId="0" fontId="5" fillId="0" borderId="5" xfId="2" applyFont="1" applyBorder="1" applyAlignment="1">
      <alignment horizontal="left" indent="3"/>
    </xf>
    <xf numFmtId="0" fontId="5" fillId="5" borderId="3" xfId="0" applyFont="1" applyFill="1" applyBorder="1" applyAlignment="1">
      <alignment horizontal="left" indent="3"/>
    </xf>
    <xf numFmtId="0" fontId="5" fillId="0" borderId="3" xfId="2" applyFont="1" applyBorder="1" applyAlignment="1">
      <alignment horizontal="left" indent="3"/>
    </xf>
    <xf numFmtId="0" fontId="27" fillId="0" borderId="0" xfId="16" applyFont="1" applyAlignment="1">
      <alignment horizontal="left" vertical="center" wrapText="1"/>
    </xf>
    <xf numFmtId="0" fontId="28" fillId="0" borderId="0" xfId="16" applyFont="1" applyAlignment="1">
      <alignment horizontal="left" vertical="center" wrapText="1"/>
    </xf>
    <xf numFmtId="0" fontId="28" fillId="0" borderId="0" xfId="16" applyFont="1" applyAlignment="1">
      <alignment horizontal="left" vertical="center"/>
    </xf>
    <xf numFmtId="0" fontId="5" fillId="5" borderId="3" xfId="0" applyFont="1" applyFill="1" applyBorder="1" applyAlignment="1">
      <alignment horizontal="left" wrapText="1"/>
    </xf>
    <xf numFmtId="2" fontId="11" fillId="5" borderId="3" xfId="0" applyNumberFormat="1" applyFont="1" applyFill="1" applyBorder="1" applyAlignment="1">
      <alignment horizontal="center" wrapText="1"/>
    </xf>
    <xf numFmtId="2" fontId="11" fillId="5" borderId="3" xfId="0" applyNumberFormat="1" applyFont="1" applyFill="1" applyBorder="1" applyAlignment="1">
      <alignment horizontal="center"/>
    </xf>
    <xf numFmtId="0" fontId="5" fillId="0" borderId="3" xfId="2" applyFont="1" applyBorder="1" applyAlignment="1">
      <alignment horizontal="left" wrapText="1"/>
    </xf>
    <xf numFmtId="2" fontId="11" fillId="0" borderId="3" xfId="2" applyNumberFormat="1" applyFont="1" applyBorder="1" applyAlignment="1">
      <alignment horizontal="center" wrapText="1"/>
    </xf>
    <xf numFmtId="2" fontId="11" fillId="0" borderId="3" xfId="2" applyNumberFormat="1" applyFont="1" applyBorder="1" applyAlignment="1">
      <alignment horizontal="center"/>
    </xf>
    <xf numFmtId="0" fontId="23" fillId="0" borderId="0" xfId="16" applyFont="1" applyAlignment="1">
      <alignment horizontal="left" vertical="center" wrapText="1"/>
    </xf>
    <xf numFmtId="0" fontId="23" fillId="0" borderId="0" xfId="16" applyFont="1" applyAlignment="1">
      <alignment horizontal="left" vertical="center"/>
    </xf>
    <xf numFmtId="0" fontId="36" fillId="0" borderId="0" xfId="16" applyFont="1" applyAlignment="1">
      <alignment horizontal="right"/>
    </xf>
    <xf numFmtId="0" fontId="36" fillId="0" borderId="0" xfId="16" quotePrefix="1" applyFont="1" applyAlignment="1">
      <alignment horizontal="left"/>
    </xf>
    <xf numFmtId="0" fontId="36" fillId="0" borderId="0" xfId="16" applyFont="1" applyAlignment="1">
      <alignment horizontal="left"/>
    </xf>
    <xf numFmtId="0" fontId="36" fillId="0" borderId="0" xfId="16" applyFont="1" applyAlignment="1">
      <alignment horizontal="left" indent="2"/>
    </xf>
    <xf numFmtId="7" fontId="36" fillId="0" borderId="0" xfId="16" applyNumberFormat="1" applyFont="1" applyAlignment="1">
      <alignment horizontal="right"/>
    </xf>
    <xf numFmtId="0" fontId="36" fillId="4" borderId="3" xfId="16" applyFont="1" applyFill="1" applyBorder="1" applyAlignment="1">
      <alignment horizontal="center"/>
    </xf>
    <xf numFmtId="0" fontId="36" fillId="0" borderId="0" xfId="16" applyFont="1" applyAlignment="1">
      <alignment horizontal="center"/>
    </xf>
    <xf numFmtId="3" fontId="36" fillId="0" borderId="0" xfId="16" quotePrefix="1" applyNumberFormat="1" applyFont="1" applyAlignment="1">
      <alignment horizontal="center"/>
    </xf>
    <xf numFmtId="0" fontId="36" fillId="0" borderId="3" xfId="16" applyFont="1" applyBorder="1" applyAlignment="1">
      <alignment horizontal="center"/>
    </xf>
    <xf numFmtId="0" fontId="36" fillId="0" borderId="0" xfId="16" quotePrefix="1" applyFont="1" applyAlignment="1">
      <alignment horizontal="center"/>
    </xf>
    <xf numFmtId="0" fontId="36" fillId="0" borderId="4" xfId="16" applyFont="1" applyBorder="1" applyAlignment="1">
      <alignment horizontal="left" indent="2"/>
    </xf>
    <xf numFmtId="7" fontId="36" fillId="0" borderId="4" xfId="16" applyNumberFormat="1" applyFont="1" applyBorder="1" applyAlignment="1">
      <alignment horizontal="right"/>
    </xf>
    <xf numFmtId="2" fontId="58" fillId="0" borderId="0" xfId="16" applyNumberFormat="1" applyFont="1" applyAlignment="1">
      <alignment horizontal="left" indent="3"/>
    </xf>
    <xf numFmtId="4" fontId="36" fillId="0" borderId="0" xfId="16" quotePrefix="1" applyNumberFormat="1" applyFont="1" applyAlignment="1">
      <alignment horizontal="center"/>
    </xf>
    <xf numFmtId="0" fontId="49" fillId="0" borderId="0" xfId="16" quotePrefix="1" applyFont="1" applyAlignment="1">
      <alignment horizontal="right"/>
    </xf>
    <xf numFmtId="0" fontId="49" fillId="0" borderId="0" xfId="16" applyFont="1" applyAlignment="1">
      <alignment horizontal="right"/>
    </xf>
    <xf numFmtId="180" fontId="36" fillId="0" borderId="0" xfId="16" applyNumberFormat="1" applyFont="1"/>
    <xf numFmtId="180" fontId="36" fillId="0" borderId="10" xfId="16" applyNumberFormat="1" applyFont="1" applyBorder="1"/>
    <xf numFmtId="0" fontId="36" fillId="0" borderId="0" xfId="16" quotePrefix="1" applyFont="1" applyAlignment="1">
      <alignment horizontal="left" wrapText="1"/>
    </xf>
    <xf numFmtId="0" fontId="49" fillId="0" borderId="0" xfId="16" quotePrefix="1" applyFont="1" applyAlignment="1">
      <alignment horizontal="center"/>
    </xf>
    <xf numFmtId="0" fontId="48" fillId="0" borderId="4" xfId="16" applyFont="1" applyBorder="1" applyAlignment="1">
      <alignment horizontal="left" vertical="center" wrapText="1"/>
    </xf>
    <xf numFmtId="0" fontId="48" fillId="0" borderId="0" xfId="16" applyFont="1" applyAlignment="1">
      <alignment horizontal="left" vertical="center" wrapText="1"/>
    </xf>
    <xf numFmtId="164" fontId="36" fillId="0" borderId="0" xfId="16" applyNumberFormat="1" applyFont="1" applyAlignment="1">
      <alignment horizontal="center"/>
    </xf>
    <xf numFmtId="0" fontId="36" fillId="0" borderId="0" xfId="16" quotePrefix="1" applyFont="1" applyAlignment="1">
      <alignment horizontal="left" indent="2"/>
    </xf>
    <xf numFmtId="0" fontId="36" fillId="0" borderId="3" xfId="16" applyFont="1" applyBorder="1" applyAlignment="1">
      <alignment horizontal="left" wrapText="1"/>
    </xf>
    <xf numFmtId="0" fontId="36" fillId="0" borderId="4" xfId="16" applyFont="1" applyBorder="1" applyAlignment="1">
      <alignment horizontal="left"/>
    </xf>
    <xf numFmtId="0" fontId="36" fillId="0" borderId="0" xfId="16" applyFont="1" applyAlignment="1">
      <alignment horizontal="left" wrapText="1"/>
    </xf>
    <xf numFmtId="2" fontId="36" fillId="0" borderId="4" xfId="16" applyNumberFormat="1" applyFont="1" applyBorder="1" applyAlignment="1">
      <alignment horizontal="center"/>
    </xf>
    <xf numFmtId="0" fontId="36" fillId="0" borderId="3" xfId="16" quotePrefix="1" applyFont="1" applyBorder="1" applyAlignment="1">
      <alignment horizontal="center"/>
    </xf>
    <xf numFmtId="164" fontId="36" fillId="0" borderId="5" xfId="16" quotePrefix="1" applyNumberFormat="1" applyFont="1" applyBorder="1" applyAlignment="1">
      <alignment horizontal="center"/>
    </xf>
    <xf numFmtId="0" fontId="47" fillId="0" borderId="2" xfId="16" applyFont="1" applyBorder="1" applyAlignment="1">
      <alignment horizontal="left"/>
    </xf>
    <xf numFmtId="0" fontId="47" fillId="0" borderId="0" xfId="16" applyFont="1" applyAlignment="1">
      <alignment horizontal="left"/>
    </xf>
    <xf numFmtId="4" fontId="36" fillId="0" borderId="0" xfId="16" applyNumberFormat="1" applyFont="1"/>
    <xf numFmtId="4" fontId="47" fillId="0" borderId="0" xfId="16" applyNumberFormat="1" applyFont="1" applyAlignment="1">
      <alignment horizontal="left"/>
    </xf>
    <xf numFmtId="164" fontId="36" fillId="0" borderId="0" xfId="16" applyNumberFormat="1" applyFont="1" applyAlignment="1">
      <alignment horizontal="center" wrapText="1"/>
    </xf>
    <xf numFmtId="164" fontId="36" fillId="0" borderId="3" xfId="16" applyNumberFormat="1" applyFont="1" applyBorder="1" applyAlignment="1">
      <alignment horizontal="center" wrapText="1"/>
    </xf>
    <xf numFmtId="0" fontId="31" fillId="0" borderId="0" xfId="2" applyFont="1" applyAlignment="1">
      <alignment horizontal="left"/>
    </xf>
    <xf numFmtId="164" fontId="5" fillId="0" borderId="0" xfId="2" applyNumberFormat="1" applyFont="1" applyAlignment="1">
      <alignment horizontal="center"/>
    </xf>
    <xf numFmtId="164" fontId="73" fillId="0" borderId="0" xfId="2" applyNumberFormat="1" applyFont="1" applyAlignment="1">
      <alignment horizontal="center" wrapText="1"/>
    </xf>
    <xf numFmtId="0" fontId="4" fillId="0" borderId="2" xfId="2" applyFont="1" applyBorder="1" applyAlignment="1">
      <alignment horizontal="left"/>
    </xf>
    <xf numFmtId="0" fontId="4" fillId="0" borderId="0" xfId="2" applyFont="1" applyAlignment="1">
      <alignment horizontal="left"/>
    </xf>
    <xf numFmtId="4" fontId="5" fillId="0" borderId="0" xfId="2" applyNumberFormat="1" applyFont="1" applyAlignment="1">
      <alignment horizontal="left" indent="2"/>
    </xf>
    <xf numFmtId="4" fontId="5" fillId="0" borderId="0" xfId="2" applyNumberFormat="1" applyFont="1" applyAlignment="1">
      <alignment horizontal="left"/>
    </xf>
    <xf numFmtId="0" fontId="5" fillId="0" borderId="3" xfId="2" quotePrefix="1" applyFont="1" applyBorder="1" applyAlignment="1">
      <alignment horizontal="center"/>
    </xf>
    <xf numFmtId="0" fontId="3" fillId="0" borderId="0" xfId="2" quotePrefix="1" applyFont="1" applyAlignment="1">
      <alignment horizontal="center"/>
    </xf>
    <xf numFmtId="164" fontId="5" fillId="0" borderId="3" xfId="2" quotePrefix="1" applyNumberFormat="1" applyFont="1" applyBorder="1" applyAlignment="1">
      <alignment horizontal="center"/>
    </xf>
    <xf numFmtId="0" fontId="5" fillId="0" borderId="4" xfId="2" applyFont="1" applyBorder="1" applyAlignment="1">
      <alignment horizontal="left" indent="3"/>
    </xf>
    <xf numFmtId="2" fontId="5" fillId="0" borderId="4" xfId="2" applyNumberFormat="1" applyFont="1" applyBorder="1" applyAlignment="1">
      <alignment horizontal="center"/>
    </xf>
    <xf numFmtId="164" fontId="5" fillId="5" borderId="4" xfId="2" applyNumberFormat="1" applyFont="1" applyFill="1" applyBorder="1" applyAlignment="1">
      <alignment horizontal="center"/>
    </xf>
    <xf numFmtId="0" fontId="9" fillId="0" borderId="0" xfId="2" applyFont="1" applyAlignment="1">
      <alignment horizontal="center"/>
    </xf>
    <xf numFmtId="7" fontId="9" fillId="5" borderId="0" xfId="2" applyNumberFormat="1" applyFont="1" applyFill="1" applyAlignment="1">
      <alignment horizontal="center"/>
    </xf>
    <xf numFmtId="0" fontId="9" fillId="0" borderId="0" xfId="2" applyFont="1" applyAlignment="1">
      <alignment horizontal="left"/>
    </xf>
    <xf numFmtId="164" fontId="5" fillId="0" borderId="0" xfId="2" applyNumberFormat="1" applyFont="1" applyAlignment="1">
      <alignment horizontal="center" wrapText="1"/>
    </xf>
    <xf numFmtId="0" fontId="3" fillId="0" borderId="3" xfId="2" applyFont="1" applyBorder="1" applyAlignment="1">
      <alignment horizontal="center" wrapText="1"/>
    </xf>
    <xf numFmtId="164" fontId="5" fillId="0" borderId="3" xfId="2" applyNumberFormat="1" applyFont="1" applyBorder="1" applyAlignment="1">
      <alignment horizontal="center" wrapText="1"/>
    </xf>
    <xf numFmtId="2" fontId="5" fillId="0" borderId="0" xfId="2" applyNumberFormat="1" applyFont="1" applyAlignment="1">
      <alignment horizontal="center"/>
    </xf>
    <xf numFmtId="164" fontId="5" fillId="5" borderId="0" xfId="2" applyNumberFormat="1" applyFont="1" applyFill="1" applyAlignment="1">
      <alignment horizontal="center"/>
    </xf>
    <xf numFmtId="2" fontId="5" fillId="0" borderId="3" xfId="2" applyNumberFormat="1" applyFont="1" applyBorder="1" applyAlignment="1">
      <alignment horizontal="center"/>
    </xf>
    <xf numFmtId="164" fontId="5" fillId="5" borderId="3" xfId="2" applyNumberFormat="1" applyFont="1" applyFill="1" applyBorder="1" applyAlignment="1">
      <alignment horizontal="center"/>
    </xf>
    <xf numFmtId="0" fontId="5" fillId="0" borderId="4" xfId="2" applyFont="1" applyBorder="1" applyAlignment="1">
      <alignment horizontal="right"/>
    </xf>
    <xf numFmtId="2" fontId="13" fillId="0" borderId="3" xfId="2" applyNumberFormat="1" applyFont="1" applyBorder="1" applyAlignment="1">
      <alignment horizontal="center"/>
    </xf>
    <xf numFmtId="0" fontId="5" fillId="0" borderId="0" xfId="2" applyFont="1" applyAlignment="1">
      <alignment horizontal="right"/>
    </xf>
    <xf numFmtId="0" fontId="5" fillId="0" borderId="0" xfId="2" applyFont="1" applyAlignment="1">
      <alignment horizontal="left" wrapText="1"/>
    </xf>
    <xf numFmtId="0" fontId="5" fillId="0" borderId="0" xfId="2" applyFont="1" applyAlignment="1">
      <alignment horizontal="left"/>
    </xf>
    <xf numFmtId="0" fontId="5" fillId="0" borderId="0" xfId="2" applyFont="1" applyAlignment="1">
      <alignment horizontal="center"/>
    </xf>
    <xf numFmtId="0" fontId="5" fillId="0" borderId="3" xfId="2" applyFont="1" applyBorder="1" applyAlignment="1">
      <alignment horizontal="left"/>
    </xf>
    <xf numFmtId="2" fontId="3" fillId="0" borderId="3" xfId="2" applyNumberFormat="1" applyFont="1" applyBorder="1" applyAlignment="1">
      <alignment horizontal="center"/>
    </xf>
    <xf numFmtId="0" fontId="9" fillId="0" borderId="4" xfId="2" applyFont="1" applyBorder="1" applyAlignment="1">
      <alignment horizontal="left" vertical="center" wrapText="1" indent="3"/>
    </xf>
    <xf numFmtId="0" fontId="9" fillId="0" borderId="0" xfId="2" applyFont="1" applyAlignment="1">
      <alignment horizontal="left" vertical="center" wrapText="1" indent="3"/>
    </xf>
    <xf numFmtId="4" fontId="11" fillId="0" borderId="0" xfId="2" applyNumberFormat="1" applyFont="1" applyAlignment="1">
      <alignment horizontal="center" vertical="center" wrapText="1"/>
    </xf>
    <xf numFmtId="0" fontId="5" fillId="0" borderId="0" xfId="2" applyFont="1" applyAlignment="1">
      <alignment horizontal="left" indent="2"/>
    </xf>
    <xf numFmtId="169" fontId="13" fillId="0" borderId="0" xfId="2" applyNumberFormat="1" applyFont="1" applyAlignment="1">
      <alignment horizontal="left" indent="2"/>
    </xf>
    <xf numFmtId="0" fontId="23" fillId="5" borderId="0" xfId="0" applyFont="1" applyFill="1" applyAlignment="1">
      <alignment horizontal="left" wrapText="1"/>
    </xf>
    <xf numFmtId="0" fontId="23" fillId="5" borderId="0" xfId="0" applyFont="1" applyFill="1" applyAlignment="1">
      <alignment horizontal="left"/>
    </xf>
    <xf numFmtId="4" fontId="11" fillId="0" borderId="3" xfId="2" applyNumberFormat="1" applyFont="1" applyBorder="1" applyAlignment="1">
      <alignment horizontal="center" vertical="center" wrapText="1"/>
    </xf>
    <xf numFmtId="2" fontId="5" fillId="0" borderId="7" xfId="2" applyNumberFormat="1" applyFont="1" applyBorder="1" applyAlignment="1">
      <alignment horizontal="center"/>
    </xf>
    <xf numFmtId="0" fontId="5" fillId="5" borderId="0" xfId="0" applyFont="1" applyFill="1" applyAlignment="1">
      <alignment horizontal="right"/>
    </xf>
    <xf numFmtId="0" fontId="5" fillId="5" borderId="0" xfId="0" applyFont="1" applyFill="1" applyAlignment="1">
      <alignment horizontal="center"/>
    </xf>
    <xf numFmtId="3" fontId="5" fillId="5" borderId="0" xfId="0" quotePrefix="1" applyNumberFormat="1" applyFont="1" applyFill="1" applyAlignment="1">
      <alignment horizontal="center"/>
    </xf>
    <xf numFmtId="0" fontId="5" fillId="0" borderId="4" xfId="2" applyFont="1" applyBorder="1" applyAlignment="1">
      <alignment horizontal="left"/>
    </xf>
    <xf numFmtId="0" fontId="11" fillId="5" borderId="5" xfId="0" applyFont="1" applyFill="1" applyBorder="1" applyAlignment="1">
      <alignment horizontal="center"/>
    </xf>
    <xf numFmtId="0" fontId="5" fillId="5" borderId="3" xfId="0" applyFont="1" applyFill="1" applyBorder="1" applyAlignment="1">
      <alignment horizontal="center"/>
    </xf>
    <xf numFmtId="0" fontId="5" fillId="0" borderId="0" xfId="2" applyFont="1" applyAlignment="1">
      <alignment horizontal="left" wrapText="1" indent="2"/>
    </xf>
    <xf numFmtId="0" fontId="5" fillId="0" borderId="3" xfId="2" applyFont="1" applyBorder="1" applyAlignment="1">
      <alignment horizontal="center"/>
    </xf>
    <xf numFmtId="0" fontId="5" fillId="0" borderId="3" xfId="2" applyFont="1" applyBorder="1" applyAlignment="1">
      <alignment horizontal="center" wrapText="1"/>
    </xf>
    <xf numFmtId="7" fontId="5" fillId="5" borderId="0" xfId="0" applyNumberFormat="1" applyFont="1" applyFill="1" applyAlignment="1">
      <alignment horizontal="right"/>
    </xf>
    <xf numFmtId="7" fontId="5" fillId="5" borderId="4" xfId="0" applyNumberFormat="1" applyFont="1" applyFill="1" applyBorder="1" applyAlignment="1">
      <alignment horizontal="right"/>
    </xf>
    <xf numFmtId="0" fontId="11"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2" fontId="25" fillId="0" borderId="0" xfId="2" applyNumberFormat="1" applyFont="1" applyAlignment="1">
      <alignment horizontal="left" indent="6"/>
    </xf>
    <xf numFmtId="4" fontId="5" fillId="0" borderId="0" xfId="2" quotePrefix="1" applyNumberFormat="1" applyFont="1" applyAlignment="1">
      <alignment horizontal="center"/>
    </xf>
    <xf numFmtId="166" fontId="5" fillId="5" borderId="0" xfId="0" applyNumberFormat="1" applyFont="1" applyFill="1" applyAlignment="1">
      <alignment horizontal="center"/>
    </xf>
    <xf numFmtId="0" fontId="11" fillId="0" borderId="3" xfId="2" applyFont="1" applyBorder="1" applyAlignment="1">
      <alignment horizontal="center"/>
    </xf>
    <xf numFmtId="0" fontId="30" fillId="5" borderId="3" xfId="0" applyFont="1" applyFill="1" applyBorder="1" applyAlignment="1">
      <alignment horizontal="center"/>
    </xf>
    <xf numFmtId="0" fontId="11" fillId="0" borderId="3" xfId="1" applyNumberFormat="1" applyFont="1" applyFill="1" applyBorder="1" applyAlignment="1">
      <alignment horizontal="center"/>
    </xf>
    <xf numFmtId="170" fontId="5" fillId="5" borderId="2" xfId="6" applyFont="1" applyFill="1" applyBorder="1" applyAlignment="1">
      <alignment horizontal="right"/>
    </xf>
    <xf numFmtId="170" fontId="5" fillId="5" borderId="0" xfId="6" applyFont="1" applyFill="1" applyBorder="1" applyAlignment="1">
      <alignment horizontal="right"/>
    </xf>
    <xf numFmtId="2" fontId="25" fillId="5" borderId="0" xfId="0" applyNumberFormat="1" applyFont="1" applyFill="1" applyAlignment="1">
      <alignment horizontal="left" indent="6"/>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22" fillId="5" borderId="0" xfId="0" applyFont="1" applyFill="1" applyAlignment="1">
      <alignment horizontal="right"/>
    </xf>
    <xf numFmtId="0" fontId="22" fillId="5" borderId="0" xfId="0" applyFont="1" applyFill="1" applyAlignment="1">
      <alignment horizontal="center"/>
    </xf>
    <xf numFmtId="4" fontId="22" fillId="5" borderId="0" xfId="0" applyNumberFormat="1" applyFont="1" applyFill="1" applyAlignment="1">
      <alignment horizontal="left"/>
    </xf>
    <xf numFmtId="0" fontId="5" fillId="5" borderId="0" xfId="0" applyFont="1" applyFill="1" applyAlignment="1">
      <alignment horizontal="left" indent="2"/>
    </xf>
    <xf numFmtId="164" fontId="5" fillId="5" borderId="0" xfId="0" applyNumberFormat="1" applyFont="1" applyFill="1" applyAlignment="1">
      <alignment horizontal="right" wrapText="1"/>
    </xf>
    <xf numFmtId="4" fontId="22" fillId="5" borderId="0" xfId="0" applyNumberFormat="1" applyFont="1" applyFill="1" applyAlignment="1">
      <alignment horizontal="left" indent="1"/>
    </xf>
    <xf numFmtId="169" fontId="13" fillId="5" borderId="0" xfId="0" applyNumberFormat="1" applyFont="1" applyFill="1" applyAlignment="1">
      <alignment horizontal="left" indent="2"/>
    </xf>
    <xf numFmtId="0" fontId="5" fillId="5" borderId="0" xfId="0" applyFont="1" applyFill="1" applyAlignment="1">
      <alignment horizontal="left" wrapText="1"/>
    </xf>
    <xf numFmtId="0" fontId="5" fillId="5" borderId="0" xfId="0" applyFont="1" applyFill="1" applyAlignment="1">
      <alignment horizontal="left" wrapText="1" indent="2"/>
    </xf>
    <xf numFmtId="4" fontId="11" fillId="5" borderId="5" xfId="0" applyNumberFormat="1" applyFont="1" applyFill="1" applyBorder="1" applyAlignment="1">
      <alignment horizontal="center" vertical="center" wrapText="1"/>
    </xf>
    <xf numFmtId="4" fontId="11" fillId="5" borderId="6" xfId="0" applyNumberFormat="1" applyFont="1" applyFill="1" applyBorder="1" applyAlignment="1">
      <alignment horizontal="center" vertical="center" wrapText="1"/>
    </xf>
    <xf numFmtId="2" fontId="5" fillId="5" borderId="7" xfId="0" applyNumberFormat="1" applyFont="1" applyFill="1" applyBorder="1" applyAlignment="1">
      <alignment horizontal="center"/>
    </xf>
    <xf numFmtId="0" fontId="5" fillId="4" borderId="3" xfId="2" applyFont="1" applyFill="1" applyBorder="1" applyAlignment="1">
      <alignment horizontal="center"/>
    </xf>
    <xf numFmtId="3" fontId="5" fillId="0" borderId="0" xfId="2" quotePrefix="1" applyNumberFormat="1" applyFont="1" applyAlignment="1">
      <alignment horizontal="center"/>
    </xf>
    <xf numFmtId="7" fontId="5" fillId="0" borderId="4" xfId="2" applyNumberFormat="1" applyFont="1" applyBorder="1" applyAlignment="1">
      <alignment horizontal="right"/>
    </xf>
    <xf numFmtId="7" fontId="5" fillId="0" borderId="0" xfId="2" applyNumberFormat="1" applyFont="1" applyAlignment="1">
      <alignment horizontal="right"/>
    </xf>
    <xf numFmtId="0" fontId="23" fillId="0" borderId="0" xfId="2" applyFont="1" applyAlignment="1">
      <alignment horizontal="left"/>
    </xf>
    <xf numFmtId="164" fontId="5" fillId="5" borderId="0" xfId="0" applyNumberFormat="1" applyFont="1" applyFill="1" applyAlignment="1">
      <alignment horizontal="center"/>
    </xf>
    <xf numFmtId="2" fontId="30" fillId="5" borderId="5" xfId="0" applyNumberFormat="1" applyFont="1" applyFill="1" applyBorder="1" applyAlignment="1">
      <alignment horizontal="center"/>
    </xf>
    <xf numFmtId="164" fontId="5" fillId="5" borderId="3" xfId="0" applyNumberFormat="1" applyFont="1" applyFill="1" applyBorder="1" applyAlignment="1">
      <alignment horizontal="center"/>
    </xf>
    <xf numFmtId="0" fontId="5" fillId="5" borderId="4" xfId="0" applyFont="1" applyFill="1" applyBorder="1" applyAlignment="1">
      <alignment horizontal="right"/>
    </xf>
    <xf numFmtId="2" fontId="13" fillId="5" borderId="3" xfId="0" applyNumberFormat="1" applyFont="1" applyFill="1" applyBorder="1" applyAlignment="1">
      <alignment horizontal="center"/>
    </xf>
    <xf numFmtId="2" fontId="5" fillId="5" borderId="0" xfId="0" applyNumberFormat="1" applyFont="1" applyFill="1" applyAlignment="1">
      <alignment horizontal="center"/>
    </xf>
    <xf numFmtId="4" fontId="11" fillId="5" borderId="5" xfId="0" applyNumberFormat="1" applyFont="1" applyFill="1" applyBorder="1" applyAlignment="1">
      <alignment horizontal="center"/>
    </xf>
    <xf numFmtId="0" fontId="23" fillId="0" borderId="0" xfId="2" applyFont="1" applyAlignment="1">
      <alignment horizontal="left" wrapText="1"/>
    </xf>
    <xf numFmtId="0" fontId="5" fillId="5" borderId="3" xfId="0" applyFont="1" applyFill="1" applyBorder="1" applyAlignment="1">
      <alignment horizontal="left"/>
    </xf>
    <xf numFmtId="2" fontId="3" fillId="5" borderId="3" xfId="0" applyNumberFormat="1" applyFont="1" applyFill="1" applyBorder="1" applyAlignment="1">
      <alignment horizontal="center"/>
    </xf>
    <xf numFmtId="0" fontId="9" fillId="5" borderId="0" xfId="0" applyFont="1" applyFill="1" applyAlignment="1">
      <alignment horizontal="left" vertical="center" wrapText="1" indent="6"/>
    </xf>
    <xf numFmtId="4" fontId="11" fillId="5" borderId="3" xfId="0" applyNumberFormat="1" applyFont="1" applyFill="1" applyBorder="1" applyAlignment="1">
      <alignment horizontal="center" vertical="center" wrapText="1"/>
    </xf>
    <xf numFmtId="0" fontId="27" fillId="0" borderId="0" xfId="2" applyFont="1" applyAlignment="1">
      <alignment horizontal="left" wrapText="1"/>
    </xf>
    <xf numFmtId="0" fontId="28" fillId="0" borderId="0" xfId="2" applyFont="1" applyAlignment="1">
      <alignment horizontal="left" wrapText="1"/>
    </xf>
    <xf numFmtId="0" fontId="28" fillId="0" borderId="0" xfId="2" applyFont="1" applyAlignment="1">
      <alignment horizontal="left"/>
    </xf>
    <xf numFmtId="164" fontId="5" fillId="5" borderId="3" xfId="0" quotePrefix="1" applyNumberFormat="1" applyFont="1" applyFill="1" applyBorder="1" applyAlignment="1">
      <alignment horizontal="center"/>
    </xf>
    <xf numFmtId="0" fontId="5" fillId="5" borderId="4" xfId="0" applyFont="1" applyFill="1" applyBorder="1" applyAlignment="1">
      <alignment horizontal="left" indent="3"/>
    </xf>
    <xf numFmtId="164" fontId="5" fillId="5" borderId="4" xfId="0" applyNumberFormat="1" applyFont="1" applyFill="1" applyBorder="1" applyAlignment="1">
      <alignment horizontal="center"/>
    </xf>
    <xf numFmtId="2" fontId="11" fillId="5" borderId="5" xfId="2" applyNumberFormat="1" applyFont="1" applyFill="1" applyBorder="1" applyAlignment="1">
      <alignment horizontal="center"/>
    </xf>
    <xf numFmtId="166" fontId="5" fillId="0" borderId="0" xfId="2" applyNumberFormat="1" applyFont="1" applyAlignment="1">
      <alignment horizontal="center"/>
    </xf>
    <xf numFmtId="0" fontId="11" fillId="0" borderId="0" xfId="2" applyFont="1" applyAlignment="1">
      <alignment horizontal="center"/>
    </xf>
    <xf numFmtId="0" fontId="4" fillId="5" borderId="2" xfId="0" applyFont="1" applyFill="1" applyBorder="1" applyAlignment="1">
      <alignment horizontal="left"/>
    </xf>
    <xf numFmtId="0" fontId="4" fillId="5" borderId="0" xfId="0" applyFont="1" applyFill="1" applyAlignment="1">
      <alignment horizontal="left"/>
    </xf>
    <xf numFmtId="0" fontId="7" fillId="5" borderId="0" xfId="0" applyFont="1" applyFill="1" applyAlignment="1">
      <alignment horizontal="left"/>
    </xf>
    <xf numFmtId="4" fontId="5" fillId="5" borderId="0" xfId="0" applyNumberFormat="1" applyFont="1" applyFill="1" applyAlignment="1">
      <alignment horizontal="left" indent="2"/>
    </xf>
    <xf numFmtId="4" fontId="4" fillId="5" borderId="0" xfId="0" applyNumberFormat="1" applyFont="1" applyFill="1" applyAlignment="1">
      <alignment horizontal="left"/>
    </xf>
    <xf numFmtId="4" fontId="5" fillId="5" borderId="0" xfId="0" applyNumberFormat="1" applyFont="1" applyFill="1" applyAlignment="1">
      <alignment horizontal="left"/>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4" fontId="5" fillId="5" borderId="0" xfId="0" applyNumberFormat="1" applyFont="1" applyFill="1" applyAlignment="1">
      <alignment horizontal="center" wrapText="1"/>
    </xf>
    <xf numFmtId="0" fontId="3" fillId="5" borderId="3" xfId="0" applyFont="1" applyFill="1" applyBorder="1" applyAlignment="1">
      <alignment horizontal="center" wrapText="1"/>
    </xf>
    <xf numFmtId="164" fontId="5" fillId="5" borderId="3" xfId="0" applyNumberFormat="1" applyFont="1" applyFill="1" applyBorder="1" applyAlignment="1">
      <alignment horizontal="center" wrapText="1"/>
    </xf>
    <xf numFmtId="0" fontId="5" fillId="5" borderId="3" xfId="0" quotePrefix="1" applyFont="1" applyFill="1" applyBorder="1" applyAlignment="1">
      <alignment horizontal="center"/>
    </xf>
    <xf numFmtId="0" fontId="3" fillId="5" borderId="3" xfId="0" quotePrefix="1" applyFont="1" applyFill="1" applyBorder="1" applyAlignment="1">
      <alignment horizontal="center"/>
    </xf>
    <xf numFmtId="164" fontId="5" fillId="0" borderId="0" xfId="2" applyNumberFormat="1" applyFont="1" applyAlignment="1">
      <alignment horizontal="right" wrapText="1"/>
    </xf>
    <xf numFmtId="4" fontId="22" fillId="0" borderId="0" xfId="2" applyNumberFormat="1" applyFont="1" applyAlignment="1">
      <alignment horizontal="left"/>
    </xf>
    <xf numFmtId="43" fontId="11" fillId="0" borderId="3" xfId="2" applyNumberFormat="1" applyFont="1" applyBorder="1" applyAlignment="1">
      <alignment horizontal="center"/>
    </xf>
    <xf numFmtId="1" fontId="11" fillId="0" borderId="3" xfId="2" applyNumberFormat="1" applyFont="1" applyBorder="1" applyAlignment="1">
      <alignment horizontal="center"/>
    </xf>
    <xf numFmtId="43" fontId="13" fillId="0" borderId="3" xfId="1" applyFont="1" applyBorder="1" applyAlignment="1">
      <alignment horizontal="center"/>
    </xf>
    <xf numFmtId="164" fontId="74" fillId="5" borderId="0" xfId="0" applyNumberFormat="1" applyFont="1" applyFill="1" applyAlignment="1">
      <alignment horizontal="right"/>
    </xf>
    <xf numFmtId="2" fontId="11" fillId="0" borderId="3" xfId="1" applyNumberFormat="1" applyFont="1" applyFill="1" applyBorder="1" applyAlignment="1">
      <alignment horizontal="center"/>
    </xf>
    <xf numFmtId="4" fontId="32" fillId="0" borderId="0" xfId="2" applyNumberFormat="1" applyFont="1" applyAlignment="1">
      <alignment horizontal="left" indent="1"/>
    </xf>
    <xf numFmtId="43" fontId="11" fillId="0" borderId="3" xfId="1" applyFont="1" applyFill="1" applyBorder="1" applyAlignment="1">
      <alignment horizontal="center"/>
    </xf>
    <xf numFmtId="165" fontId="5" fillId="0" borderId="0" xfId="2" applyNumberFormat="1" applyFont="1" applyAlignment="1">
      <alignment horizontal="left" indent="2"/>
    </xf>
    <xf numFmtId="165" fontId="5" fillId="0" borderId="0" xfId="2" applyNumberFormat="1" applyFont="1" applyAlignment="1">
      <alignment horizontal="center"/>
    </xf>
    <xf numFmtId="165" fontId="5" fillId="0" borderId="0" xfId="2" applyNumberFormat="1" applyFont="1" applyAlignment="1">
      <alignment horizontal="left"/>
    </xf>
    <xf numFmtId="165" fontId="5" fillId="0" borderId="0" xfId="2" applyNumberFormat="1" applyFont="1" applyAlignment="1">
      <alignment horizontal="right"/>
    </xf>
    <xf numFmtId="166" fontId="5" fillId="5" borderId="0" xfId="0" applyNumberFormat="1" applyFont="1" applyFill="1" applyAlignment="1">
      <alignment horizontal="left" indent="2"/>
    </xf>
  </cellXfs>
  <cellStyles count="25">
    <cellStyle name="Comma" xfId="1" builtinId="3"/>
    <cellStyle name="Comma 2" xfId="7" xr:uid="{A77AAC65-6ABC-4BD7-B4E4-E8C6EA87404E}"/>
    <cellStyle name="Comma 2 2" xfId="20" xr:uid="{E2538F31-FAEE-410C-AF2B-5F50FABAC09B}"/>
    <cellStyle name="Comma 3" xfId="15" xr:uid="{E12AE131-F748-46E9-B13D-002899C3BEBA}"/>
    <cellStyle name="Comma 3 8" xfId="8" xr:uid="{DD14EDE5-9F57-4335-8F7B-31D969EC9681}"/>
    <cellStyle name="Comma 4" xfId="17" xr:uid="{C67BBFE0-F8BA-4FA9-B2E2-B5F9B888CB9F}"/>
    <cellStyle name="Comma 5" xfId="24" xr:uid="{CCFD2768-ADAE-4494-9668-03FF36050254}"/>
    <cellStyle name="Comma_charter school revenue frame" xfId="6" xr:uid="{54A18062-2B6E-435D-9591-679221AA979E}"/>
    <cellStyle name="Comma_charter school revenue frame 2" xfId="22" xr:uid="{881D83CA-369D-4FF1-8828-1DD9606B6256}"/>
    <cellStyle name="Currency 2" xfId="4" xr:uid="{049B6946-81A6-4654-9DB7-D984AC16F1BF}"/>
    <cellStyle name="Currency 2 8" xfId="9" xr:uid="{EBE2B08F-1A54-4FF2-9D8F-8BC80D7B785F}"/>
    <cellStyle name="Currency_charter school revenue frame" xfId="3" xr:uid="{3B48E0E5-2BEF-49BA-8437-CEC3897C6086}"/>
    <cellStyle name="Currency_charter school revenue frame 2" xfId="21" xr:uid="{2307F5FA-701B-4A97-B3FB-462A24E87172}"/>
    <cellStyle name="Normal" xfId="0" builtinId="0"/>
    <cellStyle name="Normal 2" xfId="2" xr:uid="{AF2D144A-E667-4245-AF28-F226C3B3204D}"/>
    <cellStyle name="Normal 2 2" xfId="11" xr:uid="{CE1E0F82-DC65-4709-9150-11DA8DAD6052}"/>
    <cellStyle name="Normal 2 2 2" xfId="18" xr:uid="{86E235BA-E09F-40BE-8B3D-693563FEDECB}"/>
    <cellStyle name="Normal 2 3" xfId="10" xr:uid="{B0EC3044-EB83-4D47-95A1-A611DC2B1103}"/>
    <cellStyle name="Normal 3" xfId="14" xr:uid="{8C037667-6869-4A85-886F-D0E1318975F9}"/>
    <cellStyle name="Normal 3 8" xfId="12" xr:uid="{1B25DA00-62E1-4173-AE38-4ADD75ADC081}"/>
    <cellStyle name="Normal 4" xfId="16" xr:uid="{FCA7D7F8-2C47-4643-A907-38A516636C11}"/>
    <cellStyle name="Normal 5" xfId="23" xr:uid="{039F2D1D-1439-4D92-A96F-2903684CE684}"/>
    <cellStyle name="Percent 2" xfId="5" xr:uid="{5229ADFB-D40A-4B60-9737-6A11FF83C6E0}"/>
    <cellStyle name="Percent 3" xfId="19" xr:uid="{6227FAB4-7B4E-431E-8FC9-D4621A766CA4}"/>
    <cellStyle name="Percent 3 8" xfId="13" xr:uid="{9DF5C671-750A-41AF-AD37-8977655559A3}"/>
  </cellStyles>
  <dxfs count="18">
    <dxf>
      <fill>
        <patternFill>
          <bgColor theme="0" tint="-0.14996795556505021"/>
        </patternFill>
      </fill>
    </dxf>
    <dxf>
      <fill>
        <patternFill>
          <bgColor theme="0" tint="-0.14996795556505021"/>
        </patternFill>
      </fill>
    </dxf>
    <dxf>
      <fill>
        <patternFill>
          <bgColor rgb="FFFFFF66"/>
        </patternFill>
      </fill>
    </dxf>
    <dxf>
      <fill>
        <patternFill>
          <bgColor theme="0" tint="-0.14996795556505021"/>
        </patternFill>
      </fill>
    </dxf>
    <dxf>
      <fill>
        <patternFill>
          <bgColor rgb="FFFFFF66"/>
        </patternFill>
      </fill>
    </dxf>
    <dxf>
      <fill>
        <patternFill>
          <bgColor theme="0" tint="-0.14996795556505021"/>
        </patternFill>
      </fill>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
      <font>
        <b/>
        <i val="0"/>
        <color rgb="FFFF0000"/>
      </font>
    </dxf>
    <dxf>
      <font>
        <color theme="0"/>
      </font>
    </dxf>
    <dxf>
      <font>
        <b/>
        <i val="0"/>
        <color rgb="FFFF0000"/>
      </font>
    </dxf>
    <dxf>
      <font>
        <color theme="0"/>
      </font>
    </dxf>
    <dxf>
      <font>
        <color theme="0"/>
      </font>
    </dxf>
    <dxf>
      <font>
        <color theme="0"/>
      </font>
    </dxf>
  </dxfs>
  <tableStyles count="0" defaultTableStyle="TableStyleMedium2" defaultPivotStyle="PivotStyleLight16"/>
  <colors>
    <mruColors>
      <color rgb="FF0000FF"/>
      <color rgb="FFFF9F9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sheetMetadata" Target="metadata.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053C-4D73-4891-A977-B0EA2A4A890D}">
  <sheetPr>
    <pageSetUpPr fitToPage="1"/>
  </sheetPr>
  <dimension ref="A1:O557"/>
  <sheetViews>
    <sheetView tabSelected="1" workbookViewId="0">
      <selection activeCell="I51" sqref="I51"/>
    </sheetView>
  </sheetViews>
  <sheetFormatPr defaultColWidth="9.140625" defaultRowHeight="12.75" customHeight="1" x14ac:dyDescent="0.2"/>
  <cols>
    <col min="1" max="1" width="3" style="251" bestFit="1" customWidth="1"/>
    <col min="2" max="2" width="7.28515625" style="251" customWidth="1"/>
    <col min="3" max="3" width="41" style="251" customWidth="1"/>
    <col min="4" max="4" width="21.85546875" style="251" customWidth="1"/>
    <col min="5" max="5" width="14.42578125" style="251" customWidth="1"/>
    <col min="6" max="6" width="12.140625" style="539" bestFit="1" customWidth="1"/>
    <col min="7" max="7" width="21.42578125" style="251" customWidth="1"/>
    <col min="8" max="8" width="4.28515625" style="539" customWidth="1"/>
    <col min="9" max="9" width="75.7109375" style="251" bestFit="1" customWidth="1"/>
    <col min="10" max="10" width="9.5703125" style="251" bestFit="1" customWidth="1"/>
    <col min="11" max="16384" width="9.140625" style="251"/>
  </cols>
  <sheetData>
    <row r="1" spans="1:9" ht="12.75" customHeight="1" x14ac:dyDescent="0.2">
      <c r="A1" s="536"/>
      <c r="B1" s="537" t="s">
        <v>576</v>
      </c>
      <c r="C1" s="538"/>
      <c r="I1" s="540"/>
    </row>
    <row r="2" spans="1:9" ht="12.75" customHeight="1" x14ac:dyDescent="0.2">
      <c r="B2" s="541" t="str">
        <f>Based_on_the_Second_Calculation_of_the_FEFP_2010_11</f>
        <v>Based on the 2025-26 Third Calculation Worksheet</v>
      </c>
      <c r="C2" s="542"/>
      <c r="E2" s="543"/>
      <c r="F2" s="544"/>
      <c r="G2" s="543"/>
      <c r="I2" s="545"/>
    </row>
    <row r="3" spans="1:9" ht="12.75" customHeight="1" thickBot="1" x14ac:dyDescent="0.25">
      <c r="B3" s="546"/>
      <c r="C3" s="542"/>
      <c r="E3" s="543"/>
      <c r="F3" s="729"/>
      <c r="G3" s="729"/>
      <c r="I3" s="545"/>
    </row>
    <row r="4" spans="1:9" ht="12.75" customHeight="1" thickBot="1" x14ac:dyDescent="0.25">
      <c r="A4" s="252"/>
      <c r="B4" s="547" t="s">
        <v>482</v>
      </c>
      <c r="C4" s="548" t="s">
        <v>483</v>
      </c>
      <c r="D4" s="535" t="s">
        <v>484</v>
      </c>
      <c r="E4" s="263" t="s">
        <v>54</v>
      </c>
      <c r="F4" s="549" t="s">
        <v>485</v>
      </c>
      <c r="G4" s="263" t="s">
        <v>486</v>
      </c>
      <c r="I4" s="550" t="s">
        <v>487</v>
      </c>
    </row>
    <row r="5" spans="1:9" ht="12.75" customHeight="1" x14ac:dyDescent="0.2">
      <c r="A5" s="551">
        <v>1</v>
      </c>
      <c r="B5" s="552" t="s">
        <v>207</v>
      </c>
      <c r="C5" s="553" t="s">
        <v>208</v>
      </c>
      <c r="D5" s="554" t="s">
        <v>577</v>
      </c>
      <c r="E5" s="555">
        <f>'0040'!$J$124</f>
        <v>6720.22</v>
      </c>
      <c r="F5" s="556"/>
      <c r="G5" s="555">
        <f>SUBTOTAL(109,E5:F7)</f>
        <v>6720.22</v>
      </c>
      <c r="I5" s="557"/>
    </row>
    <row r="6" spans="1:9" ht="12.75" hidden="1" customHeight="1" x14ac:dyDescent="0.2">
      <c r="A6" s="260"/>
      <c r="B6" s="546"/>
      <c r="C6" s="558"/>
      <c r="D6" s="536" t="s">
        <v>489</v>
      </c>
      <c r="E6" s="260"/>
      <c r="F6" s="680"/>
      <c r="G6" s="260"/>
      <c r="I6" s="559"/>
    </row>
    <row r="7" spans="1:9" ht="12.75" hidden="1" customHeight="1" x14ac:dyDescent="0.2">
      <c r="A7" s="260"/>
      <c r="B7" s="546"/>
      <c r="C7" s="558"/>
      <c r="D7" s="252"/>
      <c r="E7" s="260"/>
      <c r="F7" s="544"/>
      <c r="G7" s="260"/>
      <c r="I7" s="560" t="s">
        <v>488</v>
      </c>
    </row>
    <row r="8" spans="1:9" ht="12.75" customHeight="1" x14ac:dyDescent="0.2">
      <c r="A8" s="551">
        <v>2</v>
      </c>
      <c r="B8" s="552" t="s">
        <v>547</v>
      </c>
      <c r="C8" s="553" t="s">
        <v>548</v>
      </c>
      <c r="D8" s="554" t="str">
        <f>D5</f>
        <v>FTE May 2026</v>
      </c>
      <c r="E8" s="555">
        <f>'0571'!$J$124</f>
        <v>264162.62</v>
      </c>
      <c r="F8" s="556"/>
      <c r="G8" s="555">
        <f>SUBTOTAL(109,E8:F8)</f>
        <v>264162.62</v>
      </c>
      <c r="I8" s="560"/>
    </row>
    <row r="9" spans="1:9" ht="12.75" hidden="1" customHeight="1" x14ac:dyDescent="0.2">
      <c r="A9" s="260"/>
      <c r="B9" s="254"/>
      <c r="C9" s="561"/>
      <c r="D9" s="536"/>
      <c r="E9" s="562"/>
      <c r="F9" s="544"/>
      <c r="G9" s="562"/>
      <c r="I9" s="560"/>
    </row>
    <row r="10" spans="1:9" ht="12.75" customHeight="1" x14ac:dyDescent="0.2">
      <c r="A10" s="260">
        <v>3</v>
      </c>
      <c r="B10" s="254" t="s">
        <v>209</v>
      </c>
      <c r="C10" s="561" t="s">
        <v>328</v>
      </c>
      <c r="D10" s="536" t="str">
        <f>D5</f>
        <v>FTE May 2026</v>
      </c>
      <c r="E10" s="562">
        <f>'0100'!$J$124</f>
        <v>153765.41</v>
      </c>
      <c r="F10" s="544"/>
      <c r="G10" s="562">
        <f>SUBTOTAL(109,E10:F12)</f>
        <v>153765.41</v>
      </c>
      <c r="I10" s="563"/>
    </row>
    <row r="11" spans="1:9" ht="12.75" hidden="1" customHeight="1" x14ac:dyDescent="0.2">
      <c r="A11" s="260"/>
      <c r="B11" s="546"/>
      <c r="C11" s="558"/>
      <c r="D11" s="252" t="s">
        <v>489</v>
      </c>
      <c r="E11" s="260"/>
      <c r="F11" s="680"/>
      <c r="G11" s="260"/>
      <c r="I11" s="563"/>
    </row>
    <row r="12" spans="1:9" ht="12.75" hidden="1" customHeight="1" x14ac:dyDescent="0.2">
      <c r="A12" s="260"/>
      <c r="B12" s="558"/>
      <c r="C12" s="558"/>
      <c r="D12" s="260"/>
      <c r="E12" s="260"/>
      <c r="F12" s="544"/>
      <c r="G12" s="260"/>
      <c r="I12" s="559"/>
    </row>
    <row r="13" spans="1:9" ht="12.75" hidden="1" customHeight="1" x14ac:dyDescent="0.2">
      <c r="A13" s="260"/>
      <c r="B13" s="558"/>
      <c r="C13" s="558"/>
      <c r="D13" s="260"/>
      <c r="E13" s="260"/>
      <c r="F13" s="544"/>
      <c r="G13" s="260"/>
      <c r="I13" s="564"/>
    </row>
    <row r="14" spans="1:9" s="310" customFormat="1" ht="13.5" customHeight="1" x14ac:dyDescent="0.2">
      <c r="A14" s="551">
        <v>4</v>
      </c>
      <c r="B14" s="565" t="s">
        <v>211</v>
      </c>
      <c r="C14" s="566" t="s">
        <v>212</v>
      </c>
      <c r="D14" s="554" t="str">
        <f>D5</f>
        <v>FTE May 2026</v>
      </c>
      <c r="E14" s="555">
        <f>'1461'!$J$124</f>
        <v>587865.11</v>
      </c>
      <c r="F14" s="567"/>
      <c r="G14" s="555">
        <f>SUBTOTAL(109,E14:F55)</f>
        <v>474263.41000000003</v>
      </c>
      <c r="H14" s="568"/>
      <c r="I14" s="564"/>
    </row>
    <row r="15" spans="1:9" s="310" customFormat="1" ht="12.75" hidden="1" customHeight="1" x14ac:dyDescent="0.2">
      <c r="A15" s="551"/>
      <c r="B15" s="565"/>
      <c r="C15" s="566"/>
      <c r="D15" s="569" t="s">
        <v>489</v>
      </c>
      <c r="E15" s="555"/>
      <c r="F15" s="567"/>
      <c r="G15" s="555"/>
      <c r="H15" s="568"/>
      <c r="I15" s="560" t="s">
        <v>488</v>
      </c>
    </row>
    <row r="16" spans="1:9" s="310" customFormat="1" ht="12.75" hidden="1" customHeight="1" x14ac:dyDescent="0.2">
      <c r="A16" s="551"/>
      <c r="B16" s="565"/>
      <c r="C16" s="566"/>
      <c r="D16" s="570" t="s">
        <v>490</v>
      </c>
      <c r="E16" s="555"/>
      <c r="F16" s="567"/>
      <c r="G16" s="555"/>
      <c r="H16" s="568"/>
      <c r="I16" s="560"/>
    </row>
    <row r="17" spans="1:9" s="310" customFormat="1" ht="12.75" hidden="1" customHeight="1" x14ac:dyDescent="0.2">
      <c r="A17" s="551"/>
      <c r="B17" s="565"/>
      <c r="C17" s="566"/>
      <c r="D17" s="569" t="s">
        <v>491</v>
      </c>
      <c r="E17" s="555"/>
      <c r="F17" s="567"/>
      <c r="G17" s="555"/>
      <c r="H17" s="568"/>
      <c r="I17" s="560"/>
    </row>
    <row r="18" spans="1:9" s="310" customFormat="1" ht="12.75" hidden="1" customHeight="1" thickBot="1" x14ac:dyDescent="0.25">
      <c r="A18" s="551"/>
      <c r="B18" s="565"/>
      <c r="C18" s="566"/>
      <c r="D18" s="569" t="s">
        <v>492</v>
      </c>
      <c r="E18" s="555"/>
      <c r="F18" s="567"/>
      <c r="G18" s="555"/>
      <c r="H18" s="568"/>
      <c r="I18" s="571"/>
    </row>
    <row r="19" spans="1:9" s="310" customFormat="1" ht="12.75" hidden="1" customHeight="1" x14ac:dyDescent="0.2">
      <c r="A19" s="551"/>
      <c r="B19" s="565"/>
      <c r="C19" s="566"/>
      <c r="D19" s="569" t="s">
        <v>493</v>
      </c>
      <c r="E19" s="555"/>
      <c r="F19" s="567"/>
      <c r="G19" s="555"/>
      <c r="H19" s="568"/>
      <c r="I19" s="559"/>
    </row>
    <row r="20" spans="1:9" s="310" customFormat="1" ht="12.75" hidden="1" customHeight="1" x14ac:dyDescent="0.2">
      <c r="A20" s="551"/>
      <c r="B20" s="565"/>
      <c r="C20" s="566"/>
      <c r="D20" s="569" t="s">
        <v>494</v>
      </c>
      <c r="E20" s="555"/>
      <c r="F20" s="567"/>
      <c r="G20" s="555"/>
      <c r="H20" s="568"/>
      <c r="I20" s="564"/>
    </row>
    <row r="21" spans="1:9" s="310" customFormat="1" ht="12.75" customHeight="1" thickBot="1" x14ac:dyDescent="0.25">
      <c r="A21" s="551"/>
      <c r="B21" s="565"/>
      <c r="C21" s="572"/>
      <c r="D21" s="573" t="s">
        <v>495</v>
      </c>
      <c r="E21" s="555"/>
      <c r="F21" s="567">
        <v>-97617.78</v>
      </c>
      <c r="G21" s="555"/>
      <c r="H21" s="568"/>
      <c r="I21" s="574"/>
    </row>
    <row r="22" spans="1:9" s="310" customFormat="1" ht="12.75" customHeight="1" x14ac:dyDescent="0.2">
      <c r="A22" s="551"/>
      <c r="B22" s="565"/>
      <c r="C22" s="572"/>
      <c r="D22" s="573" t="s">
        <v>496</v>
      </c>
      <c r="E22" s="555"/>
      <c r="F22" s="567">
        <v>-14222.22</v>
      </c>
      <c r="G22" s="555"/>
      <c r="H22" s="568"/>
    </row>
    <row r="23" spans="1:9" s="310" customFormat="1" ht="12.75" customHeight="1" x14ac:dyDescent="0.2">
      <c r="A23" s="551"/>
      <c r="B23" s="565"/>
      <c r="C23" s="572"/>
      <c r="D23" s="573" t="s">
        <v>497</v>
      </c>
      <c r="E23" s="555"/>
      <c r="F23" s="567">
        <v>-264.72000000000003</v>
      </c>
      <c r="G23" s="555"/>
      <c r="H23" s="568"/>
      <c r="I23" s="575"/>
    </row>
    <row r="24" spans="1:9" s="310" customFormat="1" ht="12.75" customHeight="1" x14ac:dyDescent="0.2">
      <c r="A24" s="551"/>
      <c r="B24" s="565"/>
      <c r="C24" s="572"/>
      <c r="D24" s="576" t="s">
        <v>498</v>
      </c>
      <c r="E24" s="555"/>
      <c r="F24" s="567">
        <v>-94.48</v>
      </c>
      <c r="G24" s="555"/>
      <c r="H24" s="568"/>
      <c r="I24" s="575"/>
    </row>
    <row r="25" spans="1:9" s="310" customFormat="1" ht="12.75" customHeight="1" x14ac:dyDescent="0.2">
      <c r="A25" s="551"/>
      <c r="B25" s="565"/>
      <c r="C25" s="572"/>
      <c r="D25" s="573" t="s">
        <v>499</v>
      </c>
      <c r="E25" s="555"/>
      <c r="F25" s="567">
        <v>-90</v>
      </c>
      <c r="G25" s="555"/>
      <c r="H25" s="568"/>
      <c r="I25" s="577"/>
    </row>
    <row r="26" spans="1:9" s="310" customFormat="1" ht="12.75" hidden="1" customHeight="1" x14ac:dyDescent="0.2">
      <c r="A26" s="551"/>
      <c r="B26" s="565"/>
      <c r="C26" s="578" t="s">
        <v>500</v>
      </c>
      <c r="D26" s="576" t="s">
        <v>501</v>
      </c>
      <c r="E26" s="555"/>
      <c r="F26" s="567"/>
      <c r="G26" s="555"/>
      <c r="H26" s="568"/>
      <c r="I26" s="577"/>
    </row>
    <row r="27" spans="1:9" s="310" customFormat="1" ht="12.75" hidden="1" customHeight="1" x14ac:dyDescent="0.2">
      <c r="A27" s="551"/>
      <c r="B27" s="565"/>
      <c r="C27" s="572"/>
      <c r="D27" s="576" t="s">
        <v>502</v>
      </c>
      <c r="E27" s="555"/>
      <c r="F27" s="567"/>
      <c r="G27" s="555"/>
      <c r="H27" s="568"/>
      <c r="I27" s="579"/>
    </row>
    <row r="28" spans="1:9" s="310" customFormat="1" ht="12.75" hidden="1" customHeight="1" x14ac:dyDescent="0.2">
      <c r="A28" s="551"/>
      <c r="B28" s="565"/>
      <c r="C28" s="572"/>
      <c r="D28" s="576"/>
      <c r="E28" s="555"/>
      <c r="F28" s="567"/>
      <c r="G28" s="555"/>
      <c r="H28" s="568"/>
      <c r="I28" s="579"/>
    </row>
    <row r="29" spans="1:9" s="310" customFormat="1" ht="12.75" hidden="1" customHeight="1" x14ac:dyDescent="0.2">
      <c r="A29" s="551"/>
      <c r="B29" s="565"/>
      <c r="C29" s="572"/>
      <c r="D29" s="576"/>
      <c r="E29" s="555"/>
      <c r="F29" s="567"/>
      <c r="G29" s="555"/>
      <c r="H29" s="568"/>
      <c r="I29" s="579"/>
    </row>
    <row r="30" spans="1:9" s="310" customFormat="1" ht="12.75" hidden="1" customHeight="1" x14ac:dyDescent="0.2">
      <c r="A30" s="551"/>
      <c r="B30" s="565"/>
      <c r="C30" s="572"/>
      <c r="D30" s="576" t="s">
        <v>503</v>
      </c>
      <c r="E30" s="555"/>
      <c r="F30" s="567"/>
      <c r="G30" s="555"/>
      <c r="H30" s="568"/>
      <c r="I30" s="580"/>
    </row>
    <row r="31" spans="1:9" s="310" customFormat="1" ht="12.75" hidden="1" customHeight="1" x14ac:dyDescent="0.2">
      <c r="A31" s="551"/>
      <c r="B31" s="565"/>
      <c r="C31" s="572"/>
      <c r="D31" s="576" t="s">
        <v>504</v>
      </c>
      <c r="E31" s="555"/>
      <c r="F31" s="567"/>
      <c r="G31" s="555"/>
      <c r="H31" s="568"/>
      <c r="I31" s="575"/>
    </row>
    <row r="32" spans="1:9" s="310" customFormat="1" ht="12.75" hidden="1" customHeight="1" x14ac:dyDescent="0.2">
      <c r="A32" s="551"/>
      <c r="B32" s="565"/>
      <c r="C32" s="572"/>
      <c r="D32" s="576" t="s">
        <v>505</v>
      </c>
      <c r="E32" s="555"/>
      <c r="F32" s="567"/>
      <c r="G32" s="555"/>
      <c r="H32" s="568"/>
      <c r="I32" s="580"/>
    </row>
    <row r="33" spans="1:9" s="310" customFormat="1" ht="12.75" hidden="1" customHeight="1" x14ac:dyDescent="0.2">
      <c r="A33" s="551"/>
      <c r="B33" s="565"/>
      <c r="C33" s="572"/>
      <c r="D33" s="576" t="s">
        <v>506</v>
      </c>
      <c r="E33" s="555"/>
      <c r="F33" s="567"/>
      <c r="G33" s="555"/>
      <c r="H33" s="568"/>
      <c r="I33" s="575"/>
    </row>
    <row r="34" spans="1:9" s="310" customFormat="1" ht="12.75" hidden="1" customHeight="1" x14ac:dyDescent="0.2">
      <c r="A34" s="551"/>
      <c r="B34" s="565"/>
      <c r="C34" s="572"/>
      <c r="D34" s="576"/>
      <c r="E34" s="555"/>
      <c r="F34" s="567"/>
      <c r="G34" s="555"/>
      <c r="H34" s="568"/>
    </row>
    <row r="35" spans="1:9" s="310" customFormat="1" ht="12.75" hidden="1" customHeight="1" x14ac:dyDescent="0.2">
      <c r="A35" s="551"/>
      <c r="B35" s="565"/>
      <c r="C35" s="572"/>
      <c r="D35" s="576"/>
      <c r="E35" s="555"/>
      <c r="F35" s="567"/>
      <c r="G35" s="555"/>
      <c r="H35" s="568"/>
      <c r="I35" s="575"/>
    </row>
    <row r="36" spans="1:9" s="310" customFormat="1" ht="12.75" hidden="1" customHeight="1" x14ac:dyDescent="0.2">
      <c r="A36" s="551"/>
      <c r="B36" s="565"/>
      <c r="C36" s="572"/>
      <c r="D36" s="576" t="s">
        <v>507</v>
      </c>
      <c r="E36" s="555"/>
      <c r="F36" s="567"/>
      <c r="G36" s="555"/>
      <c r="H36" s="568"/>
      <c r="I36" s="575"/>
    </row>
    <row r="37" spans="1:9" s="310" customFormat="1" ht="12.75" hidden="1" customHeight="1" x14ac:dyDescent="0.2">
      <c r="A37" s="551"/>
      <c r="B37" s="565"/>
      <c r="C37" s="572"/>
      <c r="D37" s="576" t="s">
        <v>508</v>
      </c>
      <c r="E37" s="555"/>
      <c r="F37" s="567"/>
      <c r="G37" s="555"/>
      <c r="H37" s="568"/>
      <c r="I37" s="575"/>
    </row>
    <row r="38" spans="1:9" s="310" customFormat="1" ht="12.75" hidden="1" customHeight="1" x14ac:dyDescent="0.2">
      <c r="A38" s="551"/>
      <c r="B38" s="565"/>
      <c r="C38" s="572"/>
      <c r="D38" s="576"/>
      <c r="E38" s="555"/>
      <c r="F38" s="567"/>
      <c r="G38" s="555"/>
      <c r="H38" s="568"/>
      <c r="I38" s="581"/>
    </row>
    <row r="39" spans="1:9" s="310" customFormat="1" ht="12.75" hidden="1" customHeight="1" x14ac:dyDescent="0.2">
      <c r="A39" s="551"/>
      <c r="B39" s="565"/>
      <c r="C39" s="572"/>
      <c r="D39" s="576" t="s">
        <v>553</v>
      </c>
      <c r="E39" s="555"/>
      <c r="F39" s="567"/>
      <c r="G39" s="555"/>
      <c r="H39" s="568"/>
      <c r="I39" s="581"/>
    </row>
    <row r="40" spans="1:9" s="310" customFormat="1" ht="12.75" hidden="1" customHeight="1" x14ac:dyDescent="0.2">
      <c r="A40" s="551"/>
      <c r="B40" s="565"/>
      <c r="C40" s="572"/>
      <c r="D40" s="576" t="s">
        <v>554</v>
      </c>
      <c r="E40" s="555"/>
      <c r="F40" s="567"/>
      <c r="G40" s="555"/>
      <c r="H40" s="568"/>
      <c r="I40" s="581"/>
    </row>
    <row r="41" spans="1:9" s="310" customFormat="1" ht="12.75" hidden="1" customHeight="1" x14ac:dyDescent="0.2">
      <c r="A41" s="551"/>
      <c r="B41" s="565"/>
      <c r="C41" s="572"/>
      <c r="D41" s="576" t="s">
        <v>555</v>
      </c>
      <c r="E41" s="555"/>
      <c r="F41" s="567"/>
      <c r="G41" s="555"/>
      <c r="H41" s="568"/>
      <c r="I41" s="581"/>
    </row>
    <row r="42" spans="1:9" s="310" customFormat="1" ht="12.75" hidden="1" customHeight="1" x14ac:dyDescent="0.2">
      <c r="A42" s="551"/>
      <c r="B42" s="565"/>
      <c r="C42" s="572"/>
      <c r="D42" s="576" t="s">
        <v>556</v>
      </c>
      <c r="E42" s="555"/>
      <c r="F42" s="567"/>
      <c r="G42" s="555"/>
      <c r="H42" s="568"/>
      <c r="I42" s="581"/>
    </row>
    <row r="43" spans="1:9" s="310" customFormat="1" ht="12.75" hidden="1" customHeight="1" x14ac:dyDescent="0.2">
      <c r="A43" s="551"/>
      <c r="B43" s="565"/>
      <c r="C43" s="572"/>
      <c r="D43" s="576" t="s">
        <v>557</v>
      </c>
      <c r="E43" s="555"/>
      <c r="F43" s="567"/>
      <c r="G43" s="555"/>
      <c r="H43" s="568"/>
      <c r="I43" s="581"/>
    </row>
    <row r="44" spans="1:9" s="310" customFormat="1" ht="12.75" hidden="1" customHeight="1" x14ac:dyDescent="0.2">
      <c r="A44" s="551"/>
      <c r="B44" s="565"/>
      <c r="C44" s="572"/>
      <c r="D44" s="576" t="s">
        <v>558</v>
      </c>
      <c r="E44" s="555"/>
      <c r="F44" s="567"/>
      <c r="G44" s="555"/>
      <c r="H44" s="568"/>
      <c r="I44" s="581"/>
    </row>
    <row r="45" spans="1:9" s="310" customFormat="1" ht="12.75" hidden="1" customHeight="1" x14ac:dyDescent="0.2">
      <c r="A45" s="551"/>
      <c r="B45" s="565"/>
      <c r="C45" s="572"/>
      <c r="D45" s="576" t="s">
        <v>559</v>
      </c>
      <c r="E45" s="555"/>
      <c r="F45" s="567"/>
      <c r="G45" s="555"/>
      <c r="H45" s="568"/>
      <c r="I45" s="581"/>
    </row>
    <row r="46" spans="1:9" s="310" customFormat="1" ht="12.75" hidden="1" customHeight="1" x14ac:dyDescent="0.2">
      <c r="A46" s="551"/>
      <c r="B46" s="565"/>
      <c r="C46" s="572"/>
      <c r="D46" s="576" t="s">
        <v>560</v>
      </c>
      <c r="E46" s="555"/>
      <c r="F46" s="567"/>
      <c r="G46" s="555"/>
      <c r="H46" s="568"/>
      <c r="I46" s="581"/>
    </row>
    <row r="47" spans="1:9" s="310" customFormat="1" ht="12.75" hidden="1" customHeight="1" x14ac:dyDescent="0.2">
      <c r="A47" s="551"/>
      <c r="B47" s="565"/>
      <c r="C47" s="572"/>
      <c r="D47" s="576" t="s">
        <v>561</v>
      </c>
      <c r="E47" s="555"/>
      <c r="F47" s="567"/>
      <c r="G47" s="555"/>
      <c r="H47" s="568"/>
      <c r="I47" s="581"/>
    </row>
    <row r="48" spans="1:9" s="310" customFormat="1" ht="12.75" hidden="1" customHeight="1" x14ac:dyDescent="0.2">
      <c r="A48" s="551"/>
      <c r="B48" s="565"/>
      <c r="C48" s="572"/>
      <c r="D48" s="576" t="s">
        <v>562</v>
      </c>
      <c r="E48" s="555"/>
      <c r="F48" s="567"/>
      <c r="G48" s="555"/>
      <c r="H48" s="568"/>
      <c r="I48" s="581"/>
    </row>
    <row r="49" spans="1:11" s="310" customFormat="1" ht="12.75" hidden="1" customHeight="1" x14ac:dyDescent="0.2">
      <c r="A49" s="551"/>
      <c r="B49" s="565"/>
      <c r="C49" s="572"/>
      <c r="D49" s="576" t="s">
        <v>563</v>
      </c>
      <c r="E49" s="555"/>
      <c r="F49" s="567"/>
      <c r="G49" s="555"/>
      <c r="H49" s="568"/>
      <c r="I49" s="581"/>
    </row>
    <row r="50" spans="1:11" s="310" customFormat="1" ht="12.75" hidden="1" customHeight="1" x14ac:dyDescent="0.2">
      <c r="A50" s="551"/>
      <c r="B50" s="565"/>
      <c r="C50" s="572"/>
      <c r="D50" s="576" t="s">
        <v>564</v>
      </c>
      <c r="E50" s="555"/>
      <c r="F50" s="567"/>
      <c r="G50" s="555"/>
      <c r="H50" s="568"/>
      <c r="I50" s="581"/>
    </row>
    <row r="51" spans="1:11" s="310" customFormat="1" ht="12.75" customHeight="1" x14ac:dyDescent="0.2">
      <c r="A51" s="551"/>
      <c r="B51" s="565"/>
      <c r="C51" s="572"/>
      <c r="D51" s="576" t="s">
        <v>582</v>
      </c>
      <c r="E51" s="555"/>
      <c r="F51" s="567">
        <v>-337.5</v>
      </c>
      <c r="G51" s="555"/>
      <c r="H51" s="568"/>
      <c r="I51" s="581"/>
    </row>
    <row r="52" spans="1:11" s="310" customFormat="1" ht="12.75" customHeight="1" x14ac:dyDescent="0.2">
      <c r="A52" s="551"/>
      <c r="B52" s="565"/>
      <c r="C52" s="572"/>
      <c r="D52" s="576" t="s">
        <v>583</v>
      </c>
      <c r="E52" s="555"/>
      <c r="F52" s="567">
        <v>-225</v>
      </c>
      <c r="G52" s="555"/>
      <c r="H52" s="568"/>
      <c r="I52" s="581"/>
    </row>
    <row r="53" spans="1:11" s="310" customFormat="1" ht="12.75" customHeight="1" x14ac:dyDescent="0.2">
      <c r="A53" s="551"/>
      <c r="B53" s="565"/>
      <c r="C53" s="572"/>
      <c r="D53" s="576" t="s">
        <v>584</v>
      </c>
      <c r="E53" s="555"/>
      <c r="F53" s="567">
        <v>-225</v>
      </c>
      <c r="G53" s="555"/>
      <c r="H53" s="568"/>
      <c r="I53" s="581"/>
    </row>
    <row r="54" spans="1:11" s="310" customFormat="1" ht="12.75" customHeight="1" x14ac:dyDescent="0.2">
      <c r="A54" s="551"/>
      <c r="B54" s="565"/>
      <c r="C54" s="572"/>
      <c r="D54" s="576" t="s">
        <v>585</v>
      </c>
      <c r="E54" s="555"/>
      <c r="F54" s="567">
        <v>-262.5</v>
      </c>
      <c r="G54" s="555"/>
      <c r="H54" s="568"/>
      <c r="I54" s="581"/>
    </row>
    <row r="55" spans="1:11" s="310" customFormat="1" ht="12.75" customHeight="1" x14ac:dyDescent="0.2">
      <c r="A55" s="551"/>
      <c r="B55" s="565"/>
      <c r="C55" s="572"/>
      <c r="D55" s="576" t="s">
        <v>586</v>
      </c>
      <c r="E55" s="555"/>
      <c r="F55" s="567">
        <v>-262.5</v>
      </c>
      <c r="G55" s="555"/>
      <c r="H55" s="568"/>
      <c r="I55" s="581"/>
    </row>
    <row r="56" spans="1:11" s="310" customFormat="1" ht="12.75" customHeight="1" x14ac:dyDescent="0.2">
      <c r="A56" s="260">
        <f>1+A14</f>
        <v>5</v>
      </c>
      <c r="B56" s="582" t="s">
        <v>213</v>
      </c>
      <c r="C56" s="583" t="s">
        <v>214</v>
      </c>
      <c r="D56" s="584" t="str">
        <f>$D$14</f>
        <v>FTE May 2026</v>
      </c>
      <c r="E56" s="562">
        <f>'1571'!$J$124</f>
        <v>831353.2</v>
      </c>
      <c r="F56" s="585"/>
      <c r="G56" s="562">
        <f>SUBTOTAL(109,E56:F73)</f>
        <v>816589.42</v>
      </c>
      <c r="H56" s="568"/>
      <c r="I56" s="577"/>
    </row>
    <row r="57" spans="1:11" s="310" customFormat="1" ht="12.75" hidden="1" customHeight="1" x14ac:dyDescent="0.2">
      <c r="A57" s="260"/>
      <c r="B57" s="582"/>
      <c r="C57" s="586"/>
      <c r="D57" s="253" t="s">
        <v>489</v>
      </c>
      <c r="E57" s="562"/>
      <c r="F57" s="585"/>
      <c r="G57" s="562"/>
      <c r="H57" s="568"/>
      <c r="I57" s="577"/>
    </row>
    <row r="58" spans="1:11" s="310" customFormat="1" ht="12.75" hidden="1" customHeight="1" x14ac:dyDescent="0.2">
      <c r="A58" s="260"/>
      <c r="B58" s="582"/>
      <c r="C58" s="583"/>
      <c r="D58" s="587" t="s">
        <v>490</v>
      </c>
      <c r="E58" s="562"/>
      <c r="F58" s="585"/>
      <c r="G58" s="562"/>
      <c r="H58" s="568"/>
      <c r="I58" s="577"/>
    </row>
    <row r="59" spans="1:11" s="310" customFormat="1" ht="12.75" hidden="1" customHeight="1" x14ac:dyDescent="0.2">
      <c r="A59" s="260"/>
      <c r="B59" s="582"/>
      <c r="C59" s="588"/>
      <c r="D59" s="587" t="s">
        <v>509</v>
      </c>
      <c r="E59" s="562"/>
      <c r="F59" s="585"/>
      <c r="G59" s="562"/>
      <c r="H59" s="568"/>
      <c r="I59" s="577"/>
    </row>
    <row r="60" spans="1:11" s="310" customFormat="1" ht="12.75" hidden="1" customHeight="1" x14ac:dyDescent="0.2">
      <c r="A60" s="260"/>
      <c r="B60" s="582"/>
      <c r="C60" s="583"/>
      <c r="D60" s="253" t="s">
        <v>491</v>
      </c>
      <c r="E60" s="562"/>
      <c r="F60" s="585"/>
      <c r="G60" s="562"/>
      <c r="H60" s="568"/>
      <c r="I60" s="577"/>
      <c r="K60" s="589">
        <v>44630</v>
      </c>
    </row>
    <row r="61" spans="1:11" s="310" customFormat="1" ht="12.75" hidden="1" customHeight="1" x14ac:dyDescent="0.2">
      <c r="A61" s="260"/>
      <c r="B61" s="582"/>
      <c r="C61" s="583"/>
      <c r="D61" s="253" t="s">
        <v>492</v>
      </c>
      <c r="E61" s="562"/>
      <c r="F61" s="585"/>
      <c r="G61" s="562"/>
      <c r="H61" s="568"/>
      <c r="I61" s="577"/>
      <c r="K61" s="589">
        <f>K60-60</f>
        <v>44570</v>
      </c>
    </row>
    <row r="62" spans="1:11" s="310" customFormat="1" ht="12.75" hidden="1" customHeight="1" x14ac:dyDescent="0.2">
      <c r="A62" s="260"/>
      <c r="B62" s="582"/>
      <c r="C62" s="583"/>
      <c r="D62" s="253" t="s">
        <v>493</v>
      </c>
      <c r="E62" s="562"/>
      <c r="F62" s="585"/>
      <c r="G62" s="562"/>
      <c r="H62" s="568"/>
      <c r="I62" s="577"/>
    </row>
    <row r="63" spans="1:11" s="310" customFormat="1" ht="12.75" hidden="1" customHeight="1" x14ac:dyDescent="0.2">
      <c r="A63" s="260"/>
      <c r="B63" s="582"/>
      <c r="C63" s="583"/>
      <c r="D63" s="253" t="s">
        <v>494</v>
      </c>
      <c r="E63" s="562"/>
      <c r="F63" s="585"/>
      <c r="G63" s="562"/>
      <c r="H63" s="568"/>
      <c r="I63" s="577"/>
    </row>
    <row r="64" spans="1:11" s="310" customFormat="1" ht="12.75" customHeight="1" x14ac:dyDescent="0.2">
      <c r="A64" s="260"/>
      <c r="B64" s="582"/>
      <c r="C64" s="590"/>
      <c r="D64" s="591" t="s">
        <v>496</v>
      </c>
      <c r="E64" s="562"/>
      <c r="F64" s="585">
        <v>-14222.22</v>
      </c>
      <c r="G64" s="562"/>
      <c r="H64" s="568"/>
      <c r="I64" s="577"/>
    </row>
    <row r="65" spans="1:12" s="310" customFormat="1" ht="12.75" customHeight="1" x14ac:dyDescent="0.2">
      <c r="A65" s="260"/>
      <c r="B65" s="582"/>
      <c r="C65" s="590"/>
      <c r="D65" s="591" t="s">
        <v>497</v>
      </c>
      <c r="E65" s="562"/>
      <c r="F65" s="585">
        <v>-282.08</v>
      </c>
      <c r="G65" s="562"/>
      <c r="H65" s="568"/>
      <c r="I65" s="575"/>
    </row>
    <row r="66" spans="1:12" s="310" customFormat="1" ht="12.75" customHeight="1" x14ac:dyDescent="0.2">
      <c r="A66" s="260"/>
      <c r="B66" s="582"/>
      <c r="C66" s="590"/>
      <c r="D66" s="591" t="s">
        <v>498</v>
      </c>
      <c r="E66" s="562"/>
      <c r="F66" s="585">
        <v>-94.48</v>
      </c>
      <c r="G66" s="562"/>
      <c r="H66" s="568"/>
      <c r="I66" s="575"/>
    </row>
    <row r="67" spans="1:12" s="310" customFormat="1" ht="12.75" customHeight="1" x14ac:dyDescent="0.2">
      <c r="A67" s="260"/>
      <c r="B67" s="582"/>
      <c r="C67" s="590"/>
      <c r="D67" s="591" t="s">
        <v>499</v>
      </c>
      <c r="E67" s="562"/>
      <c r="F67" s="585">
        <v>-90</v>
      </c>
      <c r="G67" s="562"/>
      <c r="H67" s="568"/>
      <c r="I67" s="575"/>
    </row>
    <row r="68" spans="1:12" s="310" customFormat="1" ht="12.75" hidden="1" customHeight="1" x14ac:dyDescent="0.2">
      <c r="A68" s="260"/>
      <c r="B68" s="582"/>
      <c r="C68" s="592"/>
      <c r="D68" s="593" t="s">
        <v>510</v>
      </c>
      <c r="E68" s="562"/>
      <c r="F68" s="585"/>
      <c r="G68" s="562"/>
      <c r="H68" s="594"/>
      <c r="I68" s="575"/>
    </row>
    <row r="69" spans="1:12" s="310" customFormat="1" ht="12.75" customHeight="1" x14ac:dyDescent="0.2">
      <c r="A69" s="260"/>
      <c r="B69" s="582"/>
      <c r="C69" s="590"/>
      <c r="D69" s="689" t="s">
        <v>587</v>
      </c>
      <c r="E69" s="690"/>
      <c r="F69" s="585">
        <v>-75</v>
      </c>
      <c r="G69" s="562"/>
      <c r="H69" s="568"/>
      <c r="I69" s="575"/>
    </row>
    <row r="70" spans="1:12" s="310" customFormat="1" ht="12.75" hidden="1" customHeight="1" x14ac:dyDescent="0.2">
      <c r="A70" s="260"/>
      <c r="B70" s="582"/>
      <c r="C70" s="590"/>
      <c r="D70" s="691" t="s">
        <v>511</v>
      </c>
      <c r="E70" s="690"/>
      <c r="F70" s="585"/>
      <c r="G70" s="562"/>
      <c r="H70" s="568"/>
      <c r="I70" s="575"/>
    </row>
    <row r="71" spans="1:12" s="310" customFormat="1" ht="12.75" hidden="1" customHeight="1" x14ac:dyDescent="0.2">
      <c r="A71" s="260"/>
      <c r="B71" s="582"/>
      <c r="C71" s="590"/>
      <c r="D71" s="591" t="s">
        <v>511</v>
      </c>
      <c r="E71" s="562"/>
      <c r="F71" s="585"/>
      <c r="G71" s="562"/>
      <c r="H71" s="568"/>
      <c r="I71" s="575"/>
    </row>
    <row r="72" spans="1:12" s="310" customFormat="1" ht="12.75" hidden="1" customHeight="1" x14ac:dyDescent="0.2">
      <c r="A72" s="260"/>
      <c r="B72" s="582"/>
      <c r="C72" s="590"/>
      <c r="D72" s="591" t="s">
        <v>511</v>
      </c>
      <c r="E72" s="562"/>
      <c r="F72" s="585"/>
      <c r="G72" s="562"/>
      <c r="H72" s="568"/>
      <c r="I72" s="575"/>
    </row>
    <row r="73" spans="1:12" s="310" customFormat="1" ht="12.75" hidden="1" customHeight="1" x14ac:dyDescent="0.2">
      <c r="A73" s="260"/>
      <c r="B73" s="582"/>
      <c r="C73" s="590"/>
      <c r="D73" s="591" t="s">
        <v>511</v>
      </c>
      <c r="E73" s="562"/>
      <c r="F73" s="585"/>
      <c r="G73" s="562"/>
      <c r="H73" s="568"/>
      <c r="I73" s="575"/>
    </row>
    <row r="74" spans="1:12" s="310" customFormat="1" ht="12.75" customHeight="1" x14ac:dyDescent="0.2">
      <c r="A74" s="551">
        <f>1+A56</f>
        <v>6</v>
      </c>
      <c r="B74" s="565" t="s">
        <v>215</v>
      </c>
      <c r="C74" s="566" t="s">
        <v>216</v>
      </c>
      <c r="D74" s="595" t="str">
        <f>$D$14</f>
        <v>FTE May 2026</v>
      </c>
      <c r="E74" s="555">
        <f>'2521'!$J$124</f>
        <v>109669.4</v>
      </c>
      <c r="F74" s="567"/>
      <c r="G74" s="555">
        <f>SUBTOTAL(109,E74:F80)</f>
        <v>109669.4</v>
      </c>
      <c r="H74" s="568"/>
      <c r="I74" s="575"/>
    </row>
    <row r="75" spans="1:12" s="310" customFormat="1" ht="12.75" hidden="1" customHeight="1" x14ac:dyDescent="0.2">
      <c r="A75" s="551"/>
      <c r="B75" s="565"/>
      <c r="C75" s="566"/>
      <c r="D75" s="569" t="s">
        <v>489</v>
      </c>
      <c r="E75" s="555"/>
      <c r="F75" s="567"/>
      <c r="G75" s="555"/>
      <c r="H75" s="568"/>
      <c r="I75" s="575"/>
    </row>
    <row r="76" spans="1:12" s="310" customFormat="1" ht="12.75" hidden="1" customHeight="1" x14ac:dyDescent="0.2">
      <c r="A76" s="551"/>
      <c r="B76" s="565"/>
      <c r="C76" s="566"/>
      <c r="D76" s="569" t="s">
        <v>491</v>
      </c>
      <c r="E76" s="555"/>
      <c r="F76" s="567"/>
      <c r="G76" s="555"/>
      <c r="H76" s="568"/>
      <c r="I76" s="575"/>
    </row>
    <row r="77" spans="1:12" s="310" customFormat="1" ht="12.75" hidden="1" customHeight="1" x14ac:dyDescent="0.2">
      <c r="A77" s="551"/>
      <c r="B77" s="565"/>
      <c r="C77" s="566"/>
      <c r="D77" s="569" t="s">
        <v>492</v>
      </c>
      <c r="E77" s="555"/>
      <c r="F77" s="567"/>
      <c r="G77" s="555"/>
      <c r="H77" s="568"/>
      <c r="I77" s="575"/>
    </row>
    <row r="78" spans="1:12" s="310" customFormat="1" ht="12.75" hidden="1" customHeight="1" x14ac:dyDescent="0.2">
      <c r="A78" s="551"/>
      <c r="B78" s="565"/>
      <c r="C78" s="566"/>
      <c r="D78" s="569" t="s">
        <v>493</v>
      </c>
      <c r="E78" s="555"/>
      <c r="F78" s="567"/>
      <c r="G78" s="555"/>
      <c r="H78" s="568"/>
      <c r="I78" s="575"/>
      <c r="L78" s="589"/>
    </row>
    <row r="79" spans="1:12" ht="12.75" hidden="1" customHeight="1" x14ac:dyDescent="0.2">
      <c r="A79" s="551"/>
      <c r="B79" s="565"/>
      <c r="C79" s="566"/>
      <c r="D79" s="569" t="s">
        <v>494</v>
      </c>
      <c r="E79" s="555"/>
      <c r="F79" s="567"/>
      <c r="G79" s="555"/>
      <c r="I79" s="575"/>
      <c r="L79" s="256"/>
    </row>
    <row r="80" spans="1:12" ht="12.75" hidden="1" customHeight="1" x14ac:dyDescent="0.2">
      <c r="A80" s="551"/>
      <c r="B80" s="565"/>
      <c r="C80" s="566"/>
      <c r="D80" s="576" t="s">
        <v>511</v>
      </c>
      <c r="E80" s="555"/>
      <c r="F80" s="567"/>
      <c r="G80" s="555"/>
      <c r="I80" s="575"/>
      <c r="K80" s="256"/>
    </row>
    <row r="81" spans="1:9" s="310" customFormat="1" ht="12.75" customHeight="1" x14ac:dyDescent="0.2">
      <c r="A81" s="260">
        <f>1+A74</f>
        <v>7</v>
      </c>
      <c r="B81" s="582">
        <v>2531</v>
      </c>
      <c r="C81" s="583" t="s">
        <v>218</v>
      </c>
      <c r="D81" s="584" t="str">
        <f>$D$14</f>
        <v>FTE May 2026</v>
      </c>
      <c r="E81" s="562">
        <f>'2531'!$J$124</f>
        <v>105445.2</v>
      </c>
      <c r="F81" s="585"/>
      <c r="G81" s="562">
        <f>SUBTOTAL(109,E81:F92)</f>
        <v>105445.2</v>
      </c>
      <c r="H81" s="594"/>
      <c r="I81" s="575"/>
    </row>
    <row r="82" spans="1:9" ht="12.75" hidden="1" customHeight="1" x14ac:dyDescent="0.2">
      <c r="A82" s="260"/>
      <c r="B82" s="582"/>
      <c r="C82" s="583"/>
      <c r="D82" s="253" t="s">
        <v>512</v>
      </c>
      <c r="E82" s="562"/>
      <c r="F82" s="585"/>
      <c r="G82" s="562"/>
      <c r="I82" s="575"/>
    </row>
    <row r="83" spans="1:9" ht="12.75" hidden="1" customHeight="1" x14ac:dyDescent="0.2">
      <c r="A83" s="260"/>
      <c r="B83" s="582"/>
      <c r="C83" s="583"/>
      <c r="D83" s="253" t="s">
        <v>489</v>
      </c>
      <c r="E83" s="562"/>
      <c r="F83" s="585"/>
      <c r="G83" s="562"/>
      <c r="I83" s="575"/>
    </row>
    <row r="84" spans="1:9" s="310" customFormat="1" ht="12.75" hidden="1" customHeight="1" x14ac:dyDescent="0.2">
      <c r="A84" s="260"/>
      <c r="B84" s="582"/>
      <c r="C84" s="583"/>
      <c r="D84" s="253" t="s">
        <v>513</v>
      </c>
      <c r="E84" s="562"/>
      <c r="F84" s="585"/>
      <c r="G84" s="562"/>
      <c r="H84" s="568"/>
      <c r="I84" s="580"/>
    </row>
    <row r="85" spans="1:9" s="310" customFormat="1" ht="12.75" hidden="1" customHeight="1" x14ac:dyDescent="0.2">
      <c r="A85" s="260"/>
      <c r="B85" s="582"/>
      <c r="C85" s="583"/>
      <c r="D85" s="587" t="s">
        <v>509</v>
      </c>
      <c r="E85" s="562"/>
      <c r="F85" s="585"/>
      <c r="G85" s="562"/>
      <c r="H85" s="568"/>
      <c r="I85" s="582"/>
    </row>
    <row r="86" spans="1:9" s="310" customFormat="1" ht="12.75" hidden="1" customHeight="1" x14ac:dyDescent="0.2">
      <c r="A86" s="260"/>
      <c r="B86" s="582"/>
      <c r="C86" s="583"/>
      <c r="D86" s="253" t="s">
        <v>491</v>
      </c>
      <c r="E86" s="562"/>
      <c r="F86" s="585"/>
      <c r="G86" s="562"/>
      <c r="H86" s="568"/>
      <c r="I86" s="582"/>
    </row>
    <row r="87" spans="1:9" s="310" customFormat="1" ht="12.75" hidden="1" customHeight="1" x14ac:dyDescent="0.2">
      <c r="A87" s="260"/>
      <c r="B87" s="582"/>
      <c r="C87" s="583"/>
      <c r="D87" s="253" t="s">
        <v>492</v>
      </c>
      <c r="E87" s="562"/>
      <c r="F87" s="585"/>
      <c r="G87" s="562"/>
      <c r="H87" s="568"/>
      <c r="I87" s="582"/>
    </row>
    <row r="88" spans="1:9" s="310" customFormat="1" ht="12.75" hidden="1" customHeight="1" x14ac:dyDescent="0.2">
      <c r="A88" s="260"/>
      <c r="B88" s="582"/>
      <c r="C88" s="583"/>
      <c r="D88" s="253" t="s">
        <v>493</v>
      </c>
      <c r="E88" s="562"/>
      <c r="F88" s="585"/>
      <c r="G88" s="562"/>
      <c r="H88" s="594"/>
      <c r="I88" s="580"/>
    </row>
    <row r="89" spans="1:9" s="310" customFormat="1" ht="12.75" hidden="1" customHeight="1" x14ac:dyDescent="0.2">
      <c r="A89" s="260"/>
      <c r="B89" s="582"/>
      <c r="C89" s="583"/>
      <c r="D89" s="253" t="s">
        <v>494</v>
      </c>
      <c r="E89" s="562"/>
      <c r="F89" s="585"/>
      <c r="G89" s="562"/>
      <c r="H89" s="568"/>
      <c r="I89" s="580"/>
    </row>
    <row r="90" spans="1:9" s="310" customFormat="1" ht="12.75" hidden="1" customHeight="1" x14ac:dyDescent="0.2">
      <c r="A90" s="260"/>
      <c r="B90" s="582"/>
      <c r="C90" s="583"/>
      <c r="D90" s="253" t="s">
        <v>514</v>
      </c>
      <c r="E90" s="562"/>
      <c r="F90" s="585"/>
      <c r="G90" s="562"/>
      <c r="H90" s="568"/>
      <c r="I90" s="580"/>
    </row>
    <row r="91" spans="1:9" s="310" customFormat="1" ht="12.75" hidden="1" customHeight="1" x14ac:dyDescent="0.2">
      <c r="A91" s="260"/>
      <c r="B91" s="582"/>
      <c r="C91" s="590"/>
      <c r="D91" s="593" t="s">
        <v>502</v>
      </c>
      <c r="E91" s="562"/>
      <c r="F91" s="585"/>
      <c r="G91" s="562"/>
      <c r="H91" s="568"/>
      <c r="I91" s="575"/>
    </row>
    <row r="92" spans="1:9" s="310" customFormat="1" ht="12.75" hidden="1" customHeight="1" x14ac:dyDescent="0.2">
      <c r="A92" s="260"/>
      <c r="B92" s="582"/>
      <c r="C92" s="583"/>
      <c r="D92" s="591" t="s">
        <v>511</v>
      </c>
      <c r="E92" s="562"/>
      <c r="F92" s="585"/>
      <c r="G92" s="562"/>
      <c r="H92" s="568"/>
      <c r="I92" s="590"/>
    </row>
    <row r="93" spans="1:9" s="310" customFormat="1" ht="12.75" customHeight="1" x14ac:dyDescent="0.2">
      <c r="A93" s="551">
        <f>1+A81</f>
        <v>8</v>
      </c>
      <c r="B93" s="565" t="s">
        <v>219</v>
      </c>
      <c r="C93" s="596" t="s">
        <v>301</v>
      </c>
      <c r="D93" s="595" t="str">
        <f>$D$14</f>
        <v>FTE May 2026</v>
      </c>
      <c r="E93" s="555">
        <f>'2791'!$J$124</f>
        <v>661778.35</v>
      </c>
      <c r="F93" s="567"/>
      <c r="G93" s="555">
        <f>SUBTOTAL(109,E93:F100)</f>
        <v>661778.35</v>
      </c>
      <c r="H93" s="594"/>
      <c r="I93" s="577"/>
    </row>
    <row r="94" spans="1:9" s="310" customFormat="1" ht="12.75" hidden="1" customHeight="1" x14ac:dyDescent="0.2">
      <c r="A94" s="551"/>
      <c r="B94" s="565"/>
      <c r="C94" s="566"/>
      <c r="D94" s="569" t="s">
        <v>489</v>
      </c>
      <c r="E94" s="555"/>
      <c r="F94" s="567"/>
      <c r="G94" s="555"/>
      <c r="H94" s="568"/>
      <c r="I94" s="590"/>
    </row>
    <row r="95" spans="1:9" s="310" customFormat="1" ht="12.75" hidden="1" customHeight="1" x14ac:dyDescent="0.2">
      <c r="A95" s="551"/>
      <c r="B95" s="565"/>
      <c r="C95" s="566"/>
      <c r="D95" s="570" t="s">
        <v>490</v>
      </c>
      <c r="E95" s="555"/>
      <c r="F95" s="567"/>
      <c r="G95" s="555"/>
      <c r="H95" s="568"/>
      <c r="I95" s="590"/>
    </row>
    <row r="96" spans="1:9" s="310" customFormat="1" ht="12.75" hidden="1" customHeight="1" x14ac:dyDescent="0.2">
      <c r="A96" s="551"/>
      <c r="B96" s="565"/>
      <c r="C96" s="566"/>
      <c r="D96" s="569" t="s">
        <v>491</v>
      </c>
      <c r="E96" s="555"/>
      <c r="F96" s="567"/>
      <c r="G96" s="555"/>
      <c r="H96" s="568"/>
      <c r="I96" s="590"/>
    </row>
    <row r="97" spans="1:9" s="310" customFormat="1" ht="12.75" hidden="1" customHeight="1" x14ac:dyDescent="0.2">
      <c r="A97" s="551"/>
      <c r="B97" s="565"/>
      <c r="C97" s="566"/>
      <c r="D97" s="569" t="s">
        <v>492</v>
      </c>
      <c r="E97" s="555"/>
      <c r="F97" s="567"/>
      <c r="G97" s="555"/>
      <c r="H97" s="568"/>
      <c r="I97" s="590"/>
    </row>
    <row r="98" spans="1:9" s="310" customFormat="1" ht="12.75" hidden="1" customHeight="1" x14ac:dyDescent="0.2">
      <c r="A98" s="551"/>
      <c r="B98" s="565"/>
      <c r="C98" s="566"/>
      <c r="D98" s="569"/>
      <c r="E98" s="555"/>
      <c r="F98" s="567"/>
      <c r="G98" s="555"/>
      <c r="H98" s="568"/>
      <c r="I98" s="575"/>
    </row>
    <row r="99" spans="1:9" s="310" customFormat="1" ht="12.75" hidden="1" customHeight="1" x14ac:dyDescent="0.2">
      <c r="A99" s="551"/>
      <c r="B99" s="565"/>
      <c r="C99" s="566"/>
      <c r="D99" s="569" t="s">
        <v>494</v>
      </c>
      <c r="E99" s="555"/>
      <c r="F99" s="567"/>
      <c r="G99" s="555"/>
      <c r="H99" s="568"/>
      <c r="I99" s="575"/>
    </row>
    <row r="100" spans="1:9" s="310" customFormat="1" ht="12.75" hidden="1" customHeight="1" x14ac:dyDescent="0.2">
      <c r="A100" s="551"/>
      <c r="B100" s="565"/>
      <c r="C100" s="566"/>
      <c r="D100" s="576" t="s">
        <v>511</v>
      </c>
      <c r="E100" s="555"/>
      <c r="F100" s="567"/>
      <c r="G100" s="555"/>
      <c r="H100" s="568"/>
      <c r="I100" s="575"/>
    </row>
    <row r="101" spans="1:9" s="310" customFormat="1" ht="12.75" customHeight="1" x14ac:dyDescent="0.2">
      <c r="A101" s="260">
        <f>A93+1</f>
        <v>9</v>
      </c>
      <c r="B101" s="582" t="s">
        <v>221</v>
      </c>
      <c r="C101" s="597" t="s">
        <v>222</v>
      </c>
      <c r="D101" s="584" t="str">
        <f>$D$14</f>
        <v>FTE May 2026</v>
      </c>
      <c r="E101" s="562">
        <f>'2801'!$J$124</f>
        <v>381923.19</v>
      </c>
      <c r="F101" s="585"/>
      <c r="G101" s="562">
        <f>SUBTOTAL(109,E101:F110)</f>
        <v>381923.19</v>
      </c>
      <c r="H101" s="594"/>
      <c r="I101" s="577"/>
    </row>
    <row r="102" spans="1:9" s="310" customFormat="1" ht="12.75" hidden="1" customHeight="1" x14ac:dyDescent="0.2">
      <c r="A102" s="260"/>
      <c r="B102" s="582"/>
      <c r="C102" s="583"/>
      <c r="D102" s="253" t="s">
        <v>512</v>
      </c>
      <c r="E102" s="562"/>
      <c r="F102" s="585"/>
      <c r="G102" s="562"/>
      <c r="H102" s="568"/>
      <c r="I102" s="575"/>
    </row>
    <row r="103" spans="1:9" s="310" customFormat="1" ht="12.75" hidden="1" customHeight="1" x14ac:dyDescent="0.2">
      <c r="A103" s="260"/>
      <c r="B103" s="582"/>
      <c r="C103" s="583"/>
      <c r="D103" s="587" t="s">
        <v>490</v>
      </c>
      <c r="E103" s="562"/>
      <c r="F103" s="585"/>
      <c r="G103" s="562"/>
      <c r="H103" s="594"/>
      <c r="I103" s="580"/>
    </row>
    <row r="104" spans="1:9" s="310" customFormat="1" ht="12.75" hidden="1" customHeight="1" x14ac:dyDescent="0.2">
      <c r="A104" s="260"/>
      <c r="B104" s="582"/>
      <c r="C104" s="583"/>
      <c r="D104" s="253" t="s">
        <v>491</v>
      </c>
      <c r="E104" s="562"/>
      <c r="F104" s="585"/>
      <c r="G104" s="562"/>
      <c r="H104" s="594"/>
      <c r="I104" s="582"/>
    </row>
    <row r="105" spans="1:9" s="310" customFormat="1" ht="12.75" hidden="1" customHeight="1" x14ac:dyDescent="0.2">
      <c r="A105" s="260"/>
      <c r="B105" s="582"/>
      <c r="C105" s="583"/>
      <c r="D105" s="253" t="s">
        <v>515</v>
      </c>
      <c r="E105" s="562"/>
      <c r="F105" s="585"/>
      <c r="G105" s="562"/>
      <c r="H105" s="568"/>
      <c r="I105" s="590"/>
    </row>
    <row r="106" spans="1:9" s="310" customFormat="1" ht="12.75" hidden="1" customHeight="1" x14ac:dyDescent="0.2">
      <c r="A106" s="260"/>
      <c r="B106" s="582"/>
      <c r="C106" s="583"/>
      <c r="D106" s="253" t="s">
        <v>493</v>
      </c>
      <c r="E106" s="562"/>
      <c r="F106" s="585"/>
      <c r="G106" s="562"/>
      <c r="H106" s="594"/>
      <c r="I106" s="582"/>
    </row>
    <row r="107" spans="1:9" s="310" customFormat="1" ht="12.75" hidden="1" customHeight="1" x14ac:dyDescent="0.2">
      <c r="A107" s="260"/>
      <c r="B107" s="582"/>
      <c r="C107" s="583"/>
      <c r="D107" s="253" t="s">
        <v>494</v>
      </c>
      <c r="E107" s="562"/>
      <c r="F107" s="585"/>
      <c r="G107" s="562"/>
      <c r="H107" s="594"/>
      <c r="I107" s="582"/>
    </row>
    <row r="108" spans="1:9" s="310" customFormat="1" ht="12.75" hidden="1" customHeight="1" x14ac:dyDescent="0.2">
      <c r="A108" s="260"/>
      <c r="B108" s="582"/>
      <c r="C108" s="583"/>
      <c r="D108" s="253" t="s">
        <v>516</v>
      </c>
      <c r="E108" s="562"/>
      <c r="F108" s="585"/>
      <c r="G108" s="562"/>
      <c r="H108" s="594"/>
      <c r="I108" s="580"/>
    </row>
    <row r="109" spans="1:9" s="310" customFormat="1" ht="12.75" hidden="1" customHeight="1" x14ac:dyDescent="0.2">
      <c r="A109" s="260"/>
      <c r="B109" s="582"/>
      <c r="C109" s="583"/>
      <c r="D109" s="253" t="s">
        <v>514</v>
      </c>
      <c r="E109" s="562"/>
      <c r="F109" s="585"/>
      <c r="G109" s="562"/>
      <c r="H109" s="568"/>
      <c r="I109" s="580"/>
    </row>
    <row r="110" spans="1:9" s="310" customFormat="1" ht="12.75" hidden="1" customHeight="1" x14ac:dyDescent="0.2">
      <c r="A110" s="260"/>
      <c r="B110" s="582"/>
      <c r="C110" s="583"/>
      <c r="D110" s="591" t="s">
        <v>517</v>
      </c>
      <c r="E110" s="562"/>
      <c r="F110" s="585"/>
      <c r="G110" s="562"/>
      <c r="H110" s="568"/>
      <c r="I110" s="580"/>
    </row>
    <row r="111" spans="1:9" s="310" customFormat="1" ht="12.75" customHeight="1" x14ac:dyDescent="0.2">
      <c r="A111" s="551">
        <f>A101+1</f>
        <v>10</v>
      </c>
      <c r="B111" s="565" t="s">
        <v>223</v>
      </c>
      <c r="C111" s="566" t="s">
        <v>224</v>
      </c>
      <c r="D111" s="595" t="str">
        <f>$D$14</f>
        <v>FTE May 2026</v>
      </c>
      <c r="E111" s="555">
        <f>'2911'!$J$124</f>
        <v>640427.29</v>
      </c>
      <c r="F111" s="567"/>
      <c r="G111" s="555">
        <f>SUBTOTAL(109,E111:F121)</f>
        <v>640427.29</v>
      </c>
      <c r="H111" s="594"/>
      <c r="I111" s="582"/>
    </row>
    <row r="112" spans="1:9" s="310" customFormat="1" ht="12.75" hidden="1" customHeight="1" x14ac:dyDescent="0.2">
      <c r="A112" s="551"/>
      <c r="B112" s="565"/>
      <c r="C112" s="566"/>
      <c r="D112" s="569" t="s">
        <v>489</v>
      </c>
      <c r="E112" s="555"/>
      <c r="F112" s="567"/>
      <c r="G112" s="555"/>
      <c r="H112" s="594"/>
      <c r="I112" s="582"/>
    </row>
    <row r="113" spans="1:9" s="310" customFormat="1" ht="12.75" hidden="1" customHeight="1" x14ac:dyDescent="0.2">
      <c r="A113" s="551"/>
      <c r="B113" s="565"/>
      <c r="C113" s="566"/>
      <c r="D113" s="570" t="s">
        <v>509</v>
      </c>
      <c r="E113" s="555"/>
      <c r="F113" s="567"/>
      <c r="G113" s="555"/>
      <c r="H113" s="568"/>
      <c r="I113" s="590"/>
    </row>
    <row r="114" spans="1:9" s="310" customFormat="1" ht="12.75" hidden="1" customHeight="1" x14ac:dyDescent="0.2">
      <c r="A114" s="551"/>
      <c r="B114" s="565"/>
      <c r="C114" s="566"/>
      <c r="D114" s="569" t="s">
        <v>491</v>
      </c>
      <c r="E114" s="555"/>
      <c r="F114" s="567"/>
      <c r="G114" s="555"/>
      <c r="H114" s="594"/>
      <c r="I114" s="582"/>
    </row>
    <row r="115" spans="1:9" s="310" customFormat="1" ht="12.75" hidden="1" customHeight="1" x14ac:dyDescent="0.2">
      <c r="A115" s="551"/>
      <c r="B115" s="565"/>
      <c r="C115" s="566"/>
      <c r="D115" s="569" t="s">
        <v>492</v>
      </c>
      <c r="E115" s="555"/>
      <c r="F115" s="567"/>
      <c r="G115" s="555"/>
      <c r="H115" s="594"/>
      <c r="I115" s="582"/>
    </row>
    <row r="116" spans="1:9" s="310" customFormat="1" ht="12.75" hidden="1" customHeight="1" x14ac:dyDescent="0.2">
      <c r="A116" s="551"/>
      <c r="B116" s="565"/>
      <c r="C116" s="566"/>
      <c r="D116" s="569" t="s">
        <v>493</v>
      </c>
      <c r="E116" s="555"/>
      <c r="F116" s="567"/>
      <c r="G116" s="555"/>
      <c r="H116" s="594"/>
      <c r="I116" s="582"/>
    </row>
    <row r="117" spans="1:9" s="310" customFormat="1" ht="12.75" hidden="1" customHeight="1" x14ac:dyDescent="0.2">
      <c r="A117" s="551"/>
      <c r="B117" s="565"/>
      <c r="C117" s="566"/>
      <c r="D117" s="569" t="s">
        <v>494</v>
      </c>
      <c r="E117" s="555"/>
      <c r="F117" s="567"/>
      <c r="G117" s="555"/>
      <c r="H117" s="568"/>
      <c r="I117" s="579"/>
    </row>
    <row r="118" spans="1:9" s="310" customFormat="1" ht="12.75" hidden="1" customHeight="1" x14ac:dyDescent="0.2">
      <c r="A118" s="551"/>
      <c r="B118" s="565"/>
      <c r="C118" s="566"/>
      <c r="D118" s="569" t="s">
        <v>516</v>
      </c>
      <c r="E118" s="555"/>
      <c r="F118" s="567"/>
      <c r="G118" s="555"/>
      <c r="H118" s="594"/>
    </row>
    <row r="119" spans="1:9" s="310" customFormat="1" ht="12.75" hidden="1" customHeight="1" x14ac:dyDescent="0.2">
      <c r="A119" s="551"/>
      <c r="B119" s="565"/>
      <c r="C119" s="572"/>
      <c r="D119" s="576" t="s">
        <v>518</v>
      </c>
      <c r="E119" s="555"/>
      <c r="F119" s="567"/>
      <c r="G119" s="555"/>
      <c r="H119" s="594"/>
      <c r="I119" s="582"/>
    </row>
    <row r="120" spans="1:9" s="310" customFormat="1" ht="12.75" hidden="1" customHeight="1" x14ac:dyDescent="0.2">
      <c r="A120" s="551"/>
      <c r="B120" s="565"/>
      <c r="C120" s="572"/>
      <c r="D120" s="576" t="s">
        <v>511</v>
      </c>
      <c r="E120" s="555"/>
      <c r="F120" s="567"/>
      <c r="G120" s="555"/>
      <c r="H120" s="594"/>
      <c r="I120" s="580"/>
    </row>
    <row r="121" spans="1:9" s="310" customFormat="1" ht="12.75" hidden="1" customHeight="1" x14ac:dyDescent="0.2">
      <c r="A121" s="551"/>
      <c r="B121" s="565"/>
      <c r="C121" s="572"/>
      <c r="D121" s="598"/>
      <c r="E121" s="555"/>
      <c r="F121" s="567"/>
      <c r="G121" s="555"/>
      <c r="H121" s="594"/>
      <c r="I121" s="580"/>
    </row>
    <row r="122" spans="1:9" s="310" customFormat="1" ht="12.75" customHeight="1" x14ac:dyDescent="0.2">
      <c r="A122" s="260">
        <f>A111+1</f>
        <v>11</v>
      </c>
      <c r="B122" s="582" t="s">
        <v>225</v>
      </c>
      <c r="C122" s="583" t="s">
        <v>226</v>
      </c>
      <c r="D122" s="584" t="str">
        <f>$D$14</f>
        <v>FTE May 2026</v>
      </c>
      <c r="E122" s="562">
        <f>'2941'!$J$124</f>
        <v>1041964.5</v>
      </c>
      <c r="F122" s="585"/>
      <c r="G122" s="562">
        <f>SUBTOTAL(109,E122:F130)</f>
        <v>1041964.5</v>
      </c>
      <c r="H122" s="594"/>
      <c r="I122" s="582"/>
    </row>
    <row r="123" spans="1:9" s="310" customFormat="1" ht="12.75" hidden="1" customHeight="1" x14ac:dyDescent="0.2">
      <c r="A123" s="260"/>
      <c r="B123" s="582"/>
      <c r="C123" s="583"/>
      <c r="D123" s="253" t="s">
        <v>512</v>
      </c>
      <c r="E123" s="562"/>
      <c r="F123" s="585"/>
      <c r="G123" s="562"/>
      <c r="H123" s="594"/>
      <c r="I123" s="582"/>
    </row>
    <row r="124" spans="1:9" s="310" customFormat="1" ht="12.75" hidden="1" customHeight="1" x14ac:dyDescent="0.2">
      <c r="A124" s="260"/>
      <c r="B124" s="582"/>
      <c r="C124" s="583"/>
      <c r="D124" s="587" t="s">
        <v>490</v>
      </c>
      <c r="E124" s="562"/>
      <c r="F124" s="585"/>
      <c r="G124" s="562"/>
      <c r="H124" s="568"/>
      <c r="I124" s="590"/>
    </row>
    <row r="125" spans="1:9" s="310" customFormat="1" ht="12.75" hidden="1" customHeight="1" x14ac:dyDescent="0.2">
      <c r="A125" s="260"/>
      <c r="B125" s="582"/>
      <c r="C125" s="583"/>
      <c r="D125" s="253" t="s">
        <v>491</v>
      </c>
      <c r="E125" s="562"/>
      <c r="F125" s="585"/>
      <c r="G125" s="562"/>
      <c r="H125" s="594"/>
      <c r="I125" s="582"/>
    </row>
    <row r="126" spans="1:9" s="310" customFormat="1" ht="12.75" hidden="1" customHeight="1" x14ac:dyDescent="0.2">
      <c r="A126" s="260"/>
      <c r="B126" s="582"/>
      <c r="C126" s="583"/>
      <c r="D126" s="253" t="s">
        <v>492</v>
      </c>
      <c r="E126" s="562"/>
      <c r="F126" s="585"/>
      <c r="G126" s="562"/>
      <c r="H126" s="594"/>
      <c r="I126" s="582"/>
    </row>
    <row r="127" spans="1:9" s="310" customFormat="1" ht="12.75" hidden="1" customHeight="1" x14ac:dyDescent="0.2">
      <c r="A127" s="260"/>
      <c r="B127" s="582"/>
      <c r="C127" s="583"/>
      <c r="D127" s="253" t="s">
        <v>493</v>
      </c>
      <c r="E127" s="562"/>
      <c r="F127" s="585"/>
      <c r="G127" s="562"/>
      <c r="H127" s="594"/>
      <c r="I127" s="582"/>
    </row>
    <row r="128" spans="1:9" s="310" customFormat="1" ht="12.75" hidden="1" customHeight="1" x14ac:dyDescent="0.2">
      <c r="A128" s="260"/>
      <c r="B128" s="582"/>
      <c r="C128" s="583"/>
      <c r="D128" s="587" t="s">
        <v>519</v>
      </c>
      <c r="E128" s="562"/>
      <c r="F128" s="585"/>
      <c r="G128" s="562"/>
      <c r="H128" s="568"/>
      <c r="I128" s="579"/>
    </row>
    <row r="129" spans="1:11" s="310" customFormat="1" ht="12.75" hidden="1" customHeight="1" x14ac:dyDescent="0.2">
      <c r="A129" s="260"/>
      <c r="B129" s="582"/>
      <c r="C129" s="583"/>
      <c r="D129" s="253" t="s">
        <v>514</v>
      </c>
      <c r="E129" s="562"/>
      <c r="F129" s="585"/>
      <c r="G129" s="562"/>
      <c r="H129" s="594"/>
      <c r="I129" s="580"/>
    </row>
    <row r="130" spans="1:11" s="310" customFormat="1" ht="12.75" hidden="1" customHeight="1" x14ac:dyDescent="0.2">
      <c r="A130" s="260"/>
      <c r="B130" s="582"/>
      <c r="C130" s="583"/>
      <c r="D130" s="591"/>
      <c r="E130" s="562"/>
      <c r="F130" s="585"/>
      <c r="G130" s="562"/>
      <c r="H130" s="568"/>
      <c r="I130" s="580"/>
      <c r="J130" s="593"/>
      <c r="K130" s="588"/>
    </row>
    <row r="131" spans="1:11" s="310" customFormat="1" ht="12.75" customHeight="1" x14ac:dyDescent="0.2">
      <c r="A131" s="551">
        <f>A122+1</f>
        <v>12</v>
      </c>
      <c r="B131" s="565" t="s">
        <v>227</v>
      </c>
      <c r="C131" s="596" t="s">
        <v>306</v>
      </c>
      <c r="D131" s="595" t="str">
        <f>$D$14</f>
        <v>FTE May 2026</v>
      </c>
      <c r="E131" s="555">
        <f>'3083'!$J$124</f>
        <v>668299.76</v>
      </c>
      <c r="F131" s="567"/>
      <c r="G131" s="555">
        <f>SUBTOTAL(109,E131:F138)</f>
        <v>668299.76</v>
      </c>
      <c r="H131" s="568"/>
      <c r="I131" s="580"/>
      <c r="J131" s="593"/>
      <c r="K131" s="588"/>
    </row>
    <row r="132" spans="1:11" s="310" customFormat="1" ht="12.75" hidden="1" customHeight="1" x14ac:dyDescent="0.2">
      <c r="A132" s="551"/>
      <c r="B132" s="565"/>
      <c r="C132" s="566"/>
      <c r="D132" s="569" t="s">
        <v>519</v>
      </c>
      <c r="E132" s="555"/>
      <c r="F132" s="567"/>
      <c r="G132" s="555"/>
      <c r="H132" s="594"/>
      <c r="I132" s="582"/>
    </row>
    <row r="133" spans="1:11" s="310" customFormat="1" ht="12.75" hidden="1" customHeight="1" x14ac:dyDescent="0.2">
      <c r="A133" s="551"/>
      <c r="B133" s="565"/>
      <c r="C133" s="566"/>
      <c r="D133" s="570" t="s">
        <v>490</v>
      </c>
      <c r="E133" s="555"/>
      <c r="F133" s="567"/>
      <c r="G133" s="555"/>
      <c r="H133" s="594"/>
      <c r="I133" s="582"/>
    </row>
    <row r="134" spans="1:11" s="310" customFormat="1" ht="12.75" hidden="1" customHeight="1" x14ac:dyDescent="0.2">
      <c r="A134" s="551"/>
      <c r="B134" s="565"/>
      <c r="C134" s="566"/>
      <c r="D134" s="569" t="s">
        <v>491</v>
      </c>
      <c r="E134" s="555"/>
      <c r="F134" s="567"/>
      <c r="G134" s="555"/>
      <c r="H134" s="568"/>
      <c r="I134" s="590"/>
    </row>
    <row r="135" spans="1:11" s="310" customFormat="1" ht="12.75" hidden="1" customHeight="1" x14ac:dyDescent="0.2">
      <c r="A135" s="551"/>
      <c r="B135" s="565"/>
      <c r="C135" s="566"/>
      <c r="D135" s="569" t="s">
        <v>492</v>
      </c>
      <c r="E135" s="555"/>
      <c r="F135" s="567"/>
      <c r="G135" s="555"/>
      <c r="H135" s="594"/>
      <c r="I135" s="582"/>
    </row>
    <row r="136" spans="1:11" s="310" customFormat="1" ht="12.75" hidden="1" customHeight="1" x14ac:dyDescent="0.2">
      <c r="A136" s="551"/>
      <c r="B136" s="565"/>
      <c r="C136" s="566"/>
      <c r="D136" s="598" t="s">
        <v>493</v>
      </c>
      <c r="E136" s="555"/>
      <c r="F136" s="567"/>
      <c r="G136" s="555"/>
      <c r="H136" s="594"/>
      <c r="I136" s="582"/>
    </row>
    <row r="137" spans="1:11" s="310" customFormat="1" ht="12.75" hidden="1" customHeight="1" x14ac:dyDescent="0.2">
      <c r="A137" s="551"/>
      <c r="B137" s="565"/>
      <c r="C137" s="566"/>
      <c r="D137" s="569" t="s">
        <v>494</v>
      </c>
      <c r="E137" s="555"/>
      <c r="F137" s="567"/>
      <c r="G137" s="555"/>
      <c r="H137" s="594"/>
      <c r="I137" s="582"/>
    </row>
    <row r="138" spans="1:11" s="310" customFormat="1" ht="12.75" hidden="1" customHeight="1" x14ac:dyDescent="0.2">
      <c r="A138" s="551"/>
      <c r="B138" s="565"/>
      <c r="C138" s="566"/>
      <c r="D138" s="569" t="s">
        <v>489</v>
      </c>
      <c r="E138" s="555"/>
      <c r="F138" s="567"/>
      <c r="G138" s="555"/>
      <c r="H138" s="568"/>
      <c r="I138" s="579"/>
    </row>
    <row r="139" spans="1:11" s="310" customFormat="1" ht="12.75" customHeight="1" x14ac:dyDescent="0.2">
      <c r="A139" s="260">
        <f>A131+1</f>
        <v>13</v>
      </c>
      <c r="B139" s="582" t="s">
        <v>229</v>
      </c>
      <c r="C139" s="597" t="s">
        <v>230</v>
      </c>
      <c r="D139" s="584" t="str">
        <f>$D$14</f>
        <v>FTE May 2026</v>
      </c>
      <c r="E139" s="562">
        <f>'3345'!$J$124</f>
        <v>100422.83</v>
      </c>
      <c r="F139" s="585"/>
      <c r="G139" s="562">
        <f>SUBTOTAL(109,E139:F145)</f>
        <v>100422.83</v>
      </c>
      <c r="H139" s="568"/>
      <c r="I139" s="579"/>
    </row>
    <row r="140" spans="1:11" s="310" customFormat="1" ht="12.75" hidden="1" customHeight="1" x14ac:dyDescent="0.2">
      <c r="A140" s="260"/>
      <c r="B140" s="582"/>
      <c r="C140" s="597"/>
      <c r="D140" s="253" t="s">
        <v>512</v>
      </c>
      <c r="E140" s="562"/>
      <c r="F140" s="585"/>
      <c r="G140" s="562"/>
      <c r="H140" s="568"/>
      <c r="I140" s="579"/>
    </row>
    <row r="141" spans="1:11" s="310" customFormat="1" ht="12.75" hidden="1" customHeight="1" x14ac:dyDescent="0.2">
      <c r="A141" s="260"/>
      <c r="B141" s="582"/>
      <c r="C141" s="597"/>
      <c r="D141" s="253" t="s">
        <v>490</v>
      </c>
      <c r="E141" s="562"/>
      <c r="F141" s="585"/>
      <c r="G141" s="562"/>
      <c r="H141" s="594"/>
      <c r="I141" s="582"/>
    </row>
    <row r="142" spans="1:11" s="310" customFormat="1" ht="12.75" hidden="1" customHeight="1" x14ac:dyDescent="0.2">
      <c r="A142" s="260"/>
      <c r="B142" s="582"/>
      <c r="C142" s="583"/>
      <c r="D142" s="253" t="s">
        <v>492</v>
      </c>
      <c r="E142" s="562"/>
      <c r="F142" s="585"/>
      <c r="G142" s="562"/>
      <c r="H142" s="594"/>
      <c r="I142" s="582"/>
    </row>
    <row r="143" spans="1:11" s="310" customFormat="1" ht="12.75" hidden="1" customHeight="1" x14ac:dyDescent="0.2">
      <c r="A143" s="260"/>
      <c r="B143" s="582"/>
      <c r="C143" s="583"/>
      <c r="D143" s="253" t="s">
        <v>493</v>
      </c>
      <c r="E143" s="562"/>
      <c r="F143" s="585"/>
      <c r="G143" s="562"/>
      <c r="H143" s="568"/>
      <c r="I143" s="590"/>
    </row>
    <row r="144" spans="1:11" s="310" customFormat="1" ht="12.75" hidden="1" customHeight="1" x14ac:dyDescent="0.2">
      <c r="A144" s="260"/>
      <c r="B144" s="582"/>
      <c r="C144" s="583"/>
      <c r="D144" s="253" t="s">
        <v>494</v>
      </c>
      <c r="E144" s="562"/>
      <c r="F144" s="585"/>
      <c r="G144" s="562"/>
      <c r="H144" s="594"/>
      <c r="I144" s="582"/>
    </row>
    <row r="145" spans="1:9" s="310" customFormat="1" ht="12.75" hidden="1" customHeight="1" x14ac:dyDescent="0.2">
      <c r="A145" s="260"/>
      <c r="B145" s="582"/>
      <c r="C145" s="583"/>
      <c r="D145" s="591" t="s">
        <v>511</v>
      </c>
      <c r="E145" s="562"/>
      <c r="F145" s="585"/>
      <c r="G145" s="562"/>
      <c r="H145" s="594"/>
      <c r="I145" s="582"/>
    </row>
    <row r="146" spans="1:9" s="310" customFormat="1" ht="12.75" customHeight="1" x14ac:dyDescent="0.2">
      <c r="A146" s="551">
        <v>14</v>
      </c>
      <c r="B146" s="565">
        <v>3362</v>
      </c>
      <c r="C146" s="566" t="s">
        <v>309</v>
      </c>
      <c r="D146" s="595" t="str">
        <f>$D$14</f>
        <v>FTE May 2026</v>
      </c>
      <c r="E146" s="555">
        <f>'3362'!$J$124</f>
        <v>159135.13</v>
      </c>
      <c r="F146" s="567"/>
      <c r="G146" s="555">
        <f>SUBTOTAL(109,E146:F146)</f>
        <v>159135.13</v>
      </c>
      <c r="H146" s="568"/>
      <c r="I146" s="579"/>
    </row>
    <row r="147" spans="1:9" s="310" customFormat="1" ht="12.75" customHeight="1" x14ac:dyDescent="0.2">
      <c r="A147" s="551">
        <v>15</v>
      </c>
      <c r="B147" s="565" t="s">
        <v>231</v>
      </c>
      <c r="C147" s="566" t="s">
        <v>232</v>
      </c>
      <c r="D147" s="595" t="str">
        <f>$D$14</f>
        <v>FTE May 2026</v>
      </c>
      <c r="E147" s="555">
        <f>'3381'!$J$124</f>
        <v>780619.56</v>
      </c>
      <c r="F147" s="567"/>
      <c r="G147" s="555">
        <f>SUBTOTAL(109,E147:F155)</f>
        <v>780619.56</v>
      </c>
      <c r="H147" s="594"/>
      <c r="I147" s="582"/>
    </row>
    <row r="148" spans="1:9" s="310" customFormat="1" ht="12.75" hidden="1" customHeight="1" x14ac:dyDescent="0.2">
      <c r="A148" s="551"/>
      <c r="B148" s="565"/>
      <c r="C148" s="566"/>
      <c r="D148" s="569" t="s">
        <v>489</v>
      </c>
      <c r="E148" s="555"/>
      <c r="F148" s="567"/>
      <c r="G148" s="555"/>
      <c r="H148" s="568"/>
      <c r="I148" s="579"/>
    </row>
    <row r="149" spans="1:9" ht="12.75" hidden="1" customHeight="1" x14ac:dyDescent="0.2">
      <c r="A149" s="551"/>
      <c r="B149" s="565"/>
      <c r="C149" s="566"/>
      <c r="D149" s="570" t="s">
        <v>490</v>
      </c>
      <c r="E149" s="555"/>
      <c r="F149" s="567"/>
      <c r="G149" s="555"/>
      <c r="H149" s="599"/>
      <c r="I149" s="582"/>
    </row>
    <row r="150" spans="1:9" s="310" customFormat="1" ht="12.75" hidden="1" customHeight="1" x14ac:dyDescent="0.2">
      <c r="A150" s="551"/>
      <c r="B150" s="565"/>
      <c r="C150" s="566"/>
      <c r="D150" s="569" t="s">
        <v>491</v>
      </c>
      <c r="E150" s="555"/>
      <c r="F150" s="567"/>
      <c r="G150" s="555"/>
      <c r="H150" s="594"/>
      <c r="I150" s="582"/>
    </row>
    <row r="151" spans="1:9" s="310" customFormat="1" ht="12.75" hidden="1" customHeight="1" x14ac:dyDescent="0.2">
      <c r="A151" s="551"/>
      <c r="B151" s="565"/>
      <c r="C151" s="566"/>
      <c r="D151" s="569" t="s">
        <v>492</v>
      </c>
      <c r="E151" s="555"/>
      <c r="F151" s="567"/>
      <c r="G151" s="555"/>
      <c r="H151" s="594"/>
      <c r="I151" s="582"/>
    </row>
    <row r="152" spans="1:9" s="310" customFormat="1" ht="12.75" hidden="1" customHeight="1" x14ac:dyDescent="0.2">
      <c r="A152" s="551"/>
      <c r="B152" s="565"/>
      <c r="C152" s="566"/>
      <c r="D152" s="569" t="s">
        <v>493</v>
      </c>
      <c r="E152" s="555"/>
      <c r="F152" s="567"/>
      <c r="G152" s="555"/>
      <c r="H152" s="594"/>
      <c r="I152" s="582"/>
    </row>
    <row r="153" spans="1:9" s="310" customFormat="1" ht="12.75" hidden="1" customHeight="1" x14ac:dyDescent="0.2">
      <c r="A153" s="551"/>
      <c r="B153" s="565"/>
      <c r="C153" s="566"/>
      <c r="D153" s="569" t="s">
        <v>494</v>
      </c>
      <c r="E153" s="555"/>
      <c r="F153" s="567"/>
      <c r="G153" s="555"/>
      <c r="H153" s="594"/>
      <c r="I153" s="582"/>
    </row>
    <row r="154" spans="1:9" s="310" customFormat="1" ht="12.75" hidden="1" customHeight="1" x14ac:dyDescent="0.2">
      <c r="A154" s="551"/>
      <c r="B154" s="565"/>
      <c r="C154" s="566"/>
      <c r="D154" s="569" t="s">
        <v>520</v>
      </c>
      <c r="E154" s="555"/>
      <c r="F154" s="567"/>
      <c r="G154" s="555"/>
      <c r="H154" s="594"/>
      <c r="I154" s="582"/>
    </row>
    <row r="155" spans="1:9" s="310" customFormat="1" ht="12.75" hidden="1" customHeight="1" x14ac:dyDescent="0.2">
      <c r="A155" s="551"/>
      <c r="B155" s="565"/>
      <c r="C155" s="566"/>
      <c r="D155" s="598" t="s">
        <v>511</v>
      </c>
      <c r="E155" s="555"/>
      <c r="F155" s="567"/>
      <c r="G155" s="555"/>
      <c r="H155" s="568"/>
      <c r="I155" s="579"/>
    </row>
    <row r="156" spans="1:9" s="310" customFormat="1" ht="12.75" customHeight="1" x14ac:dyDescent="0.2">
      <c r="A156" s="260">
        <v>16</v>
      </c>
      <c r="B156" s="582" t="s">
        <v>233</v>
      </c>
      <c r="C156" s="583" t="s">
        <v>234</v>
      </c>
      <c r="D156" s="584" t="str">
        <f>$D$14</f>
        <v>FTE May 2026</v>
      </c>
      <c r="E156" s="562">
        <f>'3382'!$J$124</f>
        <v>159713.42000000001</v>
      </c>
      <c r="F156" s="585"/>
      <c r="G156" s="562">
        <f>SUBTOTAL(109,E156:F164)</f>
        <v>159713.42000000001</v>
      </c>
      <c r="H156" s="568"/>
      <c r="I156" s="579"/>
    </row>
    <row r="157" spans="1:9" s="310" customFormat="1" ht="12.75" hidden="1" customHeight="1" x14ac:dyDescent="0.2">
      <c r="A157" s="260"/>
      <c r="B157" s="582"/>
      <c r="C157" s="583"/>
      <c r="D157" s="253" t="s">
        <v>512</v>
      </c>
      <c r="E157" s="562"/>
      <c r="F157" s="585"/>
      <c r="G157" s="562"/>
      <c r="H157" s="594"/>
      <c r="I157" s="582"/>
    </row>
    <row r="158" spans="1:9" s="310" customFormat="1" ht="12.75" hidden="1" customHeight="1" x14ac:dyDescent="0.2">
      <c r="A158" s="260"/>
      <c r="B158" s="582"/>
      <c r="C158" s="583"/>
      <c r="D158" s="587" t="s">
        <v>490</v>
      </c>
      <c r="E158" s="562"/>
      <c r="F158" s="585"/>
      <c r="G158" s="562"/>
      <c r="H158" s="594"/>
      <c r="I158" s="582"/>
    </row>
    <row r="159" spans="1:9" s="310" customFormat="1" ht="12.75" hidden="1" customHeight="1" x14ac:dyDescent="0.2">
      <c r="A159" s="260"/>
      <c r="B159" s="582"/>
      <c r="C159" s="583"/>
      <c r="D159" s="253" t="s">
        <v>491</v>
      </c>
      <c r="E159" s="562"/>
      <c r="F159" s="585"/>
      <c r="G159" s="562"/>
      <c r="H159" s="568"/>
      <c r="I159" s="590"/>
    </row>
    <row r="160" spans="1:9" s="310" customFormat="1" ht="12.75" hidden="1" customHeight="1" x14ac:dyDescent="0.2">
      <c r="A160" s="260"/>
      <c r="B160" s="582"/>
      <c r="C160" s="583"/>
      <c r="D160" s="253" t="s">
        <v>492</v>
      </c>
      <c r="E160" s="562"/>
      <c r="F160" s="585"/>
      <c r="G160" s="562"/>
      <c r="H160" s="594"/>
      <c r="I160" s="582"/>
    </row>
    <row r="161" spans="1:15" s="310" customFormat="1" ht="12.75" hidden="1" customHeight="1" x14ac:dyDescent="0.2">
      <c r="A161" s="260"/>
      <c r="B161" s="582"/>
      <c r="C161" s="583"/>
      <c r="D161" s="253" t="s">
        <v>493</v>
      </c>
      <c r="E161" s="562"/>
      <c r="F161" s="585"/>
      <c r="G161" s="562"/>
      <c r="H161" s="594"/>
      <c r="I161" s="582"/>
    </row>
    <row r="162" spans="1:15" s="310" customFormat="1" ht="12.75" hidden="1" customHeight="1" x14ac:dyDescent="0.2">
      <c r="A162" s="260"/>
      <c r="B162" s="582"/>
      <c r="C162" s="583"/>
      <c r="D162" s="253" t="s">
        <v>494</v>
      </c>
      <c r="E162" s="562"/>
      <c r="F162" s="585"/>
      <c r="G162" s="562"/>
      <c r="H162" s="594"/>
      <c r="I162" s="582"/>
    </row>
    <row r="163" spans="1:15" s="310" customFormat="1" ht="12.75" hidden="1" customHeight="1" x14ac:dyDescent="0.2">
      <c r="A163" s="260"/>
      <c r="B163" s="582"/>
      <c r="C163" s="583"/>
      <c r="D163" s="253" t="s">
        <v>514</v>
      </c>
      <c r="E163" s="562"/>
      <c r="F163" s="585"/>
      <c r="G163" s="562"/>
      <c r="H163" s="568"/>
      <c r="I163" s="579"/>
    </row>
    <row r="164" spans="1:15" s="310" customFormat="1" ht="12.75" hidden="1" customHeight="1" x14ac:dyDescent="0.2">
      <c r="A164" s="260"/>
      <c r="B164" s="582"/>
      <c r="C164" s="590"/>
      <c r="D164" s="591" t="s">
        <v>511</v>
      </c>
      <c r="E164" s="562"/>
      <c r="F164" s="585"/>
      <c r="G164" s="562"/>
      <c r="H164" s="568"/>
      <c r="I164" s="575"/>
    </row>
    <row r="165" spans="1:15" ht="12.75" customHeight="1" x14ac:dyDescent="0.2">
      <c r="A165" s="551">
        <v>17</v>
      </c>
      <c r="B165" s="565" t="s">
        <v>235</v>
      </c>
      <c r="C165" s="566" t="s">
        <v>236</v>
      </c>
      <c r="D165" s="595" t="str">
        <f>$D$14</f>
        <v>FTE May 2026</v>
      </c>
      <c r="E165" s="555">
        <f>'3391'!$J$124</f>
        <v>0</v>
      </c>
      <c r="F165" s="567"/>
      <c r="G165" s="555">
        <f>SUBTOTAL(109,E165:F173)</f>
        <v>0</v>
      </c>
      <c r="H165" s="599"/>
      <c r="I165" s="582"/>
    </row>
    <row r="166" spans="1:15" s="310" customFormat="1" ht="12" hidden="1" customHeight="1" x14ac:dyDescent="0.2">
      <c r="A166" s="551"/>
      <c r="B166" s="565"/>
      <c r="C166" s="566"/>
      <c r="D166" s="569" t="s">
        <v>489</v>
      </c>
      <c r="E166" s="555"/>
      <c r="F166" s="567"/>
      <c r="G166" s="555"/>
      <c r="H166" s="594"/>
      <c r="I166" s="582"/>
      <c r="O166" s="589"/>
    </row>
    <row r="167" spans="1:15" s="310" customFormat="1" ht="12.75" hidden="1" customHeight="1" x14ac:dyDescent="0.2">
      <c r="A167" s="551"/>
      <c r="B167" s="565"/>
      <c r="C167" s="566"/>
      <c r="D167" s="569" t="s">
        <v>490</v>
      </c>
      <c r="E167" s="555"/>
      <c r="F167" s="567"/>
      <c r="G167" s="555"/>
      <c r="H167" s="594"/>
      <c r="I167" s="582"/>
    </row>
    <row r="168" spans="1:15" s="310" customFormat="1" ht="12.75" hidden="1" customHeight="1" x14ac:dyDescent="0.2">
      <c r="A168" s="551"/>
      <c r="B168" s="565"/>
      <c r="C168" s="566"/>
      <c r="D168" s="570" t="s">
        <v>509</v>
      </c>
      <c r="E168" s="555"/>
      <c r="F168" s="567"/>
      <c r="G168" s="555"/>
      <c r="H168" s="568"/>
      <c r="I168" s="590"/>
    </row>
    <row r="169" spans="1:15" s="310" customFormat="1" ht="12.75" hidden="1" customHeight="1" x14ac:dyDescent="0.2">
      <c r="A169" s="551"/>
      <c r="B169" s="565"/>
      <c r="C169" s="566"/>
      <c r="D169" s="569" t="s">
        <v>491</v>
      </c>
      <c r="E169" s="555"/>
      <c r="F169" s="567"/>
      <c r="G169" s="555"/>
      <c r="H169" s="594"/>
      <c r="I169" s="582"/>
    </row>
    <row r="170" spans="1:15" s="310" customFormat="1" ht="12.75" hidden="1" customHeight="1" x14ac:dyDescent="0.2">
      <c r="A170" s="551"/>
      <c r="B170" s="565"/>
      <c r="C170" s="566"/>
      <c r="D170" s="569" t="s">
        <v>492</v>
      </c>
      <c r="E170" s="555"/>
      <c r="F170" s="567"/>
      <c r="G170" s="555"/>
      <c r="H170" s="594"/>
      <c r="I170" s="582"/>
    </row>
    <row r="171" spans="1:15" s="310" customFormat="1" ht="12.75" hidden="1" customHeight="1" x14ac:dyDescent="0.2">
      <c r="A171" s="551"/>
      <c r="B171" s="565"/>
      <c r="C171" s="566"/>
      <c r="D171" s="569" t="s">
        <v>493</v>
      </c>
      <c r="E171" s="555"/>
      <c r="F171" s="567"/>
      <c r="G171" s="555"/>
      <c r="H171" s="594"/>
      <c r="I171" s="582"/>
    </row>
    <row r="172" spans="1:15" s="310" customFormat="1" ht="12.75" hidden="1" customHeight="1" x14ac:dyDescent="0.2">
      <c r="A172" s="551"/>
      <c r="B172" s="565"/>
      <c r="C172" s="566"/>
      <c r="D172" s="569" t="s">
        <v>494</v>
      </c>
      <c r="E172" s="555"/>
      <c r="F172" s="567"/>
      <c r="G172" s="555"/>
      <c r="H172" s="568"/>
      <c r="I172" s="579"/>
    </row>
    <row r="173" spans="1:15" s="310" customFormat="1" ht="12.75" hidden="1" customHeight="1" x14ac:dyDescent="0.2">
      <c r="A173" s="551"/>
      <c r="B173" s="565"/>
      <c r="C173" s="566"/>
      <c r="D173" s="598"/>
      <c r="E173" s="555"/>
      <c r="F173" s="567"/>
      <c r="G173" s="555"/>
      <c r="H173" s="594"/>
      <c r="I173" s="579"/>
    </row>
    <row r="174" spans="1:15" ht="12.75" customHeight="1" x14ac:dyDescent="0.2">
      <c r="A174" s="260">
        <v>18</v>
      </c>
      <c r="B174" s="582" t="s">
        <v>237</v>
      </c>
      <c r="C174" s="583" t="s">
        <v>238</v>
      </c>
      <c r="D174" s="584" t="str">
        <f>$D$14</f>
        <v>FTE May 2026</v>
      </c>
      <c r="E174" s="562">
        <f>'3394'!$J$124</f>
        <v>144035.92000000001</v>
      </c>
      <c r="F174" s="585" t="s">
        <v>52</v>
      </c>
      <c r="G174" s="562">
        <f>SUBTOTAL(109,E174:F183)</f>
        <v>144035.92000000001</v>
      </c>
      <c r="H174" s="599"/>
      <c r="I174" s="582"/>
    </row>
    <row r="175" spans="1:15" s="310" customFormat="1" ht="12.75" hidden="1" customHeight="1" x14ac:dyDescent="0.2">
      <c r="A175" s="260"/>
      <c r="B175" s="582"/>
      <c r="C175" s="583"/>
      <c r="D175" s="253" t="s">
        <v>512</v>
      </c>
      <c r="E175" s="562"/>
      <c r="F175" s="585"/>
      <c r="G175" s="562"/>
      <c r="H175" s="594"/>
      <c r="I175" s="600"/>
    </row>
    <row r="176" spans="1:15" s="310" customFormat="1" ht="12.75" hidden="1" customHeight="1" x14ac:dyDescent="0.2">
      <c r="A176" s="260"/>
      <c r="B176" s="582"/>
      <c r="C176" s="583"/>
      <c r="D176" s="587" t="s">
        <v>490</v>
      </c>
      <c r="E176" s="562"/>
      <c r="F176" s="585"/>
      <c r="G176" s="562"/>
      <c r="H176" s="594"/>
      <c r="I176" s="600"/>
    </row>
    <row r="177" spans="1:9" s="310" customFormat="1" ht="12.75" hidden="1" customHeight="1" x14ac:dyDescent="0.2">
      <c r="A177" s="260"/>
      <c r="B177" s="582"/>
      <c r="C177" s="583"/>
      <c r="D177" s="253" t="s">
        <v>491</v>
      </c>
      <c r="E177" s="562"/>
      <c r="F177" s="585"/>
      <c r="G177" s="562"/>
      <c r="H177" s="568"/>
      <c r="I177" s="590"/>
    </row>
    <row r="178" spans="1:9" s="310" customFormat="1" ht="12.75" hidden="1" customHeight="1" x14ac:dyDescent="0.2">
      <c r="A178" s="260"/>
      <c r="B178" s="582"/>
      <c r="C178" s="583"/>
      <c r="D178" s="253" t="s">
        <v>492</v>
      </c>
      <c r="E178" s="562"/>
      <c r="F178" s="585"/>
      <c r="G178" s="562"/>
      <c r="H178" s="568"/>
      <c r="I178" s="590"/>
    </row>
    <row r="179" spans="1:9" s="310" customFormat="1" ht="12.75" hidden="1" customHeight="1" x14ac:dyDescent="0.2">
      <c r="A179" s="260"/>
      <c r="B179" s="582"/>
      <c r="C179" s="583"/>
      <c r="D179" s="253" t="s">
        <v>493</v>
      </c>
      <c r="E179" s="562"/>
      <c r="F179" s="585"/>
      <c r="G179" s="562"/>
      <c r="H179" s="594"/>
      <c r="I179" s="600"/>
    </row>
    <row r="180" spans="1:9" s="310" customFormat="1" ht="12.75" hidden="1" customHeight="1" x14ac:dyDescent="0.2">
      <c r="A180" s="260"/>
      <c r="B180" s="582"/>
      <c r="C180" s="583"/>
      <c r="D180" s="253" t="s">
        <v>494</v>
      </c>
      <c r="E180" s="562"/>
      <c r="F180" s="585"/>
      <c r="G180" s="562"/>
      <c r="H180" s="594"/>
      <c r="I180" s="600"/>
    </row>
    <row r="181" spans="1:9" s="310" customFormat="1" ht="12.75" hidden="1" customHeight="1" x14ac:dyDescent="0.2">
      <c r="A181" s="260"/>
      <c r="B181" s="582"/>
      <c r="C181" s="583"/>
      <c r="D181" s="253" t="s">
        <v>520</v>
      </c>
      <c r="E181" s="562"/>
      <c r="F181" s="585"/>
      <c r="G181" s="562"/>
      <c r="H181" s="594"/>
      <c r="I181" s="600"/>
    </row>
    <row r="182" spans="1:9" s="310" customFormat="1" ht="12.75" hidden="1" customHeight="1" x14ac:dyDescent="0.2">
      <c r="A182" s="260"/>
      <c r="B182" s="582"/>
      <c r="C182" s="583"/>
      <c r="D182" s="591" t="s">
        <v>521</v>
      </c>
      <c r="E182" s="562"/>
      <c r="F182" s="585"/>
      <c r="G182" s="562"/>
      <c r="H182" s="568"/>
      <c r="I182" s="579"/>
    </row>
    <row r="183" spans="1:9" s="310" customFormat="1" ht="12.75" hidden="1" customHeight="1" x14ac:dyDescent="0.2">
      <c r="A183" s="260"/>
      <c r="B183" s="582"/>
      <c r="C183" s="583"/>
      <c r="D183" s="591" t="s">
        <v>522</v>
      </c>
      <c r="E183" s="562"/>
      <c r="F183" s="585"/>
      <c r="G183" s="562"/>
      <c r="H183" s="568"/>
      <c r="I183" s="579"/>
    </row>
    <row r="184" spans="1:9" s="310" customFormat="1" ht="12" customHeight="1" x14ac:dyDescent="0.2">
      <c r="A184" s="551">
        <v>19</v>
      </c>
      <c r="B184" s="565" t="s">
        <v>239</v>
      </c>
      <c r="C184" s="596" t="s">
        <v>311</v>
      </c>
      <c r="D184" s="595" t="str">
        <f>$D$14</f>
        <v>FTE May 2026</v>
      </c>
      <c r="E184" s="555">
        <f>'3395'!$J$124</f>
        <v>400297.65</v>
      </c>
      <c r="F184" s="567"/>
      <c r="G184" s="555">
        <f>SUBTOTAL(109,E184:F191)</f>
        <v>400277.53</v>
      </c>
      <c r="H184" s="594"/>
      <c r="I184" s="600"/>
    </row>
    <row r="185" spans="1:9" s="310" customFormat="1" ht="12.75" hidden="1" customHeight="1" x14ac:dyDescent="0.2">
      <c r="A185" s="551"/>
      <c r="B185" s="565"/>
      <c r="C185" s="566"/>
      <c r="D185" s="569" t="s">
        <v>489</v>
      </c>
      <c r="E185" s="555"/>
      <c r="F185" s="567"/>
      <c r="G185" s="555"/>
      <c r="H185" s="594"/>
      <c r="I185" s="600"/>
    </row>
    <row r="186" spans="1:9" s="310" customFormat="1" ht="12.75" hidden="1" customHeight="1" x14ac:dyDescent="0.2">
      <c r="A186" s="551"/>
      <c r="B186" s="565"/>
      <c r="C186" s="566"/>
      <c r="D186" s="570" t="s">
        <v>490</v>
      </c>
      <c r="E186" s="555"/>
      <c r="F186" s="567"/>
      <c r="G186" s="555"/>
      <c r="H186" s="568"/>
      <c r="I186" s="590"/>
    </row>
    <row r="187" spans="1:9" s="310" customFormat="1" ht="12.75" hidden="1" customHeight="1" x14ac:dyDescent="0.2">
      <c r="A187" s="551"/>
      <c r="B187" s="565"/>
      <c r="C187" s="566"/>
      <c r="D187" s="569" t="s">
        <v>491</v>
      </c>
      <c r="E187" s="555"/>
      <c r="F187" s="567"/>
      <c r="G187" s="555"/>
      <c r="H187" s="594"/>
      <c r="I187" s="600"/>
    </row>
    <row r="188" spans="1:9" s="310" customFormat="1" ht="12.75" hidden="1" customHeight="1" x14ac:dyDescent="0.2">
      <c r="A188" s="551"/>
      <c r="B188" s="565"/>
      <c r="C188" s="566"/>
      <c r="D188" s="569" t="s">
        <v>492</v>
      </c>
      <c r="E188" s="555"/>
      <c r="F188" s="567"/>
      <c r="G188" s="555"/>
      <c r="H188" s="594"/>
      <c r="I188" s="600"/>
    </row>
    <row r="189" spans="1:9" s="310" customFormat="1" ht="12.75" hidden="1" customHeight="1" x14ac:dyDescent="0.2">
      <c r="A189" s="551"/>
      <c r="B189" s="565"/>
      <c r="C189" s="566"/>
      <c r="D189" s="569" t="s">
        <v>493</v>
      </c>
      <c r="E189" s="555"/>
      <c r="F189" s="567"/>
      <c r="G189" s="555"/>
      <c r="H189" s="594"/>
      <c r="I189" s="600"/>
    </row>
    <row r="190" spans="1:9" s="310" customFormat="1" ht="12.75" customHeight="1" x14ac:dyDescent="0.2">
      <c r="A190" s="551"/>
      <c r="B190" s="565"/>
      <c r="C190" s="566"/>
      <c r="D190" s="576" t="s">
        <v>580</v>
      </c>
      <c r="E190" s="555"/>
      <c r="F190" s="567">
        <v>-20.12</v>
      </c>
      <c r="G190" s="555"/>
      <c r="H190" s="594"/>
      <c r="I190" s="575"/>
    </row>
    <row r="191" spans="1:9" s="310" customFormat="1" ht="12.75" hidden="1" customHeight="1" x14ac:dyDescent="0.2">
      <c r="A191" s="551"/>
      <c r="B191" s="565"/>
      <c r="C191" s="566"/>
      <c r="D191" s="576"/>
      <c r="E191" s="601"/>
      <c r="F191" s="567"/>
      <c r="G191" s="555"/>
      <c r="H191" s="594"/>
      <c r="I191" s="575"/>
    </row>
    <row r="192" spans="1:9" s="310" customFormat="1" ht="12.75" customHeight="1" x14ac:dyDescent="0.2">
      <c r="A192" s="260">
        <v>20</v>
      </c>
      <c r="B192" s="582" t="s">
        <v>241</v>
      </c>
      <c r="C192" s="597" t="s">
        <v>242</v>
      </c>
      <c r="D192" s="584" t="str">
        <f>$D$14</f>
        <v>FTE May 2026</v>
      </c>
      <c r="E192" s="562">
        <f>'3396'!$J$124</f>
        <v>486738.7</v>
      </c>
      <c r="F192" s="585"/>
      <c r="G192" s="562">
        <f>SUBTOTAL(109,E192:F199)</f>
        <v>486738.7</v>
      </c>
      <c r="H192" s="594"/>
      <c r="I192" s="600"/>
    </row>
    <row r="193" spans="1:9" s="310" customFormat="1" ht="12.75" hidden="1" customHeight="1" x14ac:dyDescent="0.2">
      <c r="A193" s="260"/>
      <c r="B193" s="582"/>
      <c r="C193" s="597"/>
      <c r="D193" s="253" t="s">
        <v>512</v>
      </c>
      <c r="E193" s="562"/>
      <c r="F193" s="585"/>
      <c r="G193" s="562"/>
      <c r="H193" s="594"/>
      <c r="I193" s="600"/>
    </row>
    <row r="194" spans="1:9" s="310" customFormat="1" ht="12.75" hidden="1" customHeight="1" x14ac:dyDescent="0.2">
      <c r="A194" s="260"/>
      <c r="B194" s="582"/>
      <c r="C194" s="597"/>
      <c r="D194" s="253" t="s">
        <v>490</v>
      </c>
      <c r="E194" s="562"/>
      <c r="F194" s="585"/>
      <c r="G194" s="562"/>
      <c r="H194" s="594"/>
      <c r="I194" s="600"/>
    </row>
    <row r="195" spans="1:9" s="310" customFormat="1" ht="12.75" hidden="1" customHeight="1" x14ac:dyDescent="0.2">
      <c r="A195" s="260"/>
      <c r="B195" s="582"/>
      <c r="C195" s="597"/>
      <c r="D195" s="253" t="s">
        <v>492</v>
      </c>
      <c r="E195" s="562"/>
      <c r="F195" s="585"/>
      <c r="G195" s="562"/>
      <c r="H195" s="568"/>
      <c r="I195" s="590"/>
    </row>
    <row r="196" spans="1:9" s="310" customFormat="1" ht="12.75" hidden="1" customHeight="1" x14ac:dyDescent="0.2">
      <c r="A196" s="260"/>
      <c r="B196" s="582"/>
      <c r="C196" s="597"/>
      <c r="D196" s="253" t="s">
        <v>493</v>
      </c>
      <c r="E196" s="562"/>
      <c r="F196" s="585"/>
      <c r="G196" s="562"/>
      <c r="H196" s="594"/>
      <c r="I196" s="600"/>
    </row>
    <row r="197" spans="1:9" s="310" customFormat="1" ht="12.75" hidden="1" customHeight="1" x14ac:dyDescent="0.2">
      <c r="A197" s="260"/>
      <c r="B197" s="582"/>
      <c r="C197" s="583"/>
      <c r="D197" s="253" t="s">
        <v>494</v>
      </c>
      <c r="E197" s="562"/>
      <c r="F197" s="585"/>
      <c r="G197" s="562"/>
      <c r="H197" s="594"/>
      <c r="I197" s="600"/>
    </row>
    <row r="198" spans="1:9" s="310" customFormat="1" ht="12.75" hidden="1" customHeight="1" x14ac:dyDescent="0.2">
      <c r="A198" s="260"/>
      <c r="B198" s="582"/>
      <c r="C198" s="583"/>
      <c r="D198" s="253" t="s">
        <v>520</v>
      </c>
      <c r="E198" s="562"/>
      <c r="F198" s="585"/>
      <c r="G198" s="562"/>
      <c r="H198" s="594"/>
      <c r="I198" s="600"/>
    </row>
    <row r="199" spans="1:9" s="310" customFormat="1" ht="12.75" hidden="1" customHeight="1" x14ac:dyDescent="0.2">
      <c r="A199" s="260"/>
      <c r="B199" s="582"/>
      <c r="C199" s="583"/>
      <c r="D199" s="591" t="s">
        <v>511</v>
      </c>
      <c r="E199" s="562"/>
      <c r="F199" s="585"/>
      <c r="G199" s="562"/>
      <c r="H199" s="568"/>
      <c r="I199" s="579"/>
    </row>
    <row r="200" spans="1:9" s="310" customFormat="1" ht="12.75" customHeight="1" x14ac:dyDescent="0.2">
      <c r="A200" s="551">
        <f>A192+1</f>
        <v>21</v>
      </c>
      <c r="B200" s="565" t="s">
        <v>243</v>
      </c>
      <c r="C200" s="566" t="s">
        <v>244</v>
      </c>
      <c r="D200" s="595" t="str">
        <f>$D$14</f>
        <v>FTE May 2026</v>
      </c>
      <c r="E200" s="555">
        <f>'3398'!$J$124</f>
        <v>71414.320000000007</v>
      </c>
      <c r="F200" s="567"/>
      <c r="G200" s="555">
        <f>SUBTOTAL(109,E200:F206)</f>
        <v>71414.320000000007</v>
      </c>
      <c r="H200" s="594"/>
      <c r="I200" s="575"/>
    </row>
    <row r="201" spans="1:9" ht="12.75" hidden="1" customHeight="1" x14ac:dyDescent="0.2">
      <c r="A201" s="551"/>
      <c r="B201" s="565"/>
      <c r="C201" s="566"/>
      <c r="D201" s="569" t="s">
        <v>489</v>
      </c>
      <c r="E201" s="555"/>
      <c r="F201" s="567"/>
      <c r="G201" s="555"/>
      <c r="H201" s="599"/>
      <c r="I201" s="602"/>
    </row>
    <row r="202" spans="1:9" s="310" customFormat="1" ht="12.75" hidden="1" customHeight="1" x14ac:dyDescent="0.2">
      <c r="A202" s="551"/>
      <c r="B202" s="565"/>
      <c r="C202" s="566"/>
      <c r="D202" s="569" t="s">
        <v>490</v>
      </c>
      <c r="E202" s="555"/>
      <c r="F202" s="567"/>
      <c r="G202" s="555"/>
      <c r="H202" s="594"/>
      <c r="I202" s="600"/>
    </row>
    <row r="203" spans="1:9" s="310" customFormat="1" ht="12.75" hidden="1" customHeight="1" x14ac:dyDescent="0.2">
      <c r="A203" s="551"/>
      <c r="B203" s="565"/>
      <c r="C203" s="566"/>
      <c r="D203" s="569" t="s">
        <v>492</v>
      </c>
      <c r="E203" s="555"/>
      <c r="F203" s="567"/>
      <c r="G203" s="555"/>
      <c r="H203" s="594"/>
      <c r="I203" s="600"/>
    </row>
    <row r="204" spans="1:9" s="310" customFormat="1" ht="12.75" hidden="1" customHeight="1" x14ac:dyDescent="0.2">
      <c r="A204" s="551"/>
      <c r="B204" s="565"/>
      <c r="C204" s="572"/>
      <c r="D204" s="569" t="s">
        <v>493</v>
      </c>
      <c r="E204" s="555"/>
      <c r="F204" s="567"/>
      <c r="G204" s="555"/>
      <c r="H204" s="594"/>
    </row>
    <row r="205" spans="1:9" s="310" customFormat="1" ht="12.75" hidden="1" customHeight="1" x14ac:dyDescent="0.2">
      <c r="A205" s="551"/>
      <c r="B205" s="565"/>
      <c r="C205" s="566"/>
      <c r="D205" s="569" t="s">
        <v>494</v>
      </c>
      <c r="E205" s="555"/>
      <c r="F205" s="567"/>
      <c r="G205" s="555"/>
      <c r="H205" s="594"/>
    </row>
    <row r="206" spans="1:9" s="310" customFormat="1" ht="12.75" hidden="1" customHeight="1" x14ac:dyDescent="0.2">
      <c r="A206" s="551"/>
      <c r="B206" s="565"/>
      <c r="C206" s="572"/>
      <c r="D206" s="598" t="s">
        <v>511</v>
      </c>
      <c r="E206" s="555"/>
      <c r="F206" s="567"/>
      <c r="G206" s="555"/>
      <c r="H206" s="594"/>
    </row>
    <row r="207" spans="1:9" s="310" customFormat="1" ht="12.75" customHeight="1" x14ac:dyDescent="0.2">
      <c r="A207" s="260">
        <f>A200+1</f>
        <v>22</v>
      </c>
      <c r="B207" s="582" t="s">
        <v>245</v>
      </c>
      <c r="C207" s="583" t="s">
        <v>246</v>
      </c>
      <c r="D207" s="584" t="str">
        <f>$D$14</f>
        <v>FTE May 2026</v>
      </c>
      <c r="E207" s="562">
        <f>'3400'!$J$124</f>
        <v>86497.22</v>
      </c>
      <c r="F207" s="585"/>
      <c r="G207" s="562">
        <f>SUBTOTAL(109,E207:F214)</f>
        <v>86497.22</v>
      </c>
      <c r="H207" s="568"/>
      <c r="I207" s="579"/>
    </row>
    <row r="208" spans="1:9" s="310" customFormat="1" ht="12.75" hidden="1" customHeight="1" x14ac:dyDescent="0.2">
      <c r="A208" s="260"/>
      <c r="B208" s="582"/>
      <c r="C208" s="583"/>
      <c r="D208" s="253" t="s">
        <v>512</v>
      </c>
      <c r="E208" s="562"/>
      <c r="F208" s="585"/>
      <c r="G208" s="562"/>
      <c r="H208" s="594"/>
      <c r="I208" s="575"/>
    </row>
    <row r="209" spans="1:9" s="310" customFormat="1" ht="12.75" hidden="1" customHeight="1" x14ac:dyDescent="0.2">
      <c r="A209" s="260"/>
      <c r="B209" s="582"/>
      <c r="C209" s="583"/>
      <c r="D209" s="587" t="s">
        <v>519</v>
      </c>
      <c r="E209" s="562"/>
      <c r="F209" s="585"/>
      <c r="G209" s="562"/>
      <c r="H209" s="594"/>
      <c r="I209" s="600"/>
    </row>
    <row r="210" spans="1:9" s="310" customFormat="1" ht="12.75" hidden="1" customHeight="1" x14ac:dyDescent="0.2">
      <c r="A210" s="260"/>
      <c r="B210" s="582"/>
      <c r="C210" s="583"/>
      <c r="D210" s="253" t="s">
        <v>491</v>
      </c>
      <c r="E210" s="562"/>
      <c r="F210" s="585"/>
      <c r="G210" s="562"/>
      <c r="H210" s="594"/>
      <c r="I210" s="600"/>
    </row>
    <row r="211" spans="1:9" s="310" customFormat="1" ht="12.75" hidden="1" customHeight="1" x14ac:dyDescent="0.2">
      <c r="A211" s="260"/>
      <c r="B211" s="582"/>
      <c r="C211" s="583"/>
      <c r="D211" s="253" t="s">
        <v>492</v>
      </c>
      <c r="E211" s="562"/>
      <c r="F211" s="585"/>
      <c r="G211" s="562"/>
      <c r="H211" s="594"/>
      <c r="I211" s="600"/>
    </row>
    <row r="212" spans="1:9" s="310" customFormat="1" ht="12.75" hidden="1" customHeight="1" x14ac:dyDescent="0.2">
      <c r="A212" s="260"/>
      <c r="B212" s="582"/>
      <c r="C212" s="583"/>
      <c r="D212" s="253" t="s">
        <v>493</v>
      </c>
      <c r="E212" s="562"/>
      <c r="F212" s="585"/>
      <c r="G212" s="562"/>
      <c r="H212" s="594"/>
    </row>
    <row r="213" spans="1:9" s="310" customFormat="1" ht="12.75" hidden="1" customHeight="1" x14ac:dyDescent="0.2">
      <c r="A213" s="260"/>
      <c r="B213" s="582"/>
      <c r="C213" s="583"/>
      <c r="D213" s="253" t="s">
        <v>494</v>
      </c>
      <c r="E213" s="562"/>
      <c r="F213" s="585"/>
      <c r="G213" s="562"/>
      <c r="H213" s="594"/>
      <c r="I213" s="251"/>
    </row>
    <row r="214" spans="1:9" ht="12.75" hidden="1" customHeight="1" x14ac:dyDescent="0.2">
      <c r="A214" s="260"/>
      <c r="B214" s="582"/>
      <c r="C214" s="583"/>
      <c r="D214" s="591" t="s">
        <v>511</v>
      </c>
      <c r="E214" s="562"/>
      <c r="F214" s="585"/>
      <c r="G214" s="562"/>
      <c r="H214" s="599"/>
    </row>
    <row r="215" spans="1:9" s="310" customFormat="1" ht="12.75" customHeight="1" x14ac:dyDescent="0.2">
      <c r="A215" s="551">
        <f>A207+1</f>
        <v>23</v>
      </c>
      <c r="B215" s="565" t="s">
        <v>247</v>
      </c>
      <c r="C215" s="566" t="s">
        <v>248</v>
      </c>
      <c r="D215" s="595" t="str">
        <f>$D$14</f>
        <v>FTE May 2026</v>
      </c>
      <c r="E215" s="555">
        <f>'3401'!$J$124</f>
        <v>259437.29</v>
      </c>
      <c r="F215" s="567"/>
      <c r="G215" s="555">
        <f>SUBTOTAL(109,E215:F225)</f>
        <v>259437.29</v>
      </c>
      <c r="H215" s="568"/>
      <c r="I215" s="579"/>
    </row>
    <row r="216" spans="1:9" ht="12.75" hidden="1" customHeight="1" x14ac:dyDescent="0.2">
      <c r="A216" s="551"/>
      <c r="B216" s="565"/>
      <c r="C216" s="566"/>
      <c r="D216" s="569" t="s">
        <v>489</v>
      </c>
      <c r="E216" s="555"/>
      <c r="F216" s="567"/>
      <c r="G216" s="555"/>
      <c r="H216" s="599"/>
      <c r="I216" s="600"/>
    </row>
    <row r="217" spans="1:9" s="310" customFormat="1" ht="12.75" hidden="1" customHeight="1" x14ac:dyDescent="0.2">
      <c r="A217" s="551"/>
      <c r="B217" s="565"/>
      <c r="C217" s="566"/>
      <c r="D217" s="570" t="s">
        <v>490</v>
      </c>
      <c r="E217" s="555"/>
      <c r="F217" s="567"/>
      <c r="G217" s="555"/>
      <c r="H217" s="594"/>
      <c r="I217" s="600"/>
    </row>
    <row r="218" spans="1:9" s="310" customFormat="1" ht="12.75" hidden="1" customHeight="1" x14ac:dyDescent="0.2">
      <c r="A218" s="551"/>
      <c r="B218" s="565"/>
      <c r="C218" s="566"/>
      <c r="D218" s="569" t="s">
        <v>513</v>
      </c>
      <c r="E218" s="555"/>
      <c r="F218" s="567"/>
      <c r="G218" s="555"/>
      <c r="H218" s="594"/>
      <c r="I218" s="600"/>
    </row>
    <row r="219" spans="1:9" s="310" customFormat="1" ht="12.75" hidden="1" customHeight="1" x14ac:dyDescent="0.2">
      <c r="A219" s="551"/>
      <c r="B219" s="565"/>
      <c r="C219" s="566"/>
      <c r="D219" s="569" t="s">
        <v>523</v>
      </c>
      <c r="E219" s="555"/>
      <c r="F219" s="567"/>
      <c r="G219" s="555"/>
      <c r="H219" s="568"/>
      <c r="I219" s="590"/>
    </row>
    <row r="220" spans="1:9" s="310" customFormat="1" ht="12.75" hidden="1" customHeight="1" x14ac:dyDescent="0.2">
      <c r="A220" s="551"/>
      <c r="B220" s="565"/>
      <c r="C220" s="566"/>
      <c r="D220" s="569" t="s">
        <v>491</v>
      </c>
      <c r="E220" s="555"/>
      <c r="F220" s="567"/>
      <c r="G220" s="555"/>
      <c r="H220" s="594"/>
    </row>
    <row r="221" spans="1:9" s="310" customFormat="1" ht="12.75" hidden="1" customHeight="1" x14ac:dyDescent="0.2">
      <c r="A221" s="551"/>
      <c r="B221" s="565"/>
      <c r="C221" s="566"/>
      <c r="D221" s="569" t="s">
        <v>492</v>
      </c>
      <c r="E221" s="555"/>
      <c r="F221" s="567"/>
      <c r="G221" s="555"/>
      <c r="H221" s="594"/>
    </row>
    <row r="222" spans="1:9" s="310" customFormat="1" ht="12.75" hidden="1" customHeight="1" x14ac:dyDescent="0.2">
      <c r="A222" s="551"/>
      <c r="B222" s="565"/>
      <c r="C222" s="566"/>
      <c r="D222" s="569" t="s">
        <v>493</v>
      </c>
      <c r="E222" s="555"/>
      <c r="F222" s="567"/>
      <c r="G222" s="555"/>
      <c r="H222" s="594"/>
      <c r="I222" s="582"/>
    </row>
    <row r="223" spans="1:9" s="310" customFormat="1" ht="12.75" hidden="1" customHeight="1" x14ac:dyDescent="0.2">
      <c r="A223" s="551"/>
      <c r="B223" s="565"/>
      <c r="C223" s="566"/>
      <c r="D223" s="569" t="s">
        <v>494</v>
      </c>
      <c r="E223" s="555"/>
      <c r="F223" s="567"/>
      <c r="G223" s="555"/>
      <c r="H223" s="568"/>
      <c r="I223" s="579"/>
    </row>
    <row r="224" spans="1:9" s="310" customFormat="1" ht="12.75" hidden="1" customHeight="1" x14ac:dyDescent="0.2">
      <c r="A224" s="551"/>
      <c r="B224" s="565"/>
      <c r="C224" s="572"/>
      <c r="D224" s="576" t="s">
        <v>502</v>
      </c>
      <c r="E224" s="555"/>
      <c r="F224" s="567"/>
      <c r="G224" s="555"/>
      <c r="H224" s="568"/>
      <c r="I224" s="579"/>
    </row>
    <row r="225" spans="1:9" s="310" customFormat="1" ht="12.75" hidden="1" customHeight="1" x14ac:dyDescent="0.2">
      <c r="A225" s="551"/>
      <c r="B225" s="565"/>
      <c r="C225" s="566"/>
      <c r="D225" s="598" t="s">
        <v>511</v>
      </c>
      <c r="E225" s="555"/>
      <c r="F225" s="567"/>
      <c r="G225" s="555"/>
      <c r="H225" s="594"/>
      <c r="I225" s="582"/>
    </row>
    <row r="226" spans="1:9" s="310" customFormat="1" ht="12.75" customHeight="1" x14ac:dyDescent="0.2">
      <c r="A226" s="260">
        <f>A215+1</f>
        <v>24</v>
      </c>
      <c r="B226" s="582" t="s">
        <v>249</v>
      </c>
      <c r="C226" s="583" t="s">
        <v>250</v>
      </c>
      <c r="D226" s="584" t="str">
        <f>$D$14</f>
        <v>FTE May 2026</v>
      </c>
      <c r="E226" s="562">
        <f>'3413'!$J$124</f>
        <v>297200.24</v>
      </c>
      <c r="F226" s="585"/>
      <c r="G226" s="562">
        <f>SUBTOTAL(109,E226:F233)</f>
        <v>297200.24</v>
      </c>
      <c r="H226" s="594"/>
      <c r="I226" s="582"/>
    </row>
    <row r="227" spans="1:9" s="310" customFormat="1" ht="12.75" hidden="1" customHeight="1" x14ac:dyDescent="0.2">
      <c r="A227" s="260"/>
      <c r="B227" s="582"/>
      <c r="C227" s="583"/>
      <c r="D227" s="253" t="s">
        <v>512</v>
      </c>
      <c r="E227" s="562"/>
      <c r="F227" s="585"/>
      <c r="G227" s="562"/>
      <c r="H227" s="594"/>
      <c r="I227" s="582"/>
    </row>
    <row r="228" spans="1:9" s="310" customFormat="1" ht="12.75" hidden="1" customHeight="1" x14ac:dyDescent="0.2">
      <c r="A228" s="260"/>
      <c r="B228" s="582"/>
      <c r="C228" s="583"/>
      <c r="D228" s="587" t="s">
        <v>490</v>
      </c>
      <c r="E228" s="562"/>
      <c r="F228" s="585"/>
      <c r="G228" s="562"/>
      <c r="H228" s="594"/>
      <c r="I228" s="582"/>
    </row>
    <row r="229" spans="1:9" s="310" customFormat="1" ht="12.75" hidden="1" customHeight="1" x14ac:dyDescent="0.2">
      <c r="A229" s="260"/>
      <c r="B229" s="582"/>
      <c r="C229" s="583"/>
      <c r="D229" s="253" t="s">
        <v>491</v>
      </c>
      <c r="E229" s="562"/>
      <c r="F229" s="585"/>
      <c r="G229" s="562"/>
      <c r="H229" s="594"/>
      <c r="I229" s="582"/>
    </row>
    <row r="230" spans="1:9" s="310" customFormat="1" ht="12.75" hidden="1" customHeight="1" x14ac:dyDescent="0.2">
      <c r="A230" s="260"/>
      <c r="B230" s="582"/>
      <c r="C230" s="583"/>
      <c r="D230" s="253" t="s">
        <v>492</v>
      </c>
      <c r="E230" s="562"/>
      <c r="F230" s="585"/>
      <c r="G230" s="562"/>
      <c r="H230" s="594"/>
      <c r="I230" s="582"/>
    </row>
    <row r="231" spans="1:9" s="310" customFormat="1" ht="12.75" hidden="1" customHeight="1" x14ac:dyDescent="0.2">
      <c r="A231" s="260"/>
      <c r="B231" s="582"/>
      <c r="C231" s="583"/>
      <c r="D231" s="253" t="s">
        <v>493</v>
      </c>
      <c r="E231" s="562"/>
      <c r="F231" s="585"/>
      <c r="G231" s="562"/>
      <c r="H231" s="594"/>
      <c r="I231" s="582"/>
    </row>
    <row r="232" spans="1:9" s="310" customFormat="1" ht="12.75" hidden="1" customHeight="1" x14ac:dyDescent="0.2">
      <c r="A232" s="260"/>
      <c r="B232" s="582"/>
      <c r="C232" s="583"/>
      <c r="D232" s="253" t="s">
        <v>494</v>
      </c>
      <c r="E232" s="562"/>
      <c r="F232" s="585"/>
      <c r="G232" s="562"/>
      <c r="H232" s="594"/>
      <c r="I232" s="582"/>
    </row>
    <row r="233" spans="1:9" s="310" customFormat="1" ht="12.75" hidden="1" customHeight="1" x14ac:dyDescent="0.2">
      <c r="A233" s="260"/>
      <c r="B233" s="582"/>
      <c r="C233" s="583"/>
      <c r="D233" s="591" t="s">
        <v>511</v>
      </c>
      <c r="E233" s="562"/>
      <c r="F233" s="585"/>
      <c r="G233" s="562"/>
      <c r="H233" s="568"/>
      <c r="I233" s="579"/>
    </row>
    <row r="234" spans="1:9" s="310" customFormat="1" ht="12.75" customHeight="1" x14ac:dyDescent="0.2">
      <c r="A234" s="551">
        <f>A226+1</f>
        <v>25</v>
      </c>
      <c r="B234" s="565" t="s">
        <v>251</v>
      </c>
      <c r="C234" s="566" t="s">
        <v>252</v>
      </c>
      <c r="D234" s="595" t="str">
        <f>$D$14</f>
        <v>FTE May 2026</v>
      </c>
      <c r="E234" s="555">
        <f>'3421'!$J$124</f>
        <v>573403.85</v>
      </c>
      <c r="F234" s="567"/>
      <c r="G234" s="555">
        <f>SUBTOTAL(109,E234:F244)</f>
        <v>573403.85</v>
      </c>
      <c r="H234" s="594"/>
      <c r="I234" s="577"/>
    </row>
    <row r="235" spans="1:9" s="310" customFormat="1" ht="12.75" hidden="1" customHeight="1" x14ac:dyDescent="0.2">
      <c r="A235" s="551"/>
      <c r="B235" s="565"/>
      <c r="C235" s="566"/>
      <c r="D235" s="569" t="s">
        <v>489</v>
      </c>
      <c r="E235" s="555"/>
      <c r="F235" s="567"/>
      <c r="G235" s="555"/>
      <c r="H235" s="568"/>
      <c r="I235" s="579"/>
    </row>
    <row r="236" spans="1:9" s="310" customFormat="1" ht="12.75" hidden="1" customHeight="1" x14ac:dyDescent="0.2">
      <c r="A236" s="551"/>
      <c r="B236" s="565"/>
      <c r="C236" s="566"/>
      <c r="D236" s="570" t="s">
        <v>524</v>
      </c>
      <c r="E236" s="555"/>
      <c r="F236" s="567"/>
      <c r="G236" s="555"/>
      <c r="H236" s="594"/>
      <c r="I236" s="582"/>
    </row>
    <row r="237" spans="1:9" s="310" customFormat="1" ht="12.75" hidden="1" customHeight="1" x14ac:dyDescent="0.2">
      <c r="A237" s="551"/>
      <c r="B237" s="565"/>
      <c r="C237" s="566"/>
      <c r="D237" s="569" t="s">
        <v>513</v>
      </c>
      <c r="E237" s="555"/>
      <c r="F237" s="567"/>
      <c r="G237" s="555"/>
      <c r="H237" s="594"/>
      <c r="I237" s="582"/>
    </row>
    <row r="238" spans="1:9" s="310" customFormat="1" ht="12.75" hidden="1" customHeight="1" x14ac:dyDescent="0.2">
      <c r="A238" s="551"/>
      <c r="B238" s="565"/>
      <c r="C238" s="566"/>
      <c r="D238" s="569" t="s">
        <v>523</v>
      </c>
      <c r="E238" s="555"/>
      <c r="F238" s="567"/>
      <c r="G238" s="555"/>
      <c r="H238" s="568"/>
      <c r="I238" s="590"/>
    </row>
    <row r="239" spans="1:9" s="310" customFormat="1" ht="12.75" hidden="1" customHeight="1" x14ac:dyDescent="0.2">
      <c r="A239" s="551"/>
      <c r="B239" s="565"/>
      <c r="C239" s="566"/>
      <c r="D239" s="569" t="s">
        <v>491</v>
      </c>
      <c r="E239" s="555"/>
      <c r="F239" s="567"/>
      <c r="G239" s="555"/>
      <c r="H239" s="594"/>
    </row>
    <row r="240" spans="1:9" s="310" customFormat="1" ht="12.75" hidden="1" customHeight="1" x14ac:dyDescent="0.2">
      <c r="A240" s="551"/>
      <c r="B240" s="565"/>
      <c r="C240" s="566"/>
      <c r="D240" s="569" t="s">
        <v>492</v>
      </c>
      <c r="E240" s="555"/>
      <c r="F240" s="567"/>
      <c r="G240" s="555"/>
      <c r="H240" s="594"/>
    </row>
    <row r="241" spans="1:9" s="310" customFormat="1" ht="12.75" hidden="1" customHeight="1" x14ac:dyDescent="0.2">
      <c r="A241" s="551"/>
      <c r="B241" s="565"/>
      <c r="C241" s="566"/>
      <c r="D241" s="569" t="s">
        <v>493</v>
      </c>
      <c r="E241" s="555"/>
      <c r="F241" s="567"/>
      <c r="G241" s="555"/>
      <c r="H241" s="594"/>
    </row>
    <row r="242" spans="1:9" s="310" customFormat="1" ht="12.75" hidden="1" customHeight="1" x14ac:dyDescent="0.2">
      <c r="A242" s="551"/>
      <c r="B242" s="565"/>
      <c r="C242" s="566"/>
      <c r="D242" s="569" t="s">
        <v>494</v>
      </c>
      <c r="E242" s="555"/>
      <c r="F242" s="567"/>
      <c r="G242" s="555"/>
      <c r="H242" s="568"/>
      <c r="I242" s="579"/>
    </row>
    <row r="243" spans="1:9" s="310" customFormat="1" ht="12.75" hidden="1" customHeight="1" x14ac:dyDescent="0.2">
      <c r="A243" s="551"/>
      <c r="B243" s="565"/>
      <c r="C243" s="572"/>
      <c r="D243" s="576" t="s">
        <v>502</v>
      </c>
      <c r="E243" s="555"/>
      <c r="F243" s="567"/>
      <c r="G243" s="555"/>
      <c r="H243" s="568"/>
      <c r="I243" s="579"/>
    </row>
    <row r="244" spans="1:9" s="310" customFormat="1" ht="12.75" hidden="1" customHeight="1" x14ac:dyDescent="0.2">
      <c r="A244" s="551"/>
      <c r="B244" s="565"/>
      <c r="C244" s="566"/>
      <c r="D244" s="598" t="s">
        <v>511</v>
      </c>
      <c r="E244" s="555"/>
      <c r="F244" s="567"/>
      <c r="G244" s="555"/>
      <c r="H244" s="594"/>
    </row>
    <row r="245" spans="1:9" s="310" customFormat="1" ht="12.75" customHeight="1" x14ac:dyDescent="0.2">
      <c r="A245" s="260">
        <f>A234+1</f>
        <v>26</v>
      </c>
      <c r="B245" s="582" t="s">
        <v>253</v>
      </c>
      <c r="C245" s="583" t="s">
        <v>254</v>
      </c>
      <c r="D245" s="584" t="str">
        <f>$D$14</f>
        <v>FTE May 2026</v>
      </c>
      <c r="E245" s="562">
        <f>'3431'!$J$124</f>
        <v>709458.76</v>
      </c>
      <c r="F245" s="585"/>
      <c r="G245" s="562">
        <f>SUBTOTAL(109,E245:F254)</f>
        <v>709458.76</v>
      </c>
      <c r="H245" s="594"/>
    </row>
    <row r="246" spans="1:9" s="310" customFormat="1" ht="12.75" hidden="1" customHeight="1" x14ac:dyDescent="0.2">
      <c r="A246" s="260"/>
      <c r="B246" s="582"/>
      <c r="C246" s="583"/>
      <c r="D246" s="253" t="s">
        <v>512</v>
      </c>
      <c r="E246" s="562"/>
      <c r="F246" s="585"/>
      <c r="G246" s="562"/>
      <c r="H246" s="594"/>
      <c r="I246" s="582"/>
    </row>
    <row r="247" spans="1:9" s="310" customFormat="1" ht="12.75" hidden="1" customHeight="1" x14ac:dyDescent="0.2">
      <c r="A247" s="260"/>
      <c r="B247" s="582"/>
      <c r="C247" s="583"/>
      <c r="D247" s="587" t="s">
        <v>490</v>
      </c>
      <c r="E247" s="562"/>
      <c r="F247" s="585"/>
      <c r="G247" s="562"/>
      <c r="H247" s="594"/>
      <c r="I247" s="582"/>
    </row>
    <row r="248" spans="1:9" s="310" customFormat="1" ht="12.75" hidden="1" customHeight="1" x14ac:dyDescent="0.2">
      <c r="A248" s="260"/>
      <c r="B248" s="582"/>
      <c r="C248" s="583"/>
      <c r="D248" s="253" t="s">
        <v>491</v>
      </c>
      <c r="E248" s="562"/>
      <c r="F248" s="585"/>
      <c r="G248" s="562"/>
      <c r="H248" s="594"/>
      <c r="I248" s="582"/>
    </row>
    <row r="249" spans="1:9" s="310" customFormat="1" ht="12.75" hidden="1" customHeight="1" x14ac:dyDescent="0.2">
      <c r="A249" s="260"/>
      <c r="B249" s="582"/>
      <c r="C249" s="583"/>
      <c r="D249" s="253" t="s">
        <v>515</v>
      </c>
      <c r="E249" s="562"/>
      <c r="F249" s="585"/>
      <c r="G249" s="562"/>
      <c r="H249" s="594"/>
    </row>
    <row r="250" spans="1:9" s="310" customFormat="1" ht="12.75" hidden="1" customHeight="1" x14ac:dyDescent="0.2">
      <c r="A250" s="260"/>
      <c r="B250" s="582"/>
      <c r="C250" s="583"/>
      <c r="D250" s="253" t="s">
        <v>493</v>
      </c>
      <c r="E250" s="562"/>
      <c r="F250" s="585"/>
      <c r="G250" s="562"/>
      <c r="H250" s="594"/>
      <c r="I250" s="582"/>
    </row>
    <row r="251" spans="1:9" s="310" customFormat="1" ht="12.75" hidden="1" customHeight="1" x14ac:dyDescent="0.2">
      <c r="A251" s="260"/>
      <c r="B251" s="582"/>
      <c r="C251" s="583"/>
      <c r="D251" s="253" t="s">
        <v>494</v>
      </c>
      <c r="E251" s="562"/>
      <c r="F251" s="585"/>
      <c r="G251" s="562"/>
      <c r="H251" s="594"/>
    </row>
    <row r="252" spans="1:9" s="310" customFormat="1" ht="12.75" hidden="1" customHeight="1" x14ac:dyDescent="0.2">
      <c r="A252" s="260"/>
      <c r="B252" s="582"/>
      <c r="C252" s="583"/>
      <c r="D252" s="253" t="s">
        <v>516</v>
      </c>
      <c r="E252" s="562"/>
      <c r="F252" s="585"/>
      <c r="G252" s="562"/>
      <c r="H252" s="568"/>
      <c r="I252" s="579"/>
    </row>
    <row r="253" spans="1:9" s="310" customFormat="1" ht="12.75" hidden="1" customHeight="1" x14ac:dyDescent="0.2">
      <c r="A253" s="260"/>
      <c r="B253" s="582"/>
      <c r="C253" s="590"/>
      <c r="D253" s="593" t="s">
        <v>502</v>
      </c>
      <c r="E253" s="562"/>
      <c r="F253" s="585"/>
      <c r="G253" s="562"/>
      <c r="H253" s="594"/>
      <c r="I253" s="577"/>
    </row>
    <row r="254" spans="1:9" s="310" customFormat="1" ht="12.75" hidden="1" customHeight="1" x14ac:dyDescent="0.2">
      <c r="A254" s="260"/>
      <c r="B254" s="582"/>
      <c r="C254" s="583"/>
      <c r="D254" s="591" t="s">
        <v>525</v>
      </c>
      <c r="E254" s="562"/>
      <c r="F254" s="585"/>
      <c r="G254" s="562"/>
      <c r="H254" s="568"/>
      <c r="I254" s="579"/>
    </row>
    <row r="255" spans="1:9" s="310" customFormat="1" ht="12.75" customHeight="1" x14ac:dyDescent="0.2">
      <c r="A255" s="551">
        <f>A245+1</f>
        <v>27</v>
      </c>
      <c r="B255" s="565">
        <v>3441</v>
      </c>
      <c r="C255" s="596" t="s">
        <v>255</v>
      </c>
      <c r="D255" s="595" t="str">
        <f>$D$14</f>
        <v>FTE May 2026</v>
      </c>
      <c r="E255" s="555">
        <f>'3441'!$J$124</f>
        <v>382032.54</v>
      </c>
      <c r="F255" s="567"/>
      <c r="G255" s="555">
        <f>SUBTOTAL(109,E255:F263)</f>
        <v>382032.54</v>
      </c>
      <c r="H255" s="594"/>
    </row>
    <row r="256" spans="1:9" s="310" customFormat="1" ht="12.75" hidden="1" customHeight="1" x14ac:dyDescent="0.2">
      <c r="A256" s="551"/>
      <c r="B256" s="565"/>
      <c r="C256" s="596"/>
      <c r="D256" s="569" t="s">
        <v>489</v>
      </c>
      <c r="E256" s="555"/>
      <c r="F256" s="567"/>
      <c r="G256" s="555"/>
      <c r="H256" s="594"/>
    </row>
    <row r="257" spans="1:9" s="310" customFormat="1" ht="12.75" hidden="1" customHeight="1" x14ac:dyDescent="0.2">
      <c r="A257" s="551"/>
      <c r="B257" s="565"/>
      <c r="C257" s="566"/>
      <c r="D257" s="570" t="s">
        <v>490</v>
      </c>
      <c r="E257" s="555"/>
      <c r="F257" s="567"/>
      <c r="G257" s="555"/>
      <c r="H257" s="594"/>
      <c r="I257" s="582"/>
    </row>
    <row r="258" spans="1:9" s="310" customFormat="1" ht="12.75" hidden="1" customHeight="1" x14ac:dyDescent="0.2">
      <c r="A258" s="551"/>
      <c r="B258" s="565"/>
      <c r="C258" s="596"/>
      <c r="D258" s="569" t="s">
        <v>491</v>
      </c>
      <c r="E258" s="555"/>
      <c r="F258" s="567"/>
      <c r="G258" s="555"/>
      <c r="H258" s="594"/>
    </row>
    <row r="259" spans="1:9" s="310" customFormat="1" ht="12.75" hidden="1" customHeight="1" x14ac:dyDescent="0.2">
      <c r="A259" s="551"/>
      <c r="B259" s="565"/>
      <c r="C259" s="566"/>
      <c r="D259" s="569" t="s">
        <v>492</v>
      </c>
      <c r="E259" s="555"/>
      <c r="F259" s="567"/>
      <c r="G259" s="555"/>
      <c r="H259" s="594"/>
      <c r="I259" s="582"/>
    </row>
    <row r="260" spans="1:9" s="310" customFormat="1" ht="12.75" hidden="1" customHeight="1" x14ac:dyDescent="0.2">
      <c r="A260" s="551"/>
      <c r="B260" s="565"/>
      <c r="C260" s="566"/>
      <c r="D260" s="569" t="s">
        <v>493</v>
      </c>
      <c r="E260" s="555"/>
      <c r="F260" s="567"/>
      <c r="G260" s="555"/>
      <c r="H260" s="594"/>
      <c r="I260" s="582"/>
    </row>
    <row r="261" spans="1:9" s="310" customFormat="1" ht="12.75" hidden="1" customHeight="1" x14ac:dyDescent="0.2">
      <c r="A261" s="551"/>
      <c r="B261" s="565"/>
      <c r="C261" s="566"/>
      <c r="D261" s="569" t="s">
        <v>494</v>
      </c>
      <c r="E261" s="555"/>
      <c r="F261" s="567"/>
      <c r="G261" s="555"/>
      <c r="H261" s="594"/>
      <c r="I261" s="579"/>
    </row>
    <row r="262" spans="1:9" s="310" customFormat="1" ht="12.75" hidden="1" customHeight="1" x14ac:dyDescent="0.2">
      <c r="A262" s="551"/>
      <c r="B262" s="565"/>
      <c r="C262" s="566"/>
      <c r="D262" s="569" t="s">
        <v>516</v>
      </c>
      <c r="E262" s="555"/>
      <c r="F262" s="567"/>
      <c r="G262" s="555"/>
      <c r="H262" s="594"/>
      <c r="I262" s="600"/>
    </row>
    <row r="263" spans="1:9" s="310" customFormat="1" ht="12.75" hidden="1" customHeight="1" x14ac:dyDescent="0.2">
      <c r="A263" s="551"/>
      <c r="B263" s="565"/>
      <c r="C263" s="566"/>
      <c r="D263" s="598" t="s">
        <v>511</v>
      </c>
      <c r="E263" s="555"/>
      <c r="F263" s="567"/>
      <c r="G263" s="555"/>
      <c r="H263" s="594"/>
      <c r="I263" s="577"/>
    </row>
    <row r="264" spans="1:9" s="310" customFormat="1" ht="12.75" customHeight="1" x14ac:dyDescent="0.2">
      <c r="A264" s="260">
        <f>A255+1</f>
        <v>28</v>
      </c>
      <c r="B264" s="582">
        <v>3924</v>
      </c>
      <c r="C264" s="597" t="s">
        <v>256</v>
      </c>
      <c r="D264" s="584" t="str">
        <f>$D$14</f>
        <v>FTE May 2026</v>
      </c>
      <c r="E264" s="562">
        <f>'3924'!$J$124</f>
        <v>254398.21</v>
      </c>
      <c r="F264" s="585"/>
      <c r="G264" s="562">
        <f>SUBTOTAL(109,E264:F273)</f>
        <v>254398.21</v>
      </c>
      <c r="H264" s="594"/>
    </row>
    <row r="265" spans="1:9" s="310" customFormat="1" ht="12.75" hidden="1" customHeight="1" x14ac:dyDescent="0.2">
      <c r="A265" s="260"/>
      <c r="B265" s="582"/>
      <c r="C265" s="583"/>
      <c r="D265" s="253" t="s">
        <v>512</v>
      </c>
      <c r="E265" s="562"/>
      <c r="F265" s="585"/>
      <c r="G265" s="562"/>
      <c r="H265" s="594"/>
    </row>
    <row r="266" spans="1:9" s="310" customFormat="1" ht="12.75" hidden="1" customHeight="1" x14ac:dyDescent="0.2">
      <c r="A266" s="260"/>
      <c r="B266" s="582"/>
      <c r="C266" s="583"/>
      <c r="D266" s="587" t="s">
        <v>490</v>
      </c>
      <c r="E266" s="562"/>
      <c r="F266" s="585"/>
      <c r="G266" s="562"/>
      <c r="H266" s="594"/>
    </row>
    <row r="267" spans="1:9" s="310" customFormat="1" ht="12.75" hidden="1" customHeight="1" x14ac:dyDescent="0.2">
      <c r="A267" s="260"/>
      <c r="B267" s="582"/>
      <c r="C267" s="583"/>
      <c r="D267" s="587" t="s">
        <v>509</v>
      </c>
      <c r="E267" s="562"/>
      <c r="F267" s="585"/>
      <c r="G267" s="562"/>
      <c r="H267" s="568"/>
      <c r="I267" s="590"/>
    </row>
    <row r="268" spans="1:9" s="310" customFormat="1" ht="12.75" hidden="1" customHeight="1" x14ac:dyDescent="0.2">
      <c r="A268" s="260"/>
      <c r="B268" s="582"/>
      <c r="C268" s="583"/>
      <c r="D268" s="253" t="s">
        <v>491</v>
      </c>
      <c r="E268" s="562"/>
      <c r="F268" s="585"/>
      <c r="G268" s="562"/>
      <c r="H268" s="594"/>
    </row>
    <row r="269" spans="1:9" s="310" customFormat="1" ht="12.75" hidden="1" customHeight="1" x14ac:dyDescent="0.2">
      <c r="A269" s="260"/>
      <c r="B269" s="582"/>
      <c r="C269" s="583"/>
      <c r="D269" s="253" t="s">
        <v>492</v>
      </c>
      <c r="E269" s="562"/>
      <c r="F269" s="585"/>
      <c r="G269" s="562"/>
      <c r="H269" s="594"/>
    </row>
    <row r="270" spans="1:9" s="310" customFormat="1" ht="12.75" hidden="1" customHeight="1" x14ac:dyDescent="0.2">
      <c r="A270" s="260"/>
      <c r="B270" s="582"/>
      <c r="C270" s="583"/>
      <c r="D270" s="253" t="s">
        <v>493</v>
      </c>
      <c r="E270" s="562"/>
      <c r="F270" s="585"/>
      <c r="G270" s="562"/>
      <c r="H270" s="594"/>
      <c r="I270" s="582"/>
    </row>
    <row r="271" spans="1:9" s="310" customFormat="1" ht="12.75" hidden="1" customHeight="1" x14ac:dyDescent="0.2">
      <c r="A271" s="260"/>
      <c r="B271" s="582"/>
      <c r="C271" s="583"/>
      <c r="D271" s="253" t="s">
        <v>494</v>
      </c>
      <c r="E271" s="562"/>
      <c r="F271" s="585"/>
      <c r="G271" s="562"/>
      <c r="H271" s="568"/>
      <c r="I271" s="579"/>
    </row>
    <row r="272" spans="1:9" s="310" customFormat="1" ht="12.75" hidden="1" customHeight="1" x14ac:dyDescent="0.2">
      <c r="A272" s="260"/>
      <c r="B272" s="582"/>
      <c r="C272" s="590"/>
      <c r="D272" s="593" t="s">
        <v>502</v>
      </c>
      <c r="E272" s="562"/>
      <c r="F272" s="585"/>
      <c r="G272" s="562"/>
      <c r="H272" s="594"/>
    </row>
    <row r="273" spans="1:9" s="310" customFormat="1" ht="12.75" hidden="1" customHeight="1" x14ac:dyDescent="0.2">
      <c r="A273" s="260"/>
      <c r="B273" s="582"/>
      <c r="C273" s="583"/>
      <c r="D273" s="591" t="s">
        <v>526</v>
      </c>
      <c r="E273" s="562"/>
      <c r="F273" s="585"/>
      <c r="G273" s="562"/>
      <c r="H273" s="594"/>
    </row>
    <row r="274" spans="1:9" s="310" customFormat="1" ht="12.75" customHeight="1" x14ac:dyDescent="0.2">
      <c r="A274" s="551">
        <f>A264+1</f>
        <v>29</v>
      </c>
      <c r="B274" s="565" t="s">
        <v>257</v>
      </c>
      <c r="C274" s="566" t="s">
        <v>258</v>
      </c>
      <c r="D274" s="595" t="str">
        <f>$D$14</f>
        <v>FTE May 2026</v>
      </c>
      <c r="E274" s="555">
        <f>'3941'!$J$124</f>
        <v>151856.59</v>
      </c>
      <c r="F274" s="567"/>
      <c r="G274" s="555">
        <f>SUBTOTAL(109,E274:F283)</f>
        <v>151856.59</v>
      </c>
      <c r="H274" s="594"/>
    </row>
    <row r="275" spans="1:9" s="310" customFormat="1" ht="12.75" hidden="1" customHeight="1" x14ac:dyDescent="0.2">
      <c r="A275" s="551"/>
      <c r="B275" s="565"/>
      <c r="C275" s="566"/>
      <c r="D275" s="569" t="s">
        <v>489</v>
      </c>
      <c r="E275" s="555"/>
      <c r="F275" s="567"/>
      <c r="G275" s="555"/>
      <c r="H275" s="594"/>
    </row>
    <row r="276" spans="1:9" s="310" customFormat="1" ht="12.75" hidden="1" customHeight="1" x14ac:dyDescent="0.2">
      <c r="A276" s="551"/>
      <c r="B276" s="565"/>
      <c r="C276" s="566"/>
      <c r="D276" s="570" t="s">
        <v>490</v>
      </c>
      <c r="E276" s="555"/>
      <c r="F276" s="567"/>
      <c r="G276" s="555"/>
      <c r="H276" s="594"/>
      <c r="I276" s="582"/>
    </row>
    <row r="277" spans="1:9" s="310" customFormat="1" ht="12.75" hidden="1" customHeight="1" x14ac:dyDescent="0.2">
      <c r="A277" s="551"/>
      <c r="B277" s="565"/>
      <c r="C277" s="566"/>
      <c r="D277" s="569" t="s">
        <v>491</v>
      </c>
      <c r="E277" s="555"/>
      <c r="F277" s="567"/>
      <c r="G277" s="555"/>
      <c r="H277" s="594"/>
      <c r="I277" s="582"/>
    </row>
    <row r="278" spans="1:9" s="310" customFormat="1" ht="12.75" hidden="1" customHeight="1" x14ac:dyDescent="0.2">
      <c r="A278" s="551"/>
      <c r="B278" s="565"/>
      <c r="C278" s="566"/>
      <c r="D278" s="569" t="s">
        <v>492</v>
      </c>
      <c r="E278" s="555"/>
      <c r="F278" s="567"/>
      <c r="G278" s="555"/>
      <c r="H278" s="594"/>
    </row>
    <row r="279" spans="1:9" s="310" customFormat="1" ht="12.75" hidden="1" customHeight="1" x14ac:dyDescent="0.2">
      <c r="A279" s="551"/>
      <c r="B279" s="565"/>
      <c r="C279" s="566"/>
      <c r="D279" s="569" t="s">
        <v>493</v>
      </c>
      <c r="E279" s="555"/>
      <c r="F279" s="567"/>
      <c r="G279" s="555"/>
      <c r="H279" s="594"/>
    </row>
    <row r="280" spans="1:9" s="310" customFormat="1" ht="12.75" hidden="1" customHeight="1" x14ac:dyDescent="0.2">
      <c r="A280" s="551"/>
      <c r="B280" s="565"/>
      <c r="C280" s="566"/>
      <c r="D280" s="569" t="s">
        <v>494</v>
      </c>
      <c r="E280" s="555"/>
      <c r="F280" s="567"/>
      <c r="G280" s="555"/>
      <c r="H280" s="594"/>
    </row>
    <row r="281" spans="1:9" s="310" customFormat="1" ht="12.75" hidden="1" customHeight="1" x14ac:dyDescent="0.2">
      <c r="A281" s="551"/>
      <c r="B281" s="565"/>
      <c r="C281" s="566"/>
      <c r="D281" s="569" t="s">
        <v>527</v>
      </c>
      <c r="E281" s="555"/>
      <c r="F281" s="567"/>
      <c r="G281" s="555"/>
      <c r="H281" s="594"/>
      <c r="I281" s="579"/>
    </row>
    <row r="282" spans="1:9" s="310" customFormat="1" ht="12.75" hidden="1" customHeight="1" x14ac:dyDescent="0.2">
      <c r="A282" s="551"/>
      <c r="B282" s="565"/>
      <c r="C282" s="566"/>
      <c r="D282" s="569" t="s">
        <v>502</v>
      </c>
      <c r="E282" s="555"/>
      <c r="F282" s="567"/>
      <c r="G282" s="555"/>
      <c r="H282" s="594"/>
      <c r="I282" s="577"/>
    </row>
    <row r="283" spans="1:9" s="310" customFormat="1" ht="12.75" hidden="1" customHeight="1" x14ac:dyDescent="0.2">
      <c r="A283" s="551"/>
      <c r="B283" s="565"/>
      <c r="C283" s="566"/>
      <c r="D283" s="569"/>
      <c r="E283" s="555"/>
      <c r="F283" s="567"/>
      <c r="G283" s="555"/>
      <c r="H283" s="594"/>
      <c r="I283" s="579"/>
    </row>
    <row r="284" spans="1:9" s="310" customFormat="1" ht="12.75" customHeight="1" x14ac:dyDescent="0.2">
      <c r="A284" s="260">
        <f>A274+1</f>
        <v>30</v>
      </c>
      <c r="B284" s="582" t="s">
        <v>259</v>
      </c>
      <c r="C284" s="583" t="s">
        <v>260</v>
      </c>
      <c r="D284" s="584" t="str">
        <f>$D$14</f>
        <v>FTE May 2026</v>
      </c>
      <c r="E284" s="562">
        <f>'3961'!$J$124</f>
        <v>0</v>
      </c>
      <c r="F284" s="585"/>
      <c r="G284" s="562">
        <f>SUBTOTAL(109,E284:F291)</f>
        <v>0</v>
      </c>
      <c r="H284" s="594"/>
    </row>
    <row r="285" spans="1:9" s="310" customFormat="1" ht="12.75" hidden="1" customHeight="1" x14ac:dyDescent="0.2">
      <c r="A285" s="260"/>
      <c r="B285" s="582"/>
      <c r="C285" s="583"/>
      <c r="D285" s="253" t="s">
        <v>512</v>
      </c>
      <c r="E285" s="562"/>
      <c r="F285" s="585"/>
      <c r="G285" s="562"/>
      <c r="H285" s="594"/>
    </row>
    <row r="286" spans="1:9" s="310" customFormat="1" ht="12.75" hidden="1" customHeight="1" x14ac:dyDescent="0.2">
      <c r="A286" s="260"/>
      <c r="B286" s="582"/>
      <c r="C286" s="583"/>
      <c r="D286" s="587" t="s">
        <v>490</v>
      </c>
      <c r="E286" s="562"/>
      <c r="F286" s="585"/>
      <c r="G286" s="562"/>
      <c r="H286" s="594"/>
      <c r="I286" s="582"/>
    </row>
    <row r="287" spans="1:9" s="310" customFormat="1" ht="12.75" hidden="1" customHeight="1" x14ac:dyDescent="0.2">
      <c r="A287" s="260"/>
      <c r="B287" s="582"/>
      <c r="C287" s="583"/>
      <c r="D287" s="253" t="s">
        <v>491</v>
      </c>
      <c r="E287" s="562"/>
      <c r="F287" s="585"/>
      <c r="G287" s="562"/>
      <c r="H287" s="594"/>
    </row>
    <row r="288" spans="1:9" s="310" customFormat="1" ht="12.75" hidden="1" customHeight="1" x14ac:dyDescent="0.2">
      <c r="A288" s="260"/>
      <c r="B288" s="582"/>
      <c r="C288" s="583"/>
      <c r="D288" s="253" t="s">
        <v>492</v>
      </c>
      <c r="E288" s="562"/>
      <c r="F288" s="585"/>
      <c r="G288" s="562"/>
      <c r="H288" s="594"/>
    </row>
    <row r="289" spans="1:9" s="310" customFormat="1" ht="12.75" hidden="1" customHeight="1" x14ac:dyDescent="0.2">
      <c r="A289" s="260"/>
      <c r="B289" s="582"/>
      <c r="C289" s="583"/>
      <c r="D289" s="253" t="s">
        <v>493</v>
      </c>
      <c r="E289" s="562"/>
      <c r="F289" s="585"/>
      <c r="G289" s="562"/>
      <c r="H289" s="594"/>
    </row>
    <row r="290" spans="1:9" s="310" customFormat="1" ht="12.75" hidden="1" customHeight="1" x14ac:dyDescent="0.2">
      <c r="A290" s="260"/>
      <c r="B290" s="582"/>
      <c r="C290" s="583"/>
      <c r="D290" s="253" t="s">
        <v>494</v>
      </c>
      <c r="E290" s="562"/>
      <c r="F290" s="585"/>
      <c r="G290" s="562"/>
      <c r="H290" s="568"/>
      <c r="I290" s="579"/>
    </row>
    <row r="291" spans="1:9" s="310" customFormat="1" ht="12.75" hidden="1" customHeight="1" x14ac:dyDescent="0.2">
      <c r="A291" s="260"/>
      <c r="B291" s="582"/>
      <c r="C291" s="590"/>
      <c r="D291" s="591" t="s">
        <v>528</v>
      </c>
      <c r="E291" s="562"/>
      <c r="F291" s="585"/>
      <c r="G291" s="562"/>
      <c r="H291" s="568"/>
      <c r="I291" s="579"/>
    </row>
    <row r="292" spans="1:9" s="310" customFormat="1" ht="12.75" customHeight="1" x14ac:dyDescent="0.2">
      <c r="A292" s="551">
        <f>A284+1</f>
        <v>31</v>
      </c>
      <c r="B292" s="565" t="s">
        <v>261</v>
      </c>
      <c r="C292" s="566" t="s">
        <v>262</v>
      </c>
      <c r="D292" s="595" t="str">
        <f>$D$14</f>
        <v>FTE May 2026</v>
      </c>
      <c r="E292" s="555">
        <f>'3971'!$J$124</f>
        <v>442140.95</v>
      </c>
      <c r="F292" s="567"/>
      <c r="G292" s="555">
        <f>SUBTOTAL(109,E292:F299)</f>
        <v>442140.95</v>
      </c>
      <c r="H292" s="568"/>
      <c r="I292" s="579"/>
    </row>
    <row r="293" spans="1:9" s="310" customFormat="1" ht="12.75" hidden="1" customHeight="1" x14ac:dyDescent="0.2">
      <c r="A293" s="551"/>
      <c r="B293" s="565"/>
      <c r="C293" s="566"/>
      <c r="D293" s="569" t="s">
        <v>489</v>
      </c>
      <c r="E293" s="555"/>
      <c r="F293" s="567"/>
      <c r="G293" s="555"/>
      <c r="H293" s="594"/>
    </row>
    <row r="294" spans="1:9" s="310" customFormat="1" ht="12.75" hidden="1" customHeight="1" x14ac:dyDescent="0.2">
      <c r="A294" s="551"/>
      <c r="B294" s="565"/>
      <c r="C294" s="566"/>
      <c r="D294" s="570" t="s">
        <v>490</v>
      </c>
      <c r="E294" s="555"/>
      <c r="F294" s="567"/>
      <c r="G294" s="555"/>
      <c r="H294" s="594"/>
    </row>
    <row r="295" spans="1:9" s="310" customFormat="1" ht="12.75" hidden="1" customHeight="1" x14ac:dyDescent="0.2">
      <c r="A295" s="551"/>
      <c r="B295" s="565"/>
      <c r="C295" s="566"/>
      <c r="D295" s="569" t="s">
        <v>491</v>
      </c>
      <c r="E295" s="555"/>
      <c r="F295" s="567"/>
      <c r="G295" s="555"/>
      <c r="H295" s="594"/>
    </row>
    <row r="296" spans="1:9" s="310" customFormat="1" ht="12.75" hidden="1" customHeight="1" x14ac:dyDescent="0.2">
      <c r="A296" s="551"/>
      <c r="B296" s="565"/>
      <c r="C296" s="566"/>
      <c r="D296" s="569" t="s">
        <v>492</v>
      </c>
      <c r="E296" s="555"/>
      <c r="F296" s="567"/>
      <c r="G296" s="555"/>
      <c r="H296" s="594"/>
      <c r="I296" s="582"/>
    </row>
    <row r="297" spans="1:9" s="310" customFormat="1" ht="12.75" hidden="1" customHeight="1" x14ac:dyDescent="0.2">
      <c r="A297" s="551"/>
      <c r="B297" s="565"/>
      <c r="C297" s="566"/>
      <c r="D297" s="569" t="s">
        <v>493</v>
      </c>
      <c r="E297" s="555"/>
      <c r="F297" s="567"/>
      <c r="G297" s="555"/>
      <c r="H297" s="594"/>
    </row>
    <row r="298" spans="1:9" s="310" customFormat="1" ht="12.75" hidden="1" customHeight="1" x14ac:dyDescent="0.2">
      <c r="A298" s="551"/>
      <c r="B298" s="565"/>
      <c r="C298" s="566"/>
      <c r="D298" s="569" t="s">
        <v>494</v>
      </c>
      <c r="E298" s="555"/>
      <c r="F298" s="567"/>
      <c r="G298" s="555"/>
      <c r="H298" s="594"/>
    </row>
    <row r="299" spans="1:9" s="310" customFormat="1" ht="12.75" hidden="1" customHeight="1" x14ac:dyDescent="0.2">
      <c r="A299" s="551"/>
      <c r="B299" s="565"/>
      <c r="C299" s="566"/>
      <c r="D299" s="598" t="s">
        <v>529</v>
      </c>
      <c r="E299" s="555"/>
      <c r="F299" s="567"/>
      <c r="G299" s="555"/>
      <c r="H299" s="594"/>
      <c r="I299" s="251"/>
    </row>
    <row r="300" spans="1:9" s="310" customFormat="1" ht="12.75" customHeight="1" x14ac:dyDescent="0.2">
      <c r="A300" s="260">
        <f>A292+1</f>
        <v>32</v>
      </c>
      <c r="B300" s="582" t="s">
        <v>263</v>
      </c>
      <c r="C300" s="583" t="s">
        <v>264</v>
      </c>
      <c r="D300" s="584" t="str">
        <f>$D$14</f>
        <v>FTE May 2026</v>
      </c>
      <c r="E300" s="603">
        <f>'4001'!$J$124</f>
        <v>410325.1</v>
      </c>
      <c r="F300" s="585"/>
      <c r="G300" s="562">
        <f>SUBTOTAL(109,E300:F308)</f>
        <v>410325.1</v>
      </c>
      <c r="H300" s="594"/>
      <c r="I300" s="579"/>
    </row>
    <row r="301" spans="1:9" ht="12.75" hidden="1" customHeight="1" x14ac:dyDescent="0.2">
      <c r="A301" s="260"/>
      <c r="B301" s="582"/>
      <c r="C301" s="583"/>
      <c r="D301" s="253" t="s">
        <v>512</v>
      </c>
      <c r="E301" s="562"/>
      <c r="F301" s="604"/>
      <c r="G301" s="562"/>
      <c r="H301" s="599"/>
      <c r="I301" s="310"/>
    </row>
    <row r="302" spans="1:9" s="310" customFormat="1" ht="12.75" hidden="1" customHeight="1" x14ac:dyDescent="0.2">
      <c r="A302" s="260"/>
      <c r="B302" s="582"/>
      <c r="C302" s="583"/>
      <c r="D302" s="587" t="s">
        <v>490</v>
      </c>
      <c r="E302" s="562"/>
      <c r="F302" s="585"/>
      <c r="G302" s="562"/>
      <c r="H302" s="594"/>
    </row>
    <row r="303" spans="1:9" s="310" customFormat="1" ht="12.75" hidden="1" customHeight="1" x14ac:dyDescent="0.2">
      <c r="A303" s="260"/>
      <c r="B303" s="582"/>
      <c r="C303" s="583"/>
      <c r="D303" s="253" t="s">
        <v>491</v>
      </c>
      <c r="E303" s="562"/>
      <c r="F303" s="585"/>
      <c r="G303" s="562"/>
      <c r="H303" s="594"/>
    </row>
    <row r="304" spans="1:9" s="310" customFormat="1" ht="12.75" hidden="1" customHeight="1" x14ac:dyDescent="0.2">
      <c r="A304" s="260"/>
      <c r="B304" s="582"/>
      <c r="C304" s="583"/>
      <c r="D304" s="253" t="s">
        <v>492</v>
      </c>
      <c r="E304" s="562"/>
      <c r="F304" s="585"/>
      <c r="G304" s="562"/>
      <c r="H304" s="594"/>
      <c r="I304" s="582"/>
    </row>
    <row r="305" spans="1:9" s="310" customFormat="1" ht="12.75" hidden="1" customHeight="1" x14ac:dyDescent="0.2">
      <c r="A305" s="260"/>
      <c r="B305" s="582"/>
      <c r="C305" s="583"/>
      <c r="D305" s="253" t="s">
        <v>493</v>
      </c>
      <c r="E305" s="562"/>
      <c r="F305" s="585"/>
      <c r="G305" s="562"/>
      <c r="H305" s="594"/>
    </row>
    <row r="306" spans="1:9" s="310" customFormat="1" ht="12.75" hidden="1" customHeight="1" x14ac:dyDescent="0.2">
      <c r="A306" s="260"/>
      <c r="B306" s="582"/>
      <c r="C306" s="583"/>
      <c r="D306" s="253" t="s">
        <v>494</v>
      </c>
      <c r="E306" s="562"/>
      <c r="F306" s="585"/>
      <c r="G306" s="562"/>
      <c r="H306" s="594"/>
    </row>
    <row r="307" spans="1:9" s="310" customFormat="1" ht="12.75" hidden="1" customHeight="1" x14ac:dyDescent="0.2">
      <c r="A307" s="260"/>
      <c r="B307" s="582"/>
      <c r="C307" s="583"/>
      <c r="D307" s="253" t="s">
        <v>502</v>
      </c>
      <c r="E307" s="562"/>
      <c r="F307" s="585"/>
      <c r="G307" s="562"/>
      <c r="H307" s="594"/>
    </row>
    <row r="308" spans="1:9" s="310" customFormat="1" ht="12.75" hidden="1" customHeight="1" x14ac:dyDescent="0.2">
      <c r="A308" s="260"/>
      <c r="B308" s="582"/>
      <c r="C308" s="583"/>
      <c r="D308" s="591" t="s">
        <v>511</v>
      </c>
      <c r="E308" s="562"/>
      <c r="F308" s="585"/>
      <c r="G308" s="562"/>
      <c r="H308" s="568"/>
      <c r="I308" s="579"/>
    </row>
    <row r="309" spans="1:9" s="310" customFormat="1" ht="12.75" customHeight="1" x14ac:dyDescent="0.2">
      <c r="A309" s="551">
        <f>A300+1</f>
        <v>33</v>
      </c>
      <c r="B309" s="565">
        <v>4002</v>
      </c>
      <c r="C309" s="566" t="s">
        <v>265</v>
      </c>
      <c r="D309" s="595" t="str">
        <f>$D$14</f>
        <v>FTE May 2026</v>
      </c>
      <c r="E309" s="555">
        <f>'4002'!$J$124</f>
        <v>494080.06</v>
      </c>
      <c r="F309" s="567"/>
      <c r="G309" s="555">
        <f>SUBTOTAL(109,E309:F318)</f>
        <v>494080.06</v>
      </c>
      <c r="H309" s="594"/>
    </row>
    <row r="310" spans="1:9" s="310" customFormat="1" ht="12.75" hidden="1" customHeight="1" x14ac:dyDescent="0.2">
      <c r="A310" s="551"/>
      <c r="B310" s="565"/>
      <c r="C310" s="566"/>
      <c r="D310" s="569" t="s">
        <v>489</v>
      </c>
      <c r="E310" s="555"/>
      <c r="F310" s="567"/>
      <c r="G310" s="555"/>
      <c r="H310" s="594"/>
    </row>
    <row r="311" spans="1:9" s="310" customFormat="1" ht="12.75" hidden="1" customHeight="1" x14ac:dyDescent="0.2">
      <c r="A311" s="551"/>
      <c r="B311" s="565"/>
      <c r="C311" s="566"/>
      <c r="D311" s="570" t="s">
        <v>490</v>
      </c>
      <c r="E311" s="555"/>
      <c r="F311" s="567"/>
      <c r="G311" s="555"/>
      <c r="H311" s="594"/>
    </row>
    <row r="312" spans="1:9" s="310" customFormat="1" ht="12.75" hidden="1" customHeight="1" x14ac:dyDescent="0.2">
      <c r="A312" s="551"/>
      <c r="B312" s="565"/>
      <c r="C312" s="566"/>
      <c r="D312" s="569" t="s">
        <v>491</v>
      </c>
      <c r="E312" s="555"/>
      <c r="F312" s="567"/>
      <c r="G312" s="555"/>
      <c r="H312" s="594"/>
      <c r="I312" s="582"/>
    </row>
    <row r="313" spans="1:9" s="310" customFormat="1" ht="12.75" hidden="1" customHeight="1" x14ac:dyDescent="0.2">
      <c r="A313" s="551"/>
      <c r="B313" s="565"/>
      <c r="C313" s="566"/>
      <c r="D313" s="569" t="s">
        <v>492</v>
      </c>
      <c r="E313" s="555"/>
      <c r="F313" s="567"/>
      <c r="G313" s="555"/>
      <c r="H313" s="594"/>
    </row>
    <row r="314" spans="1:9" s="310" customFormat="1" ht="12.75" hidden="1" customHeight="1" x14ac:dyDescent="0.2">
      <c r="A314" s="551"/>
      <c r="B314" s="565"/>
      <c r="C314" s="566"/>
      <c r="D314" s="569" t="s">
        <v>493</v>
      </c>
      <c r="E314" s="555"/>
      <c r="F314" s="567"/>
      <c r="G314" s="555"/>
      <c r="H314" s="594"/>
    </row>
    <row r="315" spans="1:9" s="310" customFormat="1" ht="12.75" hidden="1" customHeight="1" x14ac:dyDescent="0.2">
      <c r="A315" s="551"/>
      <c r="B315" s="565"/>
      <c r="C315" s="566"/>
      <c r="D315" s="569" t="s">
        <v>494</v>
      </c>
      <c r="E315" s="555"/>
      <c r="F315" s="567"/>
      <c r="G315" s="555"/>
      <c r="H315" s="594"/>
    </row>
    <row r="316" spans="1:9" s="310" customFormat="1" ht="12.75" hidden="1" customHeight="1" x14ac:dyDescent="0.2">
      <c r="A316" s="551"/>
      <c r="B316" s="565"/>
      <c r="C316" s="566"/>
      <c r="D316" s="569" t="s">
        <v>520</v>
      </c>
      <c r="E316" s="555"/>
      <c r="F316" s="567"/>
      <c r="G316" s="555"/>
      <c r="H316" s="568"/>
      <c r="I316" s="579"/>
    </row>
    <row r="317" spans="1:9" s="310" customFormat="1" ht="12.75" hidden="1" customHeight="1" x14ac:dyDescent="0.2">
      <c r="A317" s="551"/>
      <c r="B317" s="565"/>
      <c r="C317" s="566"/>
      <c r="D317" s="569" t="s">
        <v>502</v>
      </c>
      <c r="E317" s="555"/>
      <c r="F317" s="567"/>
      <c r="G317" s="555"/>
      <c r="H317" s="594"/>
      <c r="I317" s="579"/>
    </row>
    <row r="318" spans="1:9" s="310" customFormat="1" ht="12.75" hidden="1" customHeight="1" x14ac:dyDescent="0.2">
      <c r="A318" s="551"/>
      <c r="B318" s="565"/>
      <c r="C318" s="566"/>
      <c r="D318" s="569" t="s">
        <v>530</v>
      </c>
      <c r="E318" s="555"/>
      <c r="F318" s="567"/>
      <c r="G318" s="555"/>
      <c r="H318" s="594"/>
    </row>
    <row r="319" spans="1:9" s="310" customFormat="1" ht="12.75" customHeight="1" x14ac:dyDescent="0.2">
      <c r="A319" s="260">
        <f>A309+1</f>
        <v>34</v>
      </c>
      <c r="B319" s="582">
        <v>4012</v>
      </c>
      <c r="C319" s="583" t="s">
        <v>266</v>
      </c>
      <c r="D319" s="584" t="str">
        <f>$D$14</f>
        <v>FTE May 2026</v>
      </c>
      <c r="E319" s="562">
        <f>'4012'!$J$124</f>
        <v>288517.84000000003</v>
      </c>
      <c r="F319" s="585"/>
      <c r="G319" s="562">
        <f>SUBTOTAL(109,E319:F326)</f>
        <v>288517.84000000003</v>
      </c>
      <c r="H319" s="594"/>
    </row>
    <row r="320" spans="1:9" s="310" customFormat="1" ht="12.75" hidden="1" customHeight="1" x14ac:dyDescent="0.2">
      <c r="A320" s="260"/>
      <c r="B320" s="582"/>
      <c r="C320" s="583"/>
      <c r="D320" s="253" t="s">
        <v>512</v>
      </c>
      <c r="E320" s="562"/>
      <c r="F320" s="585"/>
      <c r="G320" s="562"/>
      <c r="H320" s="594"/>
    </row>
    <row r="321" spans="1:9" s="310" customFormat="1" ht="12.75" hidden="1" customHeight="1" x14ac:dyDescent="0.2">
      <c r="A321" s="260"/>
      <c r="B321" s="582"/>
      <c r="C321" s="583"/>
      <c r="D321" s="253" t="s">
        <v>490</v>
      </c>
      <c r="E321" s="562"/>
      <c r="F321" s="585"/>
      <c r="G321" s="562"/>
      <c r="H321" s="594"/>
      <c r="I321" s="582"/>
    </row>
    <row r="322" spans="1:9" s="310" customFormat="1" ht="12.75" hidden="1" customHeight="1" x14ac:dyDescent="0.2">
      <c r="A322" s="260"/>
      <c r="B322" s="582"/>
      <c r="C322" s="583"/>
      <c r="D322" s="253" t="s">
        <v>515</v>
      </c>
      <c r="E322" s="562"/>
      <c r="F322" s="585"/>
      <c r="G322" s="562"/>
      <c r="H322" s="594"/>
    </row>
    <row r="323" spans="1:9" s="310" customFormat="1" ht="12.75" hidden="1" customHeight="1" x14ac:dyDescent="0.2">
      <c r="A323" s="260"/>
      <c r="B323" s="582"/>
      <c r="C323" s="583"/>
      <c r="D323" s="253" t="s">
        <v>493</v>
      </c>
      <c r="E323" s="562"/>
      <c r="F323" s="585"/>
      <c r="G323" s="562"/>
      <c r="H323" s="594"/>
    </row>
    <row r="324" spans="1:9" s="310" customFormat="1" ht="12.75" hidden="1" customHeight="1" x14ac:dyDescent="0.2">
      <c r="A324" s="260"/>
      <c r="B324" s="582"/>
      <c r="C324" s="583"/>
      <c r="D324" s="253" t="s">
        <v>494</v>
      </c>
      <c r="E324" s="562"/>
      <c r="F324" s="585"/>
      <c r="G324" s="562"/>
      <c r="H324" s="594"/>
    </row>
    <row r="325" spans="1:9" s="310" customFormat="1" ht="12.75" hidden="1" customHeight="1" x14ac:dyDescent="0.2">
      <c r="A325" s="260"/>
      <c r="B325" s="582"/>
      <c r="C325" s="583"/>
      <c r="D325" s="253" t="s">
        <v>516</v>
      </c>
      <c r="E325" s="562"/>
      <c r="F325" s="585"/>
      <c r="G325" s="562"/>
      <c r="H325" s="594"/>
    </row>
    <row r="326" spans="1:9" s="310" customFormat="1" ht="12.75" hidden="1" customHeight="1" x14ac:dyDescent="0.2">
      <c r="A326" s="260"/>
      <c r="B326" s="582"/>
      <c r="C326" s="583"/>
      <c r="D326" s="591" t="s">
        <v>511</v>
      </c>
      <c r="E326" s="562"/>
      <c r="F326" s="585"/>
      <c r="G326" s="562"/>
      <c r="H326" s="594"/>
      <c r="I326" s="575"/>
    </row>
    <row r="327" spans="1:9" s="310" customFormat="1" ht="12.75" customHeight="1" x14ac:dyDescent="0.2">
      <c r="A327" s="551">
        <f>A319+1</f>
        <v>35</v>
      </c>
      <c r="B327" s="565">
        <v>4013</v>
      </c>
      <c r="C327" s="566" t="s">
        <v>267</v>
      </c>
      <c r="D327" s="595" t="str">
        <f>$D$14</f>
        <v>FTE May 2026</v>
      </c>
      <c r="E327" s="555">
        <f>'4013'!$J$124</f>
        <v>692428.09</v>
      </c>
      <c r="F327" s="567"/>
      <c r="G327" s="555">
        <f>SUBTOTAL(109,E327:F335)</f>
        <v>692428.09</v>
      </c>
      <c r="H327" s="594"/>
      <c r="I327" s="575"/>
    </row>
    <row r="328" spans="1:9" s="310" customFormat="1" ht="12.75" hidden="1" customHeight="1" x14ac:dyDescent="0.2">
      <c r="A328" s="551"/>
      <c r="B328" s="565"/>
      <c r="C328" s="566"/>
      <c r="D328" s="569" t="s">
        <v>489</v>
      </c>
      <c r="E328" s="555"/>
      <c r="F328" s="567"/>
      <c r="G328" s="555"/>
      <c r="H328" s="594"/>
    </row>
    <row r="329" spans="1:9" s="310" customFormat="1" ht="12.75" hidden="1" customHeight="1" x14ac:dyDescent="0.2">
      <c r="A329" s="551"/>
      <c r="B329" s="565"/>
      <c r="C329" s="566"/>
      <c r="D329" s="570" t="s">
        <v>490</v>
      </c>
      <c r="E329" s="555"/>
      <c r="F329" s="567"/>
      <c r="G329" s="555"/>
      <c r="H329" s="594"/>
    </row>
    <row r="330" spans="1:9" s="310" customFormat="1" ht="12.75" hidden="1" customHeight="1" x14ac:dyDescent="0.2">
      <c r="A330" s="551"/>
      <c r="B330" s="565"/>
      <c r="C330" s="566"/>
      <c r="D330" s="569" t="s">
        <v>491</v>
      </c>
      <c r="E330" s="555"/>
      <c r="F330" s="567"/>
      <c r="G330" s="555"/>
      <c r="H330" s="594"/>
    </row>
    <row r="331" spans="1:9" s="310" customFormat="1" ht="12.75" hidden="1" customHeight="1" x14ac:dyDescent="0.2">
      <c r="A331" s="551"/>
      <c r="B331" s="565"/>
      <c r="C331" s="566"/>
      <c r="D331" s="569" t="s">
        <v>515</v>
      </c>
      <c r="E331" s="555"/>
      <c r="F331" s="567"/>
      <c r="G331" s="555"/>
      <c r="H331" s="594"/>
    </row>
    <row r="332" spans="1:9" s="310" customFormat="1" ht="12.75" hidden="1" customHeight="1" x14ac:dyDescent="0.2">
      <c r="A332" s="551"/>
      <c r="B332" s="565"/>
      <c r="C332" s="566"/>
      <c r="D332" s="569" t="s">
        <v>493</v>
      </c>
      <c r="E332" s="555"/>
      <c r="F332" s="567"/>
      <c r="G332" s="555"/>
      <c r="H332" s="594"/>
    </row>
    <row r="333" spans="1:9" s="310" customFormat="1" ht="12.75" hidden="1" customHeight="1" x14ac:dyDescent="0.2">
      <c r="A333" s="551"/>
      <c r="B333" s="565"/>
      <c r="C333" s="566"/>
      <c r="D333" s="569" t="s">
        <v>494</v>
      </c>
      <c r="E333" s="555"/>
      <c r="F333" s="567"/>
      <c r="G333" s="555"/>
      <c r="H333" s="594"/>
    </row>
    <row r="334" spans="1:9" s="310" customFormat="1" ht="12.75" hidden="1" customHeight="1" x14ac:dyDescent="0.2">
      <c r="A334" s="551"/>
      <c r="B334" s="565"/>
      <c r="C334" s="566"/>
      <c r="D334" s="569" t="s">
        <v>502</v>
      </c>
      <c r="E334" s="555"/>
      <c r="F334" s="567"/>
      <c r="G334" s="555"/>
      <c r="H334" s="568"/>
      <c r="I334" s="579"/>
    </row>
    <row r="335" spans="1:9" s="310" customFormat="1" ht="12.75" hidden="1" customHeight="1" x14ac:dyDescent="0.2">
      <c r="A335" s="551"/>
      <c r="B335" s="565"/>
      <c r="C335" s="566"/>
      <c r="D335" s="569" t="s">
        <v>511</v>
      </c>
      <c r="E335" s="555"/>
      <c r="F335" s="567"/>
      <c r="G335" s="555"/>
      <c r="H335" s="594"/>
      <c r="I335" s="580"/>
    </row>
    <row r="336" spans="1:9" s="310" customFormat="1" ht="12.75" customHeight="1" x14ac:dyDescent="0.2">
      <c r="A336" s="260">
        <f>A327+1</f>
        <v>36</v>
      </c>
      <c r="B336" s="582">
        <v>4020</v>
      </c>
      <c r="C336" s="597" t="s">
        <v>268</v>
      </c>
      <c r="D336" s="584" t="str">
        <f>$D$14</f>
        <v>FTE May 2026</v>
      </c>
      <c r="E336" s="562">
        <f>'4020'!$J$124</f>
        <v>880883.05</v>
      </c>
      <c r="F336" s="585"/>
      <c r="G336" s="562">
        <f>SUBTOTAL(109,E336:F344)</f>
        <v>880883.05</v>
      </c>
      <c r="H336" s="594"/>
      <c r="I336" s="580"/>
    </row>
    <row r="337" spans="1:9" s="310" customFormat="1" ht="12.75" hidden="1" customHeight="1" x14ac:dyDescent="0.2">
      <c r="A337" s="260"/>
      <c r="B337" s="582"/>
      <c r="C337" s="583"/>
      <c r="D337" s="253" t="s">
        <v>512</v>
      </c>
      <c r="E337" s="562"/>
      <c r="F337" s="585"/>
      <c r="G337" s="562"/>
      <c r="H337" s="594"/>
    </row>
    <row r="338" spans="1:9" s="310" customFormat="1" ht="12.75" hidden="1" customHeight="1" x14ac:dyDescent="0.2">
      <c r="A338" s="260"/>
      <c r="B338" s="582"/>
      <c r="C338" s="583"/>
      <c r="D338" s="587" t="s">
        <v>490</v>
      </c>
      <c r="E338" s="562"/>
      <c r="F338" s="585"/>
      <c r="G338" s="562"/>
      <c r="H338" s="594"/>
    </row>
    <row r="339" spans="1:9" s="310" customFormat="1" ht="12.75" hidden="1" customHeight="1" x14ac:dyDescent="0.2">
      <c r="A339" s="260"/>
      <c r="B339" s="582"/>
      <c r="C339" s="583"/>
      <c r="D339" s="253" t="s">
        <v>491</v>
      </c>
      <c r="E339" s="562"/>
      <c r="F339" s="585"/>
      <c r="G339" s="562"/>
      <c r="H339" s="594"/>
      <c r="I339" s="582"/>
    </row>
    <row r="340" spans="1:9" s="310" customFormat="1" ht="12.75" hidden="1" customHeight="1" x14ac:dyDescent="0.2">
      <c r="A340" s="260"/>
      <c r="B340" s="582"/>
      <c r="C340" s="583"/>
      <c r="D340" s="253" t="s">
        <v>515</v>
      </c>
      <c r="E340" s="562"/>
      <c r="F340" s="585"/>
      <c r="G340" s="562"/>
      <c r="H340" s="594"/>
    </row>
    <row r="341" spans="1:9" s="310" customFormat="1" ht="12.75" hidden="1" customHeight="1" x14ac:dyDescent="0.2">
      <c r="A341" s="260"/>
      <c r="B341" s="582"/>
      <c r="C341" s="583"/>
      <c r="D341" s="253" t="s">
        <v>493</v>
      </c>
      <c r="E341" s="562"/>
      <c r="F341" s="585"/>
      <c r="G341" s="562"/>
      <c r="H341" s="594"/>
    </row>
    <row r="342" spans="1:9" s="310" customFormat="1" ht="12.75" hidden="1" customHeight="1" x14ac:dyDescent="0.2">
      <c r="A342" s="260"/>
      <c r="B342" s="582"/>
      <c r="C342" s="583"/>
      <c r="D342" s="253" t="s">
        <v>494</v>
      </c>
      <c r="E342" s="562"/>
      <c r="F342" s="585"/>
      <c r="G342" s="562"/>
      <c r="H342" s="594"/>
    </row>
    <row r="343" spans="1:9" s="310" customFormat="1" ht="12.75" hidden="1" customHeight="1" x14ac:dyDescent="0.2">
      <c r="A343" s="260"/>
      <c r="B343" s="582"/>
      <c r="C343" s="583"/>
      <c r="D343" s="253" t="s">
        <v>520</v>
      </c>
      <c r="E343" s="562"/>
      <c r="F343" s="585"/>
      <c r="G343" s="562"/>
      <c r="H343" s="594"/>
    </row>
    <row r="344" spans="1:9" s="310" customFormat="1" ht="12.75" hidden="1" customHeight="1" x14ac:dyDescent="0.2">
      <c r="A344" s="260"/>
      <c r="B344" s="582"/>
      <c r="C344" s="583"/>
      <c r="D344" s="591" t="s">
        <v>511</v>
      </c>
      <c r="E344" s="562"/>
      <c r="F344" s="585"/>
      <c r="G344" s="562"/>
      <c r="H344" s="594"/>
      <c r="I344" s="575"/>
    </row>
    <row r="345" spans="1:9" s="310" customFormat="1" ht="12.75" customHeight="1" x14ac:dyDescent="0.2">
      <c r="A345" s="551">
        <f>A336+1</f>
        <v>37</v>
      </c>
      <c r="B345" s="565">
        <v>4030</v>
      </c>
      <c r="C345" s="566" t="s">
        <v>269</v>
      </c>
      <c r="D345" s="595" t="str">
        <f>$D$14</f>
        <v>FTE May 2026</v>
      </c>
      <c r="E345" s="555">
        <f>'4030'!$J$124</f>
        <v>101024.31</v>
      </c>
      <c r="F345" s="567"/>
      <c r="G345" s="555">
        <f>SUBTOTAL(109,E345:F354)</f>
        <v>101024.31</v>
      </c>
      <c r="H345" s="594"/>
    </row>
    <row r="346" spans="1:9" s="310" customFormat="1" ht="12.75" hidden="1" customHeight="1" x14ac:dyDescent="0.2">
      <c r="A346" s="551"/>
      <c r="B346" s="565"/>
      <c r="C346" s="566"/>
      <c r="D346" s="569" t="s">
        <v>489</v>
      </c>
      <c r="E346" s="555"/>
      <c r="F346" s="567"/>
      <c r="G346" s="555"/>
      <c r="H346" s="594"/>
    </row>
    <row r="347" spans="1:9" s="310" customFormat="1" ht="12.75" hidden="1" customHeight="1" x14ac:dyDescent="0.2">
      <c r="A347" s="551"/>
      <c r="B347" s="565"/>
      <c r="C347" s="566"/>
      <c r="D347" s="570" t="s">
        <v>490</v>
      </c>
      <c r="E347" s="555"/>
      <c r="F347" s="567"/>
      <c r="G347" s="555"/>
      <c r="H347" s="594"/>
    </row>
    <row r="348" spans="1:9" s="310" customFormat="1" ht="12.75" hidden="1" customHeight="1" x14ac:dyDescent="0.2">
      <c r="A348" s="551"/>
      <c r="B348" s="565"/>
      <c r="C348" s="566"/>
      <c r="D348" s="570" t="s">
        <v>509</v>
      </c>
      <c r="E348" s="555"/>
      <c r="F348" s="567"/>
      <c r="G348" s="555"/>
      <c r="H348" s="594"/>
      <c r="I348" s="582"/>
    </row>
    <row r="349" spans="1:9" s="310" customFormat="1" ht="12.75" hidden="1" customHeight="1" x14ac:dyDescent="0.2">
      <c r="A349" s="551"/>
      <c r="B349" s="565"/>
      <c r="C349" s="566"/>
      <c r="D349" s="566" t="s">
        <v>519</v>
      </c>
      <c r="E349" s="555"/>
      <c r="F349" s="567"/>
      <c r="G349" s="555"/>
      <c r="H349" s="594"/>
    </row>
    <row r="350" spans="1:9" s="310" customFormat="1" ht="12.75" hidden="1" customHeight="1" x14ac:dyDescent="0.2">
      <c r="A350" s="551"/>
      <c r="B350" s="565"/>
      <c r="C350" s="566"/>
      <c r="D350" s="569" t="s">
        <v>492</v>
      </c>
      <c r="E350" s="555"/>
      <c r="F350" s="567"/>
      <c r="G350" s="555"/>
      <c r="H350" s="594"/>
    </row>
    <row r="351" spans="1:9" s="310" customFormat="1" ht="12.75" hidden="1" customHeight="1" x14ac:dyDescent="0.2">
      <c r="A351" s="551"/>
      <c r="B351" s="565"/>
      <c r="C351" s="566"/>
      <c r="D351" s="569" t="s">
        <v>493</v>
      </c>
      <c r="E351" s="555"/>
      <c r="F351" s="567"/>
      <c r="G351" s="555"/>
      <c r="H351" s="594"/>
    </row>
    <row r="352" spans="1:9" s="310" customFormat="1" ht="12.75" hidden="1" customHeight="1" x14ac:dyDescent="0.2">
      <c r="A352" s="551"/>
      <c r="B352" s="565"/>
      <c r="C352" s="566"/>
      <c r="D352" s="569" t="s">
        <v>494</v>
      </c>
      <c r="E352" s="555"/>
      <c r="F352" s="567"/>
      <c r="G352" s="555"/>
      <c r="H352" s="568"/>
      <c r="I352" s="579"/>
    </row>
    <row r="353" spans="1:9" s="310" customFormat="1" ht="12.75" hidden="1" customHeight="1" x14ac:dyDescent="0.2">
      <c r="A353" s="551"/>
      <c r="B353" s="565"/>
      <c r="C353" s="566"/>
      <c r="D353" s="569" t="s">
        <v>502</v>
      </c>
      <c r="E353" s="555"/>
      <c r="F353" s="567"/>
      <c r="G353" s="555"/>
      <c r="H353" s="594"/>
      <c r="I353" s="575"/>
    </row>
    <row r="354" spans="1:9" s="310" customFormat="1" ht="12.75" hidden="1" customHeight="1" x14ac:dyDescent="0.2">
      <c r="A354" s="551"/>
      <c r="B354" s="565"/>
      <c r="C354" s="566"/>
      <c r="D354" s="569" t="s">
        <v>511</v>
      </c>
      <c r="E354" s="555"/>
      <c r="F354" s="567"/>
      <c r="G354" s="555"/>
      <c r="H354" s="594"/>
    </row>
    <row r="355" spans="1:9" s="310" customFormat="1" ht="12.75" customHeight="1" x14ac:dyDescent="0.2">
      <c r="A355" s="260">
        <f>A345+1</f>
        <v>38</v>
      </c>
      <c r="B355" s="582">
        <v>4031</v>
      </c>
      <c r="C355" s="597" t="s">
        <v>270</v>
      </c>
      <c r="D355" s="584" t="str">
        <f>$D$14</f>
        <v>FTE May 2026</v>
      </c>
      <c r="E355" s="562">
        <f>'4031'!$J$124</f>
        <v>220857.79</v>
      </c>
      <c r="F355" s="585"/>
      <c r="G355" s="562">
        <f>SUBTOTAL(109,E355:F364)</f>
        <v>220857.79</v>
      </c>
      <c r="H355" s="594"/>
    </row>
    <row r="356" spans="1:9" s="310" customFormat="1" ht="12.75" hidden="1" customHeight="1" x14ac:dyDescent="0.2">
      <c r="A356" s="260"/>
      <c r="B356" s="582"/>
      <c r="C356" s="583"/>
      <c r="D356" s="253" t="s">
        <v>512</v>
      </c>
      <c r="E356" s="562"/>
      <c r="F356" s="585"/>
      <c r="G356" s="562"/>
      <c r="H356" s="594"/>
    </row>
    <row r="357" spans="1:9" s="310" customFormat="1" ht="12.75" hidden="1" customHeight="1" x14ac:dyDescent="0.2">
      <c r="A357" s="260"/>
      <c r="B357" s="582"/>
      <c r="C357" s="583"/>
      <c r="D357" s="587" t="s">
        <v>490</v>
      </c>
      <c r="E357" s="562"/>
      <c r="F357" s="585"/>
      <c r="G357" s="562"/>
      <c r="H357" s="594"/>
      <c r="I357" s="582"/>
    </row>
    <row r="358" spans="1:9" s="310" customFormat="1" ht="12.75" hidden="1" customHeight="1" x14ac:dyDescent="0.2">
      <c r="A358" s="260"/>
      <c r="B358" s="582"/>
      <c r="C358" s="583"/>
      <c r="D358" s="587" t="s">
        <v>509</v>
      </c>
      <c r="E358" s="562"/>
      <c r="F358" s="585"/>
      <c r="G358" s="562"/>
      <c r="H358" s="594"/>
      <c r="I358" s="582"/>
    </row>
    <row r="359" spans="1:9" s="310" customFormat="1" ht="12.75" hidden="1" customHeight="1" x14ac:dyDescent="0.2">
      <c r="A359" s="260"/>
      <c r="B359" s="582"/>
      <c r="C359" s="583"/>
      <c r="D359" s="253" t="s">
        <v>491</v>
      </c>
      <c r="E359" s="562"/>
      <c r="F359" s="585"/>
      <c r="G359" s="562"/>
      <c r="H359" s="594"/>
    </row>
    <row r="360" spans="1:9" s="310" customFormat="1" ht="12.75" hidden="1" customHeight="1" x14ac:dyDescent="0.2">
      <c r="A360" s="260"/>
      <c r="B360" s="582"/>
      <c r="C360" s="583"/>
      <c r="D360" s="253" t="s">
        <v>492</v>
      </c>
      <c r="E360" s="562"/>
      <c r="F360" s="585"/>
      <c r="G360" s="562"/>
      <c r="H360" s="594"/>
    </row>
    <row r="361" spans="1:9" s="310" customFormat="1" ht="12.75" hidden="1" customHeight="1" x14ac:dyDescent="0.2">
      <c r="A361" s="260"/>
      <c r="B361" s="582"/>
      <c r="C361" s="583"/>
      <c r="D361" s="253" t="s">
        <v>493</v>
      </c>
      <c r="E361" s="562"/>
      <c r="F361" s="585"/>
      <c r="G361" s="562"/>
      <c r="H361" s="594"/>
    </row>
    <row r="362" spans="1:9" s="310" customFormat="1" ht="12.75" hidden="1" customHeight="1" x14ac:dyDescent="0.2">
      <c r="A362" s="260"/>
      <c r="B362" s="582"/>
      <c r="C362" s="583"/>
      <c r="D362" s="253" t="s">
        <v>494</v>
      </c>
      <c r="E362" s="562"/>
      <c r="F362" s="585"/>
      <c r="G362" s="562"/>
      <c r="H362" s="594"/>
    </row>
    <row r="363" spans="1:9" s="310" customFormat="1" ht="12.75" hidden="1" customHeight="1" x14ac:dyDescent="0.2">
      <c r="A363" s="260"/>
      <c r="B363" s="582"/>
      <c r="C363" s="583"/>
      <c r="D363" s="253" t="s">
        <v>502</v>
      </c>
      <c r="E363" s="562"/>
      <c r="F363" s="585"/>
      <c r="G363" s="562"/>
      <c r="H363" s="594"/>
      <c r="I363" s="575"/>
    </row>
    <row r="364" spans="1:9" s="310" customFormat="1" ht="12.75" hidden="1" customHeight="1" x14ac:dyDescent="0.2">
      <c r="A364" s="260"/>
      <c r="B364" s="582"/>
      <c r="C364" s="583"/>
      <c r="D364" s="591" t="s">
        <v>511</v>
      </c>
      <c r="E364" s="562"/>
      <c r="F364" s="585"/>
      <c r="G364" s="562"/>
      <c r="H364" s="594"/>
    </row>
    <row r="365" spans="1:9" s="310" customFormat="1" ht="12.75" customHeight="1" x14ac:dyDescent="0.2">
      <c r="A365" s="551">
        <f>A355+1</f>
        <v>39</v>
      </c>
      <c r="B365" s="565">
        <v>4041</v>
      </c>
      <c r="C365" s="566" t="s">
        <v>271</v>
      </c>
      <c r="D365" s="595" t="str">
        <f>$D$14</f>
        <v>FTE May 2026</v>
      </c>
      <c r="E365" s="555">
        <f>'4041'!$J$124</f>
        <v>66728.55</v>
      </c>
      <c r="F365" s="567"/>
      <c r="G365" s="555">
        <f>SUBTOTAL(109,E365:F375)</f>
        <v>66728.55</v>
      </c>
      <c r="H365" s="594"/>
    </row>
    <row r="366" spans="1:9" s="310" customFormat="1" ht="12.75" hidden="1" customHeight="1" x14ac:dyDescent="0.2">
      <c r="A366" s="551"/>
      <c r="B366" s="565"/>
      <c r="C366" s="566"/>
      <c r="D366" s="569" t="s">
        <v>489</v>
      </c>
      <c r="E366" s="555"/>
      <c r="F366" s="567"/>
      <c r="G366" s="555"/>
      <c r="H366" s="594"/>
    </row>
    <row r="367" spans="1:9" s="310" customFormat="1" ht="12.75" hidden="1" customHeight="1" x14ac:dyDescent="0.2">
      <c r="A367" s="551"/>
      <c r="B367" s="565"/>
      <c r="C367" s="566"/>
      <c r="D367" s="570" t="s">
        <v>490</v>
      </c>
      <c r="E367" s="555"/>
      <c r="F367" s="567"/>
      <c r="G367" s="555"/>
      <c r="H367" s="594"/>
      <c r="I367" s="582"/>
    </row>
    <row r="368" spans="1:9" s="310" customFormat="1" ht="12.75" hidden="1" customHeight="1" x14ac:dyDescent="0.2">
      <c r="A368" s="551"/>
      <c r="B368" s="565"/>
      <c r="C368" s="566"/>
      <c r="D368" s="570" t="s">
        <v>509</v>
      </c>
      <c r="E368" s="555"/>
      <c r="F368" s="567"/>
      <c r="G368" s="555"/>
      <c r="H368" s="594"/>
      <c r="I368" s="582"/>
    </row>
    <row r="369" spans="1:9" s="310" customFormat="1" ht="12.75" hidden="1" customHeight="1" x14ac:dyDescent="0.2">
      <c r="A369" s="551"/>
      <c r="B369" s="565"/>
      <c r="C369" s="566"/>
      <c r="D369" s="569" t="s">
        <v>491</v>
      </c>
      <c r="E369" s="555"/>
      <c r="F369" s="567"/>
      <c r="G369" s="555"/>
      <c r="H369" s="594"/>
    </row>
    <row r="370" spans="1:9" s="310" customFormat="1" ht="12.75" hidden="1" customHeight="1" x14ac:dyDescent="0.2">
      <c r="A370" s="551"/>
      <c r="B370" s="565"/>
      <c r="C370" s="566"/>
      <c r="D370" s="569" t="s">
        <v>492</v>
      </c>
      <c r="E370" s="555"/>
      <c r="F370" s="567"/>
      <c r="G370" s="555"/>
      <c r="H370" s="594"/>
    </row>
    <row r="371" spans="1:9" s="310" customFormat="1" ht="12.75" hidden="1" customHeight="1" x14ac:dyDescent="0.2">
      <c r="A371" s="551"/>
      <c r="B371" s="565"/>
      <c r="C371" s="566"/>
      <c r="D371" s="569" t="s">
        <v>493</v>
      </c>
      <c r="E371" s="555"/>
      <c r="F371" s="567"/>
      <c r="G371" s="555"/>
      <c r="H371" s="594"/>
      <c r="I371" s="582"/>
    </row>
    <row r="372" spans="1:9" s="310" customFormat="1" ht="12.75" hidden="1" customHeight="1" x14ac:dyDescent="0.2">
      <c r="A372" s="551"/>
      <c r="B372" s="565"/>
      <c r="C372" s="566"/>
      <c r="D372" s="569" t="s">
        <v>494</v>
      </c>
      <c r="E372" s="555"/>
      <c r="F372" s="567"/>
      <c r="G372" s="555"/>
      <c r="H372" s="594"/>
      <c r="I372" s="579"/>
    </row>
    <row r="373" spans="1:9" s="310" customFormat="1" ht="12.75" hidden="1" customHeight="1" x14ac:dyDescent="0.2">
      <c r="A373" s="551"/>
      <c r="B373" s="565"/>
      <c r="C373" s="566"/>
      <c r="D373" s="569" t="s">
        <v>516</v>
      </c>
      <c r="E373" s="555"/>
      <c r="F373" s="567"/>
      <c r="G373" s="555"/>
      <c r="H373" s="594"/>
      <c r="I373" s="575"/>
    </row>
    <row r="374" spans="1:9" s="310" customFormat="1" ht="12.75" hidden="1" customHeight="1" x14ac:dyDescent="0.2">
      <c r="A374" s="551"/>
      <c r="B374" s="565"/>
      <c r="C374" s="566"/>
      <c r="D374" s="569" t="s">
        <v>502</v>
      </c>
      <c r="E374" s="555"/>
      <c r="F374" s="567"/>
      <c r="G374" s="555"/>
      <c r="H374" s="594"/>
    </row>
    <row r="375" spans="1:9" s="310" customFormat="1" ht="12.75" hidden="1" customHeight="1" x14ac:dyDescent="0.2">
      <c r="A375" s="551"/>
      <c r="B375" s="565"/>
      <c r="C375" s="566"/>
      <c r="D375" s="569" t="s">
        <v>511</v>
      </c>
      <c r="E375" s="555"/>
      <c r="F375" s="567"/>
      <c r="G375" s="555"/>
      <c r="H375" s="594"/>
    </row>
    <row r="376" spans="1:9" s="310" customFormat="1" ht="12.75" customHeight="1" x14ac:dyDescent="0.2">
      <c r="A376" s="260">
        <f>A365+1</f>
        <v>40</v>
      </c>
      <c r="B376" s="284">
        <v>4050</v>
      </c>
      <c r="C376" s="285" t="s">
        <v>272</v>
      </c>
      <c r="D376" s="584" t="str">
        <f>$D$14</f>
        <v>FTE May 2026</v>
      </c>
      <c r="E376" s="562">
        <f>'4050'!$J$124</f>
        <v>362952.79</v>
      </c>
      <c r="F376" s="585"/>
      <c r="G376" s="562">
        <f>SUBTOTAL(109,E376:F382)</f>
        <v>362952.79</v>
      </c>
      <c r="H376" s="594"/>
    </row>
    <row r="377" spans="1:9" s="310" customFormat="1" ht="12.75" hidden="1" customHeight="1" x14ac:dyDescent="0.2">
      <c r="A377" s="260"/>
      <c r="B377" s="284"/>
      <c r="C377" s="285"/>
      <c r="D377" s="253" t="s">
        <v>512</v>
      </c>
      <c r="E377" s="562"/>
      <c r="F377" s="585"/>
      <c r="G377" s="562"/>
      <c r="H377" s="594"/>
      <c r="I377" s="582"/>
    </row>
    <row r="378" spans="1:9" s="310" customFormat="1" ht="12.75" hidden="1" customHeight="1" x14ac:dyDescent="0.2">
      <c r="A378" s="260"/>
      <c r="B378" s="284"/>
      <c r="C378" s="285"/>
      <c r="D378" s="253" t="s">
        <v>490</v>
      </c>
      <c r="E378" s="562"/>
      <c r="F378" s="585"/>
      <c r="G378" s="562"/>
      <c r="H378" s="594"/>
      <c r="I378" s="582"/>
    </row>
    <row r="379" spans="1:9" s="310" customFormat="1" ht="12.75" hidden="1" customHeight="1" x14ac:dyDescent="0.2">
      <c r="A379" s="260"/>
      <c r="B379" s="582"/>
      <c r="C379" s="583"/>
      <c r="D379" s="253" t="s">
        <v>492</v>
      </c>
      <c r="E379" s="562"/>
      <c r="F379" s="585"/>
      <c r="G379" s="562"/>
      <c r="H379" s="594"/>
    </row>
    <row r="380" spans="1:9" s="310" customFormat="1" ht="12.75" hidden="1" customHeight="1" x14ac:dyDescent="0.2">
      <c r="A380" s="260"/>
      <c r="B380" s="582"/>
      <c r="C380" s="583"/>
      <c r="D380" s="253" t="s">
        <v>493</v>
      </c>
      <c r="E380" s="562"/>
      <c r="F380" s="585"/>
      <c r="G380" s="562"/>
      <c r="H380" s="594"/>
    </row>
    <row r="381" spans="1:9" s="310" customFormat="1" ht="12.75" hidden="1" customHeight="1" x14ac:dyDescent="0.2">
      <c r="A381" s="260"/>
      <c r="B381" s="582"/>
      <c r="C381" s="583"/>
      <c r="D381" s="253" t="s">
        <v>494</v>
      </c>
      <c r="E381" s="562"/>
      <c r="F381" s="585"/>
      <c r="G381" s="562"/>
      <c r="H381" s="594"/>
    </row>
    <row r="382" spans="1:9" s="310" customFormat="1" ht="12.75" hidden="1" customHeight="1" x14ac:dyDescent="0.2">
      <c r="A382" s="260"/>
      <c r="B382" s="582"/>
      <c r="C382" s="583"/>
      <c r="D382" s="591" t="s">
        <v>511</v>
      </c>
      <c r="E382" s="562"/>
      <c r="F382" s="585"/>
      <c r="G382" s="562"/>
      <c r="H382" s="594"/>
    </row>
    <row r="383" spans="1:9" s="310" customFormat="1" ht="12.75" customHeight="1" x14ac:dyDescent="0.2">
      <c r="A383" s="551">
        <f>A376+1</f>
        <v>41</v>
      </c>
      <c r="B383" s="565">
        <v>4051</v>
      </c>
      <c r="C383" s="566" t="s">
        <v>273</v>
      </c>
      <c r="D383" s="595" t="str">
        <f>$D$14</f>
        <v>FTE May 2026</v>
      </c>
      <c r="E383" s="555">
        <f>'4051'!$J$124</f>
        <v>305361.94</v>
      </c>
      <c r="F383" s="567"/>
      <c r="G383" s="555">
        <f>SUBTOTAL(109,E383:F391)</f>
        <v>305361.94</v>
      </c>
      <c r="H383" s="594"/>
    </row>
    <row r="384" spans="1:9" s="310" customFormat="1" ht="12.75" hidden="1" customHeight="1" x14ac:dyDescent="0.2">
      <c r="A384" s="551"/>
      <c r="B384" s="565"/>
      <c r="C384" s="566"/>
      <c r="D384" s="569" t="s">
        <v>489</v>
      </c>
      <c r="E384" s="555"/>
      <c r="F384" s="567"/>
      <c r="G384" s="555"/>
      <c r="H384" s="594"/>
      <c r="I384" s="575"/>
    </row>
    <row r="385" spans="1:9" s="310" customFormat="1" ht="12.75" hidden="1" customHeight="1" x14ac:dyDescent="0.2">
      <c r="A385" s="551"/>
      <c r="B385" s="565"/>
      <c r="C385" s="566"/>
      <c r="D385" s="569" t="s">
        <v>490</v>
      </c>
      <c r="E385" s="555"/>
      <c r="F385" s="567"/>
      <c r="G385" s="555"/>
      <c r="H385" s="594"/>
    </row>
    <row r="386" spans="1:9" s="310" customFormat="1" ht="12.75" hidden="1" customHeight="1" x14ac:dyDescent="0.2">
      <c r="A386" s="551"/>
      <c r="B386" s="565"/>
      <c r="C386" s="566"/>
      <c r="D386" s="569" t="s">
        <v>492</v>
      </c>
      <c r="E386" s="555"/>
      <c r="F386" s="567"/>
      <c r="G386" s="555"/>
      <c r="H386" s="594"/>
    </row>
    <row r="387" spans="1:9" s="310" customFormat="1" ht="12.75" hidden="1" customHeight="1" x14ac:dyDescent="0.2">
      <c r="A387" s="551"/>
      <c r="B387" s="565"/>
      <c r="C387" s="566"/>
      <c r="D387" s="569" t="s">
        <v>493</v>
      </c>
      <c r="E387" s="555"/>
      <c r="F387" s="567"/>
      <c r="G387" s="555"/>
      <c r="H387" s="594"/>
    </row>
    <row r="388" spans="1:9" s="310" customFormat="1" ht="12.75" hidden="1" customHeight="1" x14ac:dyDescent="0.2">
      <c r="A388" s="551"/>
      <c r="B388" s="565"/>
      <c r="C388" s="566"/>
      <c r="D388" s="569" t="s">
        <v>494</v>
      </c>
      <c r="E388" s="555"/>
      <c r="F388" s="567"/>
      <c r="G388" s="555"/>
      <c r="H388" s="594"/>
    </row>
    <row r="389" spans="1:9" s="310" customFormat="1" ht="12.75" hidden="1" customHeight="1" x14ac:dyDescent="0.2">
      <c r="A389" s="551"/>
      <c r="B389" s="565"/>
      <c r="C389" s="566"/>
      <c r="D389" s="569" t="s">
        <v>516</v>
      </c>
      <c r="E389" s="555"/>
      <c r="F389" s="567"/>
      <c r="G389" s="555"/>
      <c r="H389" s="594"/>
    </row>
    <row r="390" spans="1:9" s="310" customFormat="1" ht="12.75" hidden="1" customHeight="1" x14ac:dyDescent="0.2">
      <c r="A390" s="551"/>
      <c r="B390" s="565"/>
      <c r="C390" s="566"/>
      <c r="D390" s="569" t="s">
        <v>520</v>
      </c>
      <c r="E390" s="555"/>
      <c r="F390" s="567"/>
      <c r="G390" s="555"/>
      <c r="H390" s="594"/>
    </row>
    <row r="391" spans="1:9" s="310" customFormat="1" ht="12.75" hidden="1" customHeight="1" x14ac:dyDescent="0.2">
      <c r="A391" s="551"/>
      <c r="B391" s="565"/>
      <c r="C391" s="566"/>
      <c r="D391" s="569"/>
      <c r="E391" s="555"/>
      <c r="F391" s="567"/>
      <c r="G391" s="555"/>
      <c r="H391" s="594"/>
      <c r="I391" s="579"/>
    </row>
    <row r="392" spans="1:9" s="310" customFormat="1" ht="12.75" customHeight="1" x14ac:dyDescent="0.2">
      <c r="A392" s="260">
        <f>A383+1</f>
        <v>42</v>
      </c>
      <c r="B392" s="284">
        <v>4061</v>
      </c>
      <c r="C392" s="287" t="s">
        <v>274</v>
      </c>
      <c r="D392" s="584" t="str">
        <f>$D$14</f>
        <v>FTE May 2026</v>
      </c>
      <c r="E392" s="562">
        <f>'4061'!$J$124</f>
        <v>588228.61</v>
      </c>
      <c r="F392" s="585"/>
      <c r="G392" s="562">
        <f>SUBTOTAL(109,E392:F400)</f>
        <v>588228.61</v>
      </c>
      <c r="H392" s="594"/>
    </row>
    <row r="393" spans="1:9" s="310" customFormat="1" ht="12.75" hidden="1" customHeight="1" x14ac:dyDescent="0.2">
      <c r="A393" s="260"/>
      <c r="B393" s="284"/>
      <c r="C393" s="285"/>
      <c r="D393" s="253" t="s">
        <v>512</v>
      </c>
      <c r="E393" s="562"/>
      <c r="F393" s="585"/>
      <c r="G393" s="562"/>
      <c r="H393" s="594"/>
    </row>
    <row r="394" spans="1:9" s="310" customFormat="1" ht="12.75" hidden="1" customHeight="1" x14ac:dyDescent="0.2">
      <c r="A394" s="260"/>
      <c r="B394" s="582"/>
      <c r="C394" s="583"/>
      <c r="D394" s="587" t="s">
        <v>490</v>
      </c>
      <c r="E394" s="562"/>
      <c r="F394" s="585"/>
      <c r="G394" s="562"/>
      <c r="H394" s="594"/>
    </row>
    <row r="395" spans="1:9" s="310" customFormat="1" ht="12.75" hidden="1" customHeight="1" x14ac:dyDescent="0.2">
      <c r="A395" s="260"/>
      <c r="B395" s="284"/>
      <c r="C395" s="285"/>
      <c r="D395" s="253" t="s">
        <v>489</v>
      </c>
      <c r="E395" s="562"/>
      <c r="F395" s="585"/>
      <c r="G395" s="562"/>
      <c r="H395" s="594"/>
    </row>
    <row r="396" spans="1:9" s="310" customFormat="1" ht="12.75" hidden="1" customHeight="1" x14ac:dyDescent="0.2">
      <c r="A396" s="260"/>
      <c r="B396" s="284"/>
      <c r="C396" s="285"/>
      <c r="D396" s="253" t="s">
        <v>491</v>
      </c>
      <c r="E396" s="562"/>
      <c r="F396" s="585"/>
      <c r="G396" s="562"/>
      <c r="H396" s="594"/>
    </row>
    <row r="397" spans="1:9" s="310" customFormat="1" ht="12.75" hidden="1" customHeight="1" x14ac:dyDescent="0.2">
      <c r="A397" s="260"/>
      <c r="B397" s="582"/>
      <c r="C397" s="583"/>
      <c r="D397" s="253" t="s">
        <v>492</v>
      </c>
      <c r="E397" s="562"/>
      <c r="F397" s="585"/>
      <c r="G397" s="562"/>
      <c r="H397" s="594"/>
    </row>
    <row r="398" spans="1:9" s="310" customFormat="1" ht="12.75" hidden="1" customHeight="1" x14ac:dyDescent="0.2">
      <c r="A398" s="260"/>
      <c r="B398" s="582"/>
      <c r="C398" s="583"/>
      <c r="D398" s="253" t="s">
        <v>493</v>
      </c>
      <c r="E398" s="562"/>
      <c r="F398" s="585"/>
      <c r="G398" s="562"/>
      <c r="H398" s="594"/>
    </row>
    <row r="399" spans="1:9" s="310" customFormat="1" ht="12.75" hidden="1" customHeight="1" x14ac:dyDescent="0.2">
      <c r="A399" s="260"/>
      <c r="B399" s="582"/>
      <c r="C399" s="583"/>
      <c r="D399" s="253" t="s">
        <v>494</v>
      </c>
      <c r="E399" s="562"/>
      <c r="F399" s="585"/>
      <c r="G399" s="562"/>
      <c r="H399" s="594"/>
    </row>
    <row r="400" spans="1:9" s="310" customFormat="1" ht="12.75" hidden="1" customHeight="1" x14ac:dyDescent="0.2">
      <c r="A400" s="260"/>
      <c r="B400" s="582"/>
      <c r="C400" s="583"/>
      <c r="D400" s="591" t="s">
        <v>531</v>
      </c>
      <c r="E400" s="604"/>
      <c r="F400" s="585"/>
      <c r="G400" s="562"/>
      <c r="H400" s="594"/>
      <c r="I400" s="575"/>
    </row>
    <row r="401" spans="1:9" s="310" customFormat="1" ht="12.75" customHeight="1" x14ac:dyDescent="0.2">
      <c r="A401" s="551">
        <f>A392+1</f>
        <v>43</v>
      </c>
      <c r="B401" s="565">
        <v>4080</v>
      </c>
      <c r="C401" s="566" t="s">
        <v>275</v>
      </c>
      <c r="D401" s="595" t="str">
        <f>$D$14</f>
        <v>FTE May 2026</v>
      </c>
      <c r="E401" s="555">
        <v>0</v>
      </c>
      <c r="F401" s="567"/>
      <c r="G401" s="555">
        <f>SUBTOTAL(109,E401:F407)</f>
        <v>0</v>
      </c>
      <c r="H401" s="594"/>
      <c r="I401" s="305" t="s">
        <v>572</v>
      </c>
    </row>
    <row r="402" spans="1:9" s="310" customFormat="1" ht="12.75" hidden="1" customHeight="1" x14ac:dyDescent="0.2">
      <c r="A402" s="551"/>
      <c r="B402" s="565"/>
      <c r="C402" s="566"/>
      <c r="D402" s="569" t="s">
        <v>489</v>
      </c>
      <c r="E402" s="555"/>
      <c r="F402" s="567"/>
      <c r="G402" s="555"/>
      <c r="H402" s="594"/>
    </row>
    <row r="403" spans="1:9" s="310" customFormat="1" ht="12.75" hidden="1" customHeight="1" x14ac:dyDescent="0.2">
      <c r="A403" s="551"/>
      <c r="B403" s="565"/>
      <c r="C403" s="566"/>
      <c r="D403" s="569" t="s">
        <v>490</v>
      </c>
      <c r="E403" s="555"/>
      <c r="F403" s="567"/>
      <c r="G403" s="555"/>
      <c r="H403" s="594"/>
    </row>
    <row r="404" spans="1:9" s="310" customFormat="1" ht="12.75" hidden="1" customHeight="1" x14ac:dyDescent="0.2">
      <c r="A404" s="551"/>
      <c r="B404" s="565"/>
      <c r="C404" s="566"/>
      <c r="D404" s="569" t="s">
        <v>492</v>
      </c>
      <c r="E404" s="555"/>
      <c r="F404" s="567"/>
      <c r="G404" s="555"/>
      <c r="H404" s="594"/>
      <c r="I404" s="582"/>
    </row>
    <row r="405" spans="1:9" s="310" customFormat="1" ht="12.75" hidden="1" customHeight="1" x14ac:dyDescent="0.2">
      <c r="A405" s="551"/>
      <c r="B405" s="565"/>
      <c r="C405" s="566"/>
      <c r="D405" s="569" t="s">
        <v>493</v>
      </c>
      <c r="E405" s="555"/>
      <c r="F405" s="567"/>
      <c r="G405" s="555"/>
      <c r="H405" s="594"/>
    </row>
    <row r="406" spans="1:9" s="310" customFormat="1" ht="12.75" hidden="1" customHeight="1" x14ac:dyDescent="0.2">
      <c r="A406" s="551"/>
      <c r="B406" s="565"/>
      <c r="C406" s="566"/>
      <c r="D406" s="569" t="s">
        <v>494</v>
      </c>
      <c r="E406" s="555"/>
      <c r="F406" s="567"/>
      <c r="G406" s="555"/>
      <c r="H406" s="594"/>
    </row>
    <row r="407" spans="1:9" s="310" customFormat="1" ht="12.75" hidden="1" customHeight="1" x14ac:dyDescent="0.2">
      <c r="A407" s="551"/>
      <c r="B407" s="565"/>
      <c r="C407" s="566"/>
      <c r="D407" s="569" t="s">
        <v>511</v>
      </c>
      <c r="E407" s="555"/>
      <c r="F407" s="567"/>
      <c r="G407" s="555"/>
      <c r="H407" s="594"/>
      <c r="I407" s="582"/>
    </row>
    <row r="408" spans="1:9" s="310" customFormat="1" ht="12.75" customHeight="1" x14ac:dyDescent="0.2">
      <c r="A408" s="260">
        <f>1+A401</f>
        <v>44</v>
      </c>
      <c r="B408" s="284">
        <v>4081</v>
      </c>
      <c r="C408" s="287" t="s">
        <v>276</v>
      </c>
      <c r="D408" s="584" t="str">
        <f>$D$14</f>
        <v>FTE May 2026</v>
      </c>
      <c r="E408" s="562">
        <f>'4081'!$J$124</f>
        <v>85581.35</v>
      </c>
      <c r="F408" s="585"/>
      <c r="G408" s="562">
        <f>SUBTOTAL(109,E408:F416)</f>
        <v>85581.35</v>
      </c>
      <c r="H408" s="594"/>
    </row>
    <row r="409" spans="1:9" s="310" customFormat="1" ht="12.75" hidden="1" customHeight="1" x14ac:dyDescent="0.2">
      <c r="A409" s="260"/>
      <c r="B409" s="284"/>
      <c r="C409" s="287"/>
      <c r="D409" s="253" t="s">
        <v>512</v>
      </c>
      <c r="E409" s="562"/>
      <c r="F409" s="585"/>
      <c r="G409" s="562"/>
      <c r="H409" s="594"/>
      <c r="I409" s="579"/>
    </row>
    <row r="410" spans="1:9" s="310" customFormat="1" ht="12.75" hidden="1" customHeight="1" x14ac:dyDescent="0.2">
      <c r="A410" s="260"/>
      <c r="B410" s="582"/>
      <c r="C410" s="583"/>
      <c r="D410" s="587" t="s">
        <v>490</v>
      </c>
      <c r="E410" s="562"/>
      <c r="F410" s="585"/>
      <c r="G410" s="562"/>
      <c r="H410" s="594"/>
      <c r="I410" s="579"/>
    </row>
    <row r="411" spans="1:9" s="310" customFormat="1" ht="12.75" hidden="1" customHeight="1" x14ac:dyDescent="0.2">
      <c r="A411" s="260"/>
      <c r="B411" s="284"/>
      <c r="C411" s="287"/>
      <c r="D411" s="253" t="s">
        <v>491</v>
      </c>
      <c r="E411" s="562"/>
      <c r="F411" s="585"/>
      <c r="G411" s="562"/>
      <c r="H411" s="594"/>
    </row>
    <row r="412" spans="1:9" s="310" customFormat="1" ht="12.75" hidden="1" customHeight="1" x14ac:dyDescent="0.2">
      <c r="A412" s="260"/>
      <c r="B412" s="284"/>
      <c r="C412" s="287"/>
      <c r="D412" s="253" t="s">
        <v>492</v>
      </c>
      <c r="E412" s="562"/>
      <c r="F412" s="585"/>
      <c r="G412" s="562"/>
      <c r="H412" s="594"/>
    </row>
    <row r="413" spans="1:9" s="310" customFormat="1" ht="12.75" hidden="1" customHeight="1" x14ac:dyDescent="0.2">
      <c r="A413" s="260"/>
      <c r="B413" s="284"/>
      <c r="C413" s="287"/>
      <c r="D413" s="253" t="s">
        <v>493</v>
      </c>
      <c r="E413" s="562"/>
      <c r="F413" s="585"/>
      <c r="G413" s="562"/>
      <c r="H413" s="594"/>
    </row>
    <row r="414" spans="1:9" s="310" customFormat="1" ht="12.75" hidden="1" customHeight="1" x14ac:dyDescent="0.2">
      <c r="A414" s="260"/>
      <c r="B414" s="582"/>
      <c r="C414" s="583"/>
      <c r="D414" s="253" t="s">
        <v>494</v>
      </c>
      <c r="E414" s="562"/>
      <c r="F414" s="585"/>
      <c r="G414" s="562"/>
      <c r="H414" s="594"/>
    </row>
    <row r="415" spans="1:9" s="310" customFormat="1" ht="12.75" hidden="1" customHeight="1" x14ac:dyDescent="0.2">
      <c r="A415" s="260"/>
      <c r="B415" s="582"/>
      <c r="C415" s="583"/>
      <c r="D415" s="253" t="s">
        <v>502</v>
      </c>
      <c r="E415" s="562"/>
      <c r="F415" s="585"/>
      <c r="G415" s="562"/>
      <c r="H415" s="594"/>
    </row>
    <row r="416" spans="1:9" s="310" customFormat="1" ht="12.75" hidden="1" customHeight="1" x14ac:dyDescent="0.2">
      <c r="A416" s="260"/>
      <c r="B416" s="582"/>
      <c r="C416" s="583"/>
      <c r="D416" s="591" t="s">
        <v>511</v>
      </c>
      <c r="E416" s="562"/>
      <c r="F416" s="585"/>
      <c r="G416" s="562"/>
      <c r="H416" s="594"/>
    </row>
    <row r="417" spans="1:11" s="310" customFormat="1" ht="12.75" customHeight="1" x14ac:dyDescent="0.2">
      <c r="A417" s="551">
        <f>1+A408</f>
        <v>45</v>
      </c>
      <c r="B417" s="565">
        <v>4090</v>
      </c>
      <c r="C417" s="566" t="s">
        <v>532</v>
      </c>
      <c r="D417" s="595" t="str">
        <f>$D$14</f>
        <v>FTE May 2026</v>
      </c>
      <c r="E417" s="555">
        <f>'4090'!$J$124</f>
        <v>251142.5</v>
      </c>
      <c r="F417" s="567"/>
      <c r="G417" s="555">
        <f>SUBTOTAL(109,E417:F426)</f>
        <v>251142.5</v>
      </c>
      <c r="H417" s="594"/>
    </row>
    <row r="418" spans="1:11" s="310" customFormat="1" ht="12.75" hidden="1" customHeight="1" x14ac:dyDescent="0.2">
      <c r="A418" s="551"/>
      <c r="B418" s="565"/>
      <c r="C418" s="566"/>
      <c r="D418" s="569" t="s">
        <v>489</v>
      </c>
      <c r="E418" s="555"/>
      <c r="F418" s="567"/>
      <c r="G418" s="555"/>
      <c r="H418" s="594"/>
      <c r="K418" s="589"/>
    </row>
    <row r="419" spans="1:11" s="310" customFormat="1" ht="12.75" hidden="1" customHeight="1" x14ac:dyDescent="0.2">
      <c r="A419" s="551"/>
      <c r="B419" s="565"/>
      <c r="C419" s="566"/>
      <c r="D419" s="570" t="s">
        <v>533</v>
      </c>
      <c r="E419" s="555"/>
      <c r="F419" s="567"/>
      <c r="G419" s="555"/>
      <c r="H419" s="594"/>
    </row>
    <row r="420" spans="1:11" s="310" customFormat="1" ht="12.75" hidden="1" customHeight="1" x14ac:dyDescent="0.2">
      <c r="A420" s="551"/>
      <c r="B420" s="565"/>
      <c r="C420" s="566"/>
      <c r="D420" s="570" t="s">
        <v>509</v>
      </c>
      <c r="E420" s="555"/>
      <c r="F420" s="567"/>
      <c r="G420" s="555"/>
      <c r="H420" s="594"/>
      <c r="I420" s="582"/>
    </row>
    <row r="421" spans="1:11" s="310" customFormat="1" ht="12.75" hidden="1" customHeight="1" x14ac:dyDescent="0.2">
      <c r="A421" s="551"/>
      <c r="B421" s="565"/>
      <c r="C421" s="566"/>
      <c r="D421" s="569" t="s">
        <v>491</v>
      </c>
      <c r="E421" s="555"/>
      <c r="F421" s="567"/>
      <c r="G421" s="555"/>
      <c r="H421" s="594"/>
    </row>
    <row r="422" spans="1:11" s="310" customFormat="1" ht="12.75" hidden="1" customHeight="1" x14ac:dyDescent="0.2">
      <c r="A422" s="551"/>
      <c r="B422" s="565"/>
      <c r="C422" s="566"/>
      <c r="D422" s="569" t="s">
        <v>492</v>
      </c>
      <c r="E422" s="555"/>
      <c r="F422" s="567"/>
      <c r="G422" s="555"/>
      <c r="H422" s="594"/>
    </row>
    <row r="423" spans="1:11" s="310" customFormat="1" ht="12.75" hidden="1" customHeight="1" x14ac:dyDescent="0.2">
      <c r="A423" s="551"/>
      <c r="B423" s="565"/>
      <c r="C423" s="566"/>
      <c r="D423" s="569" t="s">
        <v>493</v>
      </c>
      <c r="E423" s="555"/>
      <c r="F423" s="567"/>
      <c r="G423" s="555"/>
      <c r="H423" s="594"/>
    </row>
    <row r="424" spans="1:11" s="310" customFormat="1" ht="12.75" hidden="1" customHeight="1" x14ac:dyDescent="0.2">
      <c r="A424" s="551"/>
      <c r="B424" s="565"/>
      <c r="C424" s="566"/>
      <c r="D424" s="569" t="s">
        <v>494</v>
      </c>
      <c r="E424" s="555"/>
      <c r="F424" s="567"/>
      <c r="G424" s="555"/>
      <c r="H424" s="594"/>
      <c r="I424" s="579"/>
    </row>
    <row r="425" spans="1:11" s="310" customFormat="1" ht="12.75" hidden="1" customHeight="1" x14ac:dyDescent="0.2">
      <c r="A425" s="551"/>
      <c r="B425" s="565"/>
      <c r="C425" s="566"/>
      <c r="D425" s="569" t="s">
        <v>502</v>
      </c>
      <c r="E425" s="555"/>
      <c r="F425" s="567"/>
      <c r="G425" s="555"/>
      <c r="H425" s="594"/>
      <c r="I425" s="575"/>
    </row>
    <row r="426" spans="1:11" s="310" customFormat="1" ht="12.75" hidden="1" customHeight="1" x14ac:dyDescent="0.2">
      <c r="A426" s="551"/>
      <c r="B426" s="565"/>
      <c r="C426" s="566"/>
      <c r="D426" s="569" t="s">
        <v>571</v>
      </c>
      <c r="E426" s="555"/>
      <c r="F426" s="567">
        <v>0</v>
      </c>
      <c r="G426" s="555"/>
      <c r="H426" s="594"/>
      <c r="I426" s="579"/>
    </row>
    <row r="427" spans="1:11" s="310" customFormat="1" ht="12.75" customHeight="1" x14ac:dyDescent="0.2">
      <c r="A427" s="260">
        <f>1+A417</f>
        <v>46</v>
      </c>
      <c r="B427" s="284">
        <v>4091</v>
      </c>
      <c r="C427" s="287" t="s">
        <v>278</v>
      </c>
      <c r="D427" s="584" t="str">
        <f>$D$14</f>
        <v>FTE May 2026</v>
      </c>
      <c r="E427" s="562">
        <f>'4091'!$J$124</f>
        <v>301396.34000000003</v>
      </c>
      <c r="F427" s="585"/>
      <c r="G427" s="562">
        <f>SUBTOTAL(109,E427:F436)</f>
        <v>301057.16000000003</v>
      </c>
      <c r="H427" s="594"/>
      <c r="K427" s="589"/>
    </row>
    <row r="428" spans="1:11" s="310" customFormat="1" ht="12.75" hidden="1" customHeight="1" x14ac:dyDescent="0.2">
      <c r="A428" s="260"/>
      <c r="B428" s="284"/>
      <c r="C428" s="287"/>
      <c r="D428" s="253" t="s">
        <v>512</v>
      </c>
      <c r="E428" s="562"/>
      <c r="F428" s="585"/>
      <c r="G428" s="562"/>
      <c r="H428" s="594"/>
    </row>
    <row r="429" spans="1:11" s="310" customFormat="1" ht="12.75" hidden="1" customHeight="1" x14ac:dyDescent="0.2">
      <c r="A429" s="260"/>
      <c r="B429" s="582"/>
      <c r="C429" s="583"/>
      <c r="D429" s="587" t="s">
        <v>490</v>
      </c>
      <c r="E429" s="562"/>
      <c r="F429" s="585"/>
      <c r="G429" s="562"/>
      <c r="H429" s="594"/>
      <c r="I429" s="582"/>
    </row>
    <row r="430" spans="1:11" s="310" customFormat="1" ht="12.75" hidden="1" customHeight="1" x14ac:dyDescent="0.2">
      <c r="A430" s="260"/>
      <c r="B430" s="284"/>
      <c r="C430" s="287"/>
      <c r="D430" s="253" t="s">
        <v>491</v>
      </c>
      <c r="E430" s="562"/>
      <c r="F430" s="585"/>
      <c r="G430" s="562"/>
      <c r="H430" s="594"/>
      <c r="I430" s="582"/>
    </row>
    <row r="431" spans="1:11" s="310" customFormat="1" ht="12.75" hidden="1" customHeight="1" x14ac:dyDescent="0.2">
      <c r="A431" s="260"/>
      <c r="B431" s="284"/>
      <c r="C431" s="287"/>
      <c r="D431" s="253" t="s">
        <v>492</v>
      </c>
      <c r="E431" s="562"/>
      <c r="F431" s="585"/>
      <c r="G431" s="562"/>
      <c r="H431" s="594"/>
    </row>
    <row r="432" spans="1:11" s="310" customFormat="1" ht="12.75" hidden="1" customHeight="1" x14ac:dyDescent="0.2">
      <c r="A432" s="260"/>
      <c r="B432" s="284"/>
      <c r="C432" s="287"/>
      <c r="D432" s="253" t="s">
        <v>493</v>
      </c>
      <c r="E432" s="562"/>
      <c r="F432" s="585"/>
      <c r="G432" s="562"/>
      <c r="H432" s="594"/>
    </row>
    <row r="433" spans="1:12" s="310" customFormat="1" ht="12.75" hidden="1" customHeight="1" x14ac:dyDescent="0.2">
      <c r="A433" s="260"/>
      <c r="B433" s="582"/>
      <c r="C433" s="583"/>
      <c r="D433" s="253" t="s">
        <v>494</v>
      </c>
      <c r="E433" s="562"/>
      <c r="F433" s="585"/>
      <c r="G433" s="562"/>
      <c r="H433" s="594"/>
    </row>
    <row r="434" spans="1:12" s="310" customFormat="1" ht="12.75" hidden="1" customHeight="1" x14ac:dyDescent="0.2">
      <c r="A434" s="260"/>
      <c r="B434" s="582"/>
      <c r="C434" s="583"/>
      <c r="D434" s="253" t="s">
        <v>502</v>
      </c>
      <c r="E434" s="562"/>
      <c r="F434" s="585"/>
      <c r="G434" s="562"/>
      <c r="H434" s="594"/>
    </row>
    <row r="435" spans="1:12" s="310" customFormat="1" ht="12.75" customHeight="1" x14ac:dyDescent="0.2">
      <c r="A435" s="260"/>
      <c r="B435" s="582"/>
      <c r="C435" s="583"/>
      <c r="D435" s="591" t="s">
        <v>581</v>
      </c>
      <c r="E435" s="562"/>
      <c r="F435" s="585">
        <v>-339.18</v>
      </c>
      <c r="G435" s="562"/>
      <c r="H435" s="594"/>
    </row>
    <row r="436" spans="1:12" s="310" customFormat="1" ht="12.75" hidden="1" customHeight="1" x14ac:dyDescent="0.2">
      <c r="A436" s="260"/>
      <c r="B436" s="582"/>
      <c r="C436" s="583"/>
      <c r="D436" s="593" t="s">
        <v>511</v>
      </c>
      <c r="E436" s="562"/>
      <c r="F436" s="585"/>
      <c r="G436" s="562"/>
      <c r="H436" s="594"/>
    </row>
    <row r="437" spans="1:12" s="310" customFormat="1" ht="12.75" customHeight="1" x14ac:dyDescent="0.2">
      <c r="A437" s="551">
        <f>1+A427</f>
        <v>47</v>
      </c>
      <c r="B437" s="565">
        <v>4100</v>
      </c>
      <c r="C437" s="566" t="s">
        <v>297</v>
      </c>
      <c r="D437" s="595" t="str">
        <f>$D$14</f>
        <v>FTE May 2026</v>
      </c>
      <c r="E437" s="555">
        <f>'4100'!$J$124</f>
        <v>366027.42</v>
      </c>
      <c r="F437" s="567"/>
      <c r="G437" s="555">
        <f>SUBTOTAL(109,E437:F445)</f>
        <v>366027.42</v>
      </c>
      <c r="H437" s="594"/>
      <c r="L437" s="589"/>
    </row>
    <row r="438" spans="1:12" s="310" customFormat="1" ht="12.75" hidden="1" customHeight="1" x14ac:dyDescent="0.2">
      <c r="A438" s="551"/>
      <c r="B438" s="565"/>
      <c r="C438" s="566"/>
      <c r="D438" s="569" t="s">
        <v>489</v>
      </c>
      <c r="E438" s="555"/>
      <c r="F438" s="567"/>
      <c r="G438" s="555"/>
      <c r="H438" s="594"/>
    </row>
    <row r="439" spans="1:12" s="310" customFormat="1" ht="12.75" hidden="1" customHeight="1" x14ac:dyDescent="0.2">
      <c r="A439" s="551"/>
      <c r="B439" s="565"/>
      <c r="C439" s="566"/>
      <c r="D439" s="570" t="s">
        <v>490</v>
      </c>
      <c r="E439" s="555"/>
      <c r="F439" s="567"/>
      <c r="G439" s="555"/>
      <c r="H439" s="594"/>
      <c r="I439" s="582"/>
    </row>
    <row r="440" spans="1:12" s="310" customFormat="1" ht="12.75" hidden="1" customHeight="1" x14ac:dyDescent="0.2">
      <c r="A440" s="551"/>
      <c r="B440" s="565"/>
      <c r="C440" s="566"/>
      <c r="D440" s="569" t="s">
        <v>491</v>
      </c>
      <c r="E440" s="555"/>
      <c r="F440" s="567"/>
      <c r="G440" s="555"/>
      <c r="H440" s="594"/>
    </row>
    <row r="441" spans="1:12" s="310" customFormat="1" ht="12.75" hidden="1" customHeight="1" x14ac:dyDescent="0.2">
      <c r="A441" s="551"/>
      <c r="B441" s="565"/>
      <c r="C441" s="566"/>
      <c r="D441" s="569" t="s">
        <v>492</v>
      </c>
      <c r="E441" s="555"/>
      <c r="F441" s="567"/>
      <c r="G441" s="555"/>
      <c r="H441" s="594"/>
    </row>
    <row r="442" spans="1:12" s="310" customFormat="1" ht="12.75" hidden="1" customHeight="1" x14ac:dyDescent="0.2">
      <c r="A442" s="551"/>
      <c r="B442" s="565"/>
      <c r="C442" s="566"/>
      <c r="D442" s="569" t="s">
        <v>493</v>
      </c>
      <c r="E442" s="555"/>
      <c r="F442" s="567"/>
      <c r="G442" s="555"/>
      <c r="H442" s="594"/>
    </row>
    <row r="443" spans="1:12" s="310" customFormat="1" ht="12.75" hidden="1" customHeight="1" x14ac:dyDescent="0.2">
      <c r="A443" s="551"/>
      <c r="B443" s="565"/>
      <c r="C443" s="566"/>
      <c r="D443" s="569" t="s">
        <v>494</v>
      </c>
      <c r="E443" s="555"/>
      <c r="F443" s="567"/>
      <c r="G443" s="555"/>
      <c r="H443" s="594"/>
      <c r="I443" s="579"/>
    </row>
    <row r="444" spans="1:12" s="310" customFormat="1" ht="12.75" hidden="1" customHeight="1" x14ac:dyDescent="0.2">
      <c r="A444" s="551"/>
      <c r="B444" s="565"/>
      <c r="C444" s="566"/>
      <c r="D444" s="569" t="s">
        <v>502</v>
      </c>
      <c r="E444" s="555"/>
      <c r="F444" s="567"/>
      <c r="G444" s="555"/>
      <c r="H444" s="594"/>
      <c r="I444" s="575"/>
    </row>
    <row r="445" spans="1:12" s="310" customFormat="1" ht="12.75" hidden="1" customHeight="1" x14ac:dyDescent="0.2">
      <c r="A445" s="551"/>
      <c r="B445" s="565"/>
      <c r="C445" s="566"/>
      <c r="D445" s="569" t="s">
        <v>511</v>
      </c>
      <c r="E445" s="555"/>
      <c r="F445" s="567"/>
      <c r="G445" s="555"/>
      <c r="H445" s="594"/>
    </row>
    <row r="446" spans="1:12" s="310" customFormat="1" ht="12.75" customHeight="1" x14ac:dyDescent="0.2">
      <c r="A446" s="260">
        <f>1+A437</f>
        <v>48</v>
      </c>
      <c r="B446" s="284">
        <v>4102</v>
      </c>
      <c r="C446" s="287" t="s">
        <v>295</v>
      </c>
      <c r="D446" s="584" t="str">
        <f>$D$14</f>
        <v>FTE May 2026</v>
      </c>
      <c r="E446" s="562">
        <f>'4102'!$J$124</f>
        <v>126926.27</v>
      </c>
      <c r="F446" s="585"/>
      <c r="G446" s="562">
        <f>SUBTOTAL(109,E446:F453)</f>
        <v>126926.27</v>
      </c>
      <c r="H446" s="594"/>
    </row>
    <row r="447" spans="1:12" s="310" customFormat="1" ht="12.75" hidden="1" customHeight="1" x14ac:dyDescent="0.2">
      <c r="A447" s="260"/>
      <c r="B447" s="284"/>
      <c r="C447" s="287"/>
      <c r="D447" s="253" t="s">
        <v>512</v>
      </c>
      <c r="E447" s="562"/>
      <c r="F447" s="585">
        <v>0</v>
      </c>
      <c r="G447" s="562"/>
      <c r="H447" s="594"/>
    </row>
    <row r="448" spans="1:12" s="310" customFormat="1" ht="12.75" hidden="1" customHeight="1" x14ac:dyDescent="0.2">
      <c r="A448" s="260"/>
      <c r="B448" s="582"/>
      <c r="C448" s="583"/>
      <c r="D448" s="587"/>
      <c r="E448" s="604"/>
      <c r="F448" s="585"/>
      <c r="G448" s="562"/>
      <c r="H448" s="594"/>
    </row>
    <row r="449" spans="1:9" s="310" customFormat="1" ht="12.75" hidden="1" customHeight="1" x14ac:dyDescent="0.2">
      <c r="A449" s="260"/>
      <c r="B449" s="284"/>
      <c r="C449" s="287"/>
      <c r="D449" s="587" t="s">
        <v>519</v>
      </c>
      <c r="E449" s="562"/>
      <c r="F449" s="585"/>
      <c r="G449" s="562"/>
      <c r="H449" s="594"/>
      <c r="I449" s="582"/>
    </row>
    <row r="450" spans="1:9" s="310" customFormat="1" ht="12.75" hidden="1" customHeight="1" x14ac:dyDescent="0.2">
      <c r="A450" s="260"/>
      <c r="B450" s="284"/>
      <c r="C450" s="287"/>
      <c r="D450" s="253" t="s">
        <v>492</v>
      </c>
      <c r="E450" s="562"/>
      <c r="F450" s="585"/>
      <c r="G450" s="562"/>
      <c r="H450" s="594"/>
    </row>
    <row r="451" spans="1:9" s="310" customFormat="1" ht="12.75" hidden="1" customHeight="1" x14ac:dyDescent="0.2">
      <c r="A451" s="260"/>
      <c r="B451" s="284"/>
      <c r="C451" s="287"/>
      <c r="D451" s="253" t="s">
        <v>493</v>
      </c>
      <c r="E451" s="562"/>
      <c r="F451" s="585"/>
      <c r="G451" s="562"/>
      <c r="H451" s="594"/>
    </row>
    <row r="452" spans="1:9" s="310" customFormat="1" ht="12.75" hidden="1" customHeight="1" x14ac:dyDescent="0.2">
      <c r="A452" s="260"/>
      <c r="B452" s="582"/>
      <c r="C452" s="583"/>
      <c r="D452" s="253" t="s">
        <v>494</v>
      </c>
      <c r="E452" s="562"/>
      <c r="F452" s="585"/>
      <c r="G452" s="562"/>
      <c r="H452" s="594"/>
    </row>
    <row r="453" spans="1:9" s="310" customFormat="1" ht="12.75" hidden="1" customHeight="1" x14ac:dyDescent="0.2">
      <c r="A453" s="260"/>
      <c r="B453" s="582"/>
      <c r="C453" s="583"/>
      <c r="D453" s="591"/>
      <c r="E453" s="562"/>
      <c r="F453" s="585"/>
      <c r="G453" s="562"/>
      <c r="H453" s="594"/>
    </row>
    <row r="454" spans="1:9" s="310" customFormat="1" ht="12" customHeight="1" x14ac:dyDescent="0.2">
      <c r="A454" s="551">
        <f>A446+1</f>
        <v>49</v>
      </c>
      <c r="B454" s="565">
        <v>4103</v>
      </c>
      <c r="C454" s="566" t="s">
        <v>534</v>
      </c>
      <c r="D454" s="595" t="str">
        <f>$D$14</f>
        <v>FTE May 2026</v>
      </c>
      <c r="E454" s="555">
        <f>'4103'!$J$124</f>
        <v>678379.32</v>
      </c>
      <c r="F454" s="567"/>
      <c r="G454" s="555">
        <f>SUBTOTAL(109,E454:F463)</f>
        <v>678379.32</v>
      </c>
      <c r="H454" s="594"/>
    </row>
    <row r="455" spans="1:9" s="310" customFormat="1" ht="12.75" hidden="1" customHeight="1" x14ac:dyDescent="0.2">
      <c r="A455" s="551"/>
      <c r="B455" s="565"/>
      <c r="C455" s="566"/>
      <c r="D455" s="569" t="s">
        <v>489</v>
      </c>
      <c r="E455" s="555"/>
      <c r="F455" s="567"/>
      <c r="G455" s="555"/>
      <c r="H455" s="594"/>
    </row>
    <row r="456" spans="1:9" s="310" customFormat="1" ht="12.75" hidden="1" customHeight="1" x14ac:dyDescent="0.2">
      <c r="A456" s="551"/>
      <c r="B456" s="565"/>
      <c r="C456" s="566"/>
      <c r="D456" s="570" t="s">
        <v>490</v>
      </c>
      <c r="E456" s="555"/>
      <c r="F456" s="567"/>
      <c r="G456" s="555"/>
      <c r="H456" s="594"/>
    </row>
    <row r="457" spans="1:9" s="310" customFormat="1" ht="12.75" hidden="1" customHeight="1" x14ac:dyDescent="0.2">
      <c r="A457" s="551"/>
      <c r="B457" s="565"/>
      <c r="C457" s="566"/>
      <c r="D457" s="570" t="s">
        <v>509</v>
      </c>
      <c r="E457" s="555"/>
      <c r="F457" s="567"/>
      <c r="G457" s="555"/>
      <c r="H457" s="594"/>
    </row>
    <row r="458" spans="1:9" s="310" customFormat="1" ht="12.75" hidden="1" customHeight="1" x14ac:dyDescent="0.2">
      <c r="A458" s="551"/>
      <c r="B458" s="565"/>
      <c r="C458" s="566"/>
      <c r="D458" s="569" t="s">
        <v>491</v>
      </c>
      <c r="E458" s="555"/>
      <c r="F458" s="567"/>
      <c r="G458" s="555"/>
      <c r="H458" s="594"/>
      <c r="I458" s="582"/>
    </row>
    <row r="459" spans="1:9" s="310" customFormat="1" ht="12.75" hidden="1" customHeight="1" x14ac:dyDescent="0.2">
      <c r="A459" s="551"/>
      <c r="B459" s="565"/>
      <c r="C459" s="566"/>
      <c r="D459" s="569" t="s">
        <v>492</v>
      </c>
      <c r="E459" s="555"/>
      <c r="F459" s="567"/>
      <c r="G459" s="555"/>
      <c r="H459" s="594"/>
    </row>
    <row r="460" spans="1:9" s="310" customFormat="1" ht="12.75" hidden="1" customHeight="1" x14ac:dyDescent="0.2">
      <c r="A460" s="551"/>
      <c r="B460" s="565"/>
      <c r="C460" s="566"/>
      <c r="D460" s="569" t="s">
        <v>493</v>
      </c>
      <c r="E460" s="555"/>
      <c r="F460" s="567"/>
      <c r="G460" s="555"/>
      <c r="H460" s="594"/>
    </row>
    <row r="461" spans="1:9" s="310" customFormat="1" ht="12.75" hidden="1" customHeight="1" x14ac:dyDescent="0.2">
      <c r="A461" s="551"/>
      <c r="B461" s="565"/>
      <c r="C461" s="566"/>
      <c r="D461" s="569" t="s">
        <v>494</v>
      </c>
      <c r="E461" s="555"/>
      <c r="F461" s="567"/>
      <c r="G461" s="555"/>
      <c r="H461" s="594"/>
      <c r="I461" s="251"/>
    </row>
    <row r="462" spans="1:9" s="310" customFormat="1" ht="12.75" hidden="1" customHeight="1" x14ac:dyDescent="0.2">
      <c r="A462" s="551"/>
      <c r="B462" s="565"/>
      <c r="C462" s="566"/>
      <c r="D462" s="569" t="s">
        <v>502</v>
      </c>
      <c r="E462" s="555"/>
      <c r="F462" s="567"/>
      <c r="G462" s="555"/>
      <c r="H462" s="594"/>
      <c r="I462" s="579"/>
    </row>
    <row r="463" spans="1:9" s="310" customFormat="1" ht="12.75" hidden="1" customHeight="1" x14ac:dyDescent="0.2">
      <c r="A463" s="551"/>
      <c r="B463" s="565"/>
      <c r="C463" s="566"/>
      <c r="D463" s="569" t="s">
        <v>511</v>
      </c>
      <c r="E463" s="555"/>
      <c r="F463" s="567"/>
      <c r="G463" s="555"/>
      <c r="H463" s="594"/>
      <c r="I463" s="579"/>
    </row>
    <row r="464" spans="1:9" s="310" customFormat="1" ht="12.75" customHeight="1" x14ac:dyDescent="0.2">
      <c r="A464" s="260">
        <f>1+A454</f>
        <v>50</v>
      </c>
      <c r="B464" s="284">
        <v>4111</v>
      </c>
      <c r="C464" s="287" t="s">
        <v>282</v>
      </c>
      <c r="D464" s="584" t="str">
        <f>$D$14</f>
        <v>FTE May 2026</v>
      </c>
      <c r="E464" s="562">
        <f>'4111'!$J$124</f>
        <v>235036.64</v>
      </c>
      <c r="F464" s="585"/>
      <c r="G464" s="562">
        <f>SUBTOTAL(109,E464:F472)</f>
        <v>235036.64</v>
      </c>
      <c r="H464" s="594"/>
    </row>
    <row r="465" spans="1:9" s="310" customFormat="1" ht="12.75" hidden="1" customHeight="1" x14ac:dyDescent="0.2">
      <c r="A465" s="260"/>
      <c r="B465" s="284"/>
      <c r="C465" s="287"/>
      <c r="D465" s="253" t="s">
        <v>512</v>
      </c>
      <c r="E465" s="562"/>
      <c r="F465" s="585"/>
      <c r="G465" s="562"/>
      <c r="H465" s="594"/>
    </row>
    <row r="466" spans="1:9" s="310" customFormat="1" ht="12.75" hidden="1" customHeight="1" x14ac:dyDescent="0.2">
      <c r="A466" s="260"/>
      <c r="B466" s="582"/>
      <c r="C466" s="583"/>
      <c r="D466" s="587" t="s">
        <v>490</v>
      </c>
      <c r="E466" s="562"/>
      <c r="F466" s="585"/>
      <c r="G466" s="562"/>
      <c r="H466" s="594"/>
      <c r="I466" s="582"/>
    </row>
    <row r="467" spans="1:9" s="310" customFormat="1" ht="12.75" hidden="1" customHeight="1" x14ac:dyDescent="0.2">
      <c r="A467" s="260"/>
      <c r="B467" s="284"/>
      <c r="C467" s="287"/>
      <c r="D467" s="253" t="s">
        <v>491</v>
      </c>
      <c r="E467" s="562"/>
      <c r="F467" s="585"/>
      <c r="G467" s="562"/>
      <c r="H467" s="594"/>
      <c r="I467" s="582"/>
    </row>
    <row r="468" spans="1:9" s="310" customFormat="1" ht="12.75" hidden="1" customHeight="1" x14ac:dyDescent="0.2">
      <c r="A468" s="260"/>
      <c r="B468" s="284"/>
      <c r="C468" s="287"/>
      <c r="D468" s="253" t="s">
        <v>492</v>
      </c>
      <c r="E468" s="562"/>
      <c r="F468" s="585"/>
      <c r="G468" s="562"/>
      <c r="H468" s="594"/>
    </row>
    <row r="469" spans="1:9" s="310" customFormat="1" ht="12.75" hidden="1" customHeight="1" x14ac:dyDescent="0.2">
      <c r="A469" s="260"/>
      <c r="B469" s="284"/>
      <c r="C469" s="287"/>
      <c r="D469" s="253" t="s">
        <v>493</v>
      </c>
      <c r="E469" s="562"/>
      <c r="F469" s="585"/>
      <c r="G469" s="562"/>
      <c r="H469" s="594"/>
    </row>
    <row r="470" spans="1:9" s="310" customFormat="1" ht="12.75" hidden="1" customHeight="1" x14ac:dyDescent="0.2">
      <c r="A470" s="260"/>
      <c r="B470" s="582"/>
      <c r="C470" s="583"/>
      <c r="D470" s="253" t="s">
        <v>494</v>
      </c>
      <c r="E470" s="562"/>
      <c r="F470" s="585"/>
      <c r="G470" s="562"/>
      <c r="H470" s="594"/>
    </row>
    <row r="471" spans="1:9" s="310" customFormat="1" hidden="1" x14ac:dyDescent="0.2">
      <c r="A471" s="260"/>
      <c r="B471" s="582"/>
      <c r="C471" s="583"/>
      <c r="D471" s="253" t="s">
        <v>502</v>
      </c>
      <c r="E471" s="562"/>
      <c r="F471" s="585"/>
      <c r="G471" s="562"/>
      <c r="H471" s="594"/>
    </row>
    <row r="472" spans="1:9" s="310" customFormat="1" hidden="1" x14ac:dyDescent="0.2">
      <c r="A472" s="260"/>
      <c r="B472" s="582"/>
      <c r="C472" s="583"/>
      <c r="D472" s="591" t="s">
        <v>511</v>
      </c>
      <c r="E472" s="562"/>
      <c r="F472" s="585"/>
      <c r="G472" s="562"/>
      <c r="H472" s="594"/>
    </row>
    <row r="473" spans="1:9" s="310" customFormat="1" ht="12.75" customHeight="1" x14ac:dyDescent="0.2">
      <c r="A473" s="551">
        <f>1+A464</f>
        <v>51</v>
      </c>
      <c r="B473" s="605">
        <v>4131</v>
      </c>
      <c r="C473" s="606" t="s">
        <v>283</v>
      </c>
      <c r="D473" s="595" t="str">
        <f>$D$14</f>
        <v>FTE May 2026</v>
      </c>
      <c r="E473" s="555">
        <f>'4131'!$J$124</f>
        <v>88466.91</v>
      </c>
      <c r="F473" s="567"/>
      <c r="G473" s="555">
        <f>SUBTOTAL(109,E473:F481)</f>
        <v>88466.91</v>
      </c>
      <c r="H473" s="594"/>
    </row>
    <row r="474" spans="1:9" s="310" customFormat="1" ht="12.75" hidden="1" customHeight="1" x14ac:dyDescent="0.2">
      <c r="A474" s="551"/>
      <c r="B474" s="605"/>
      <c r="C474" s="606"/>
      <c r="D474" s="569" t="s">
        <v>489</v>
      </c>
      <c r="E474" s="555"/>
      <c r="F474" s="567"/>
      <c r="G474" s="555"/>
      <c r="H474" s="594"/>
    </row>
    <row r="475" spans="1:9" s="310" customFormat="1" ht="12.75" hidden="1" customHeight="1" x14ac:dyDescent="0.2">
      <c r="A475" s="551"/>
      <c r="B475" s="565"/>
      <c r="C475" s="566"/>
      <c r="D475" s="570" t="s">
        <v>533</v>
      </c>
      <c r="E475" s="555"/>
      <c r="F475" s="567"/>
      <c r="G475" s="555"/>
      <c r="H475" s="594"/>
    </row>
    <row r="476" spans="1:9" s="310" customFormat="1" ht="12.75" hidden="1" customHeight="1" x14ac:dyDescent="0.2">
      <c r="A476" s="551"/>
      <c r="B476" s="605"/>
      <c r="C476" s="606"/>
      <c r="D476" s="569" t="s">
        <v>491</v>
      </c>
      <c r="E476" s="555"/>
      <c r="F476" s="567"/>
      <c r="G476" s="555"/>
      <c r="H476" s="594"/>
      <c r="I476" s="582"/>
    </row>
    <row r="477" spans="1:9" s="310" customFormat="1" ht="12.75" hidden="1" customHeight="1" x14ac:dyDescent="0.2">
      <c r="A477" s="551"/>
      <c r="B477" s="605"/>
      <c r="C477" s="606"/>
      <c r="D477" s="569" t="s">
        <v>492</v>
      </c>
      <c r="E477" s="555"/>
      <c r="F477" s="567"/>
      <c r="G477" s="555"/>
      <c r="H477" s="594"/>
    </row>
    <row r="478" spans="1:9" s="310" customFormat="1" ht="12.75" hidden="1" customHeight="1" x14ac:dyDescent="0.2">
      <c r="A478" s="551"/>
      <c r="B478" s="605"/>
      <c r="C478" s="606"/>
      <c r="D478" s="569" t="s">
        <v>493</v>
      </c>
      <c r="E478" s="555"/>
      <c r="F478" s="567"/>
      <c r="G478" s="555"/>
      <c r="H478" s="594"/>
    </row>
    <row r="479" spans="1:9" s="310" customFormat="1" ht="12.75" hidden="1" customHeight="1" x14ac:dyDescent="0.2">
      <c r="A479" s="551"/>
      <c r="B479" s="565"/>
      <c r="C479" s="566"/>
      <c r="D479" s="569" t="s">
        <v>494</v>
      </c>
      <c r="E479" s="555"/>
      <c r="F479" s="567"/>
      <c r="G479" s="555"/>
      <c r="H479" s="594"/>
      <c r="I479" s="251"/>
    </row>
    <row r="480" spans="1:9" s="310" customFormat="1" ht="12.75" hidden="1" customHeight="1" x14ac:dyDescent="0.2">
      <c r="A480" s="551"/>
      <c r="B480" s="565"/>
      <c r="C480" s="566"/>
      <c r="D480" s="569" t="s">
        <v>502</v>
      </c>
      <c r="E480" s="555"/>
      <c r="F480" s="567"/>
      <c r="G480" s="555"/>
      <c r="H480" s="594"/>
      <c r="I480" s="579"/>
    </row>
    <row r="481" spans="1:9" s="310" customFormat="1" ht="12.75" hidden="1" customHeight="1" x14ac:dyDescent="0.2">
      <c r="A481" s="551"/>
      <c r="B481" s="565"/>
      <c r="C481" s="566"/>
      <c r="D481" s="598" t="s">
        <v>511</v>
      </c>
      <c r="E481" s="555"/>
      <c r="F481" s="567"/>
      <c r="G481" s="555"/>
      <c r="H481" s="594"/>
      <c r="I481" s="575"/>
    </row>
    <row r="482" spans="1:9" s="310" customFormat="1" ht="12.75" customHeight="1" x14ac:dyDescent="0.2">
      <c r="A482" s="252"/>
      <c r="B482" s="251"/>
      <c r="C482" s="251"/>
      <c r="D482" s="607"/>
      <c r="E482" s="251"/>
      <c r="F482" s="608"/>
      <c r="G482" s="251"/>
      <c r="H482" s="594"/>
      <c r="I482" s="579"/>
    </row>
    <row r="483" spans="1:9" s="310" customFormat="1" ht="12.75" customHeight="1" thickBot="1" x14ac:dyDescent="0.25">
      <c r="A483" s="251"/>
      <c r="B483" s="546"/>
      <c r="C483" s="542"/>
      <c r="D483" s="607" t="s">
        <v>535</v>
      </c>
      <c r="E483" s="609">
        <f>SUBTOTAL(109,E5:E482)</f>
        <v>17456522.309999995</v>
      </c>
      <c r="F483" s="609">
        <f>SUBTOTAL(109,F5:F482)</f>
        <v>-128724.77999999998</v>
      </c>
      <c r="G483" s="609">
        <f>ROUND(SUM(G5:G482),2)</f>
        <v>17327797.530000001</v>
      </c>
      <c r="H483" s="594"/>
    </row>
    <row r="484" spans="1:9" s="310" customFormat="1" ht="12.75" customHeight="1" thickTop="1" x14ac:dyDescent="0.2">
      <c r="A484" s="251"/>
      <c r="B484" s="546"/>
      <c r="C484" s="542"/>
      <c r="D484" s="251"/>
      <c r="E484" s="251"/>
      <c r="F484" s="539"/>
      <c r="G484" s="275">
        <f>ROUND(G483-E483-F483,2)</f>
        <v>0</v>
      </c>
      <c r="H484" s="594"/>
    </row>
    <row r="485" spans="1:9" s="310" customFormat="1" ht="12.75" customHeight="1" x14ac:dyDescent="0.2">
      <c r="A485" s="251"/>
      <c r="B485" s="546"/>
      <c r="C485" s="542"/>
      <c r="D485" s="251"/>
      <c r="E485" s="251"/>
      <c r="F485" s="539"/>
      <c r="G485" s="251"/>
      <c r="H485" s="594"/>
      <c r="I485" s="582"/>
    </row>
    <row r="486" spans="1:9" s="310" customFormat="1" ht="12.75" customHeight="1" x14ac:dyDescent="0.2">
      <c r="A486" s="251"/>
      <c r="B486" s="546"/>
      <c r="C486" s="542"/>
      <c r="D486" s="251"/>
      <c r="E486" s="251"/>
      <c r="F486" s="539"/>
      <c r="G486" s="251"/>
      <c r="H486" s="594"/>
    </row>
    <row r="487" spans="1:9" s="310" customFormat="1" ht="12.75" customHeight="1" x14ac:dyDescent="0.2">
      <c r="A487" s="251"/>
      <c r="B487" s="546"/>
      <c r="C487" s="542"/>
      <c r="D487" s="251"/>
      <c r="E487" s="251"/>
      <c r="F487" s="539"/>
      <c r="G487" s="251"/>
      <c r="H487" s="594"/>
    </row>
    <row r="488" spans="1:9" s="310" customFormat="1" ht="12.75" customHeight="1" x14ac:dyDescent="0.2">
      <c r="A488" s="251"/>
      <c r="B488" s="546"/>
      <c r="C488" s="542"/>
      <c r="D488" s="251"/>
      <c r="E488" s="251"/>
      <c r="F488" s="539"/>
      <c r="G488" s="251"/>
      <c r="H488" s="594"/>
      <c r="I488" s="251"/>
    </row>
    <row r="489" spans="1:9" s="310" customFormat="1" ht="12.75" customHeight="1" x14ac:dyDescent="0.2">
      <c r="A489" s="251"/>
      <c r="B489" s="546"/>
      <c r="C489" s="542"/>
      <c r="D489" s="251"/>
      <c r="E489" s="251"/>
      <c r="F489" s="539"/>
      <c r="G489" s="251"/>
      <c r="H489" s="594"/>
      <c r="I489" s="579"/>
    </row>
    <row r="490" spans="1:9" s="310" customFormat="1" ht="12.75" customHeight="1" x14ac:dyDescent="0.2">
      <c r="A490" s="610"/>
      <c r="B490" s="546"/>
      <c r="C490" s="317"/>
      <c r="D490" s="610" t="s">
        <v>536</v>
      </c>
      <c r="E490" s="275">
        <f>Consolidated!I159</f>
        <v>17456522.309999995</v>
      </c>
      <c r="F490" s="539"/>
      <c r="G490" s="275">
        <f>E490+F490</f>
        <v>17456522.309999995</v>
      </c>
      <c r="H490" s="594"/>
      <c r="I490" s="575"/>
    </row>
    <row r="491" spans="1:9" s="310" customFormat="1" ht="12.75" customHeight="1" x14ac:dyDescent="0.2">
      <c r="A491" s="251"/>
      <c r="B491" s="251"/>
      <c r="C491" s="251"/>
      <c r="D491" s="611" t="s">
        <v>489</v>
      </c>
      <c r="E491" s="251"/>
      <c r="F491" s="568">
        <f>F474+F465+F455+F438+F428+F418+F409+F402+F393+F384+F377+F366+F356+F346+F337+F328+F320+F310+F301+F285+F293+F275+F265+F256+F246+F235+F227+F216+F208+F201+F193+F185+F175+F157+F148+F140++F123+F112+F102+F94+F83+F82+F75+F57+F15+F6+F11+F138</f>
        <v>0</v>
      </c>
      <c r="G491" s="275">
        <f t="shared" ref="G491:G512" si="0">E491+F491</f>
        <v>0</v>
      </c>
      <c r="H491" s="594"/>
      <c r="I491" s="612"/>
    </row>
    <row r="492" spans="1:9" ht="12.75" hidden="1" customHeight="1" x14ac:dyDescent="0.2">
      <c r="D492" s="587" t="s">
        <v>490</v>
      </c>
      <c r="F492" s="568">
        <f t="shared" ref="F492:F510" si="1">SUM(SUMIF(D$14:D$482,D492,F$14:F$482))</f>
        <v>0</v>
      </c>
      <c r="G492" s="275">
        <f t="shared" si="0"/>
        <v>0</v>
      </c>
      <c r="H492" s="599"/>
    </row>
    <row r="493" spans="1:9" ht="12.75" hidden="1" customHeight="1" x14ac:dyDescent="0.2">
      <c r="D493" s="611" t="s">
        <v>513</v>
      </c>
      <c r="F493" s="568">
        <f t="shared" si="1"/>
        <v>0</v>
      </c>
      <c r="G493" s="275">
        <f t="shared" si="0"/>
        <v>0</v>
      </c>
    </row>
    <row r="494" spans="1:9" ht="12.75" hidden="1" customHeight="1" x14ac:dyDescent="0.2">
      <c r="D494" s="611" t="s">
        <v>523</v>
      </c>
      <c r="F494" s="568">
        <f t="shared" si="1"/>
        <v>0</v>
      </c>
      <c r="G494" s="275">
        <f t="shared" si="0"/>
        <v>0</v>
      </c>
    </row>
    <row r="495" spans="1:9" ht="12.75" hidden="1" customHeight="1" x14ac:dyDescent="0.2">
      <c r="D495" s="613" t="s">
        <v>509</v>
      </c>
      <c r="F495" s="568">
        <f t="shared" si="1"/>
        <v>0</v>
      </c>
      <c r="G495" s="275">
        <f t="shared" si="0"/>
        <v>0</v>
      </c>
    </row>
    <row r="496" spans="1:9" ht="12.75" hidden="1" customHeight="1" x14ac:dyDescent="0.2">
      <c r="D496" s="611" t="s">
        <v>491</v>
      </c>
      <c r="F496" s="568">
        <f t="shared" si="1"/>
        <v>0</v>
      </c>
      <c r="G496" s="275">
        <f t="shared" si="0"/>
        <v>0</v>
      </c>
    </row>
    <row r="497" spans="1:10" ht="12.75" hidden="1" customHeight="1" x14ac:dyDescent="0.2">
      <c r="D497" s="611" t="s">
        <v>515</v>
      </c>
      <c r="F497" s="568">
        <f t="shared" si="1"/>
        <v>0</v>
      </c>
      <c r="G497" s="275">
        <f t="shared" si="0"/>
        <v>0</v>
      </c>
    </row>
    <row r="498" spans="1:10" ht="12.75" hidden="1" customHeight="1" x14ac:dyDescent="0.2">
      <c r="D498" s="251" t="s">
        <v>493</v>
      </c>
      <c r="F498" s="568">
        <f t="shared" si="1"/>
        <v>0</v>
      </c>
      <c r="G498" s="275">
        <f t="shared" si="0"/>
        <v>0</v>
      </c>
    </row>
    <row r="499" spans="1:10" ht="12.75" hidden="1" customHeight="1" x14ac:dyDescent="0.2">
      <c r="A499" s="260"/>
      <c r="B499" s="582"/>
      <c r="C499" s="583"/>
      <c r="D499" s="611" t="s">
        <v>494</v>
      </c>
      <c r="E499" s="562"/>
      <c r="F499" s="568">
        <f t="shared" si="1"/>
        <v>0</v>
      </c>
      <c r="G499" s="275">
        <f t="shared" si="0"/>
        <v>0</v>
      </c>
    </row>
    <row r="500" spans="1:10" ht="12.75" hidden="1" customHeight="1" x14ac:dyDescent="0.2">
      <c r="D500" s="614" t="s">
        <v>537</v>
      </c>
      <c r="F500" s="568">
        <f t="shared" si="1"/>
        <v>0</v>
      </c>
      <c r="G500" s="275">
        <f t="shared" si="0"/>
        <v>0</v>
      </c>
      <c r="J500" s="275"/>
    </row>
    <row r="501" spans="1:10" ht="12.75" customHeight="1" x14ac:dyDescent="0.2">
      <c r="D501" s="614" t="s">
        <v>495</v>
      </c>
      <c r="F501" s="568">
        <f t="shared" si="1"/>
        <v>-97617.78</v>
      </c>
      <c r="G501" s="275">
        <f t="shared" si="0"/>
        <v>-97617.78</v>
      </c>
      <c r="J501" s="275"/>
    </row>
    <row r="502" spans="1:10" ht="12.75" customHeight="1" x14ac:dyDescent="0.2">
      <c r="D502" s="251" t="s">
        <v>496</v>
      </c>
      <c r="F502" s="568">
        <f t="shared" si="1"/>
        <v>-28444.44</v>
      </c>
      <c r="G502" s="275">
        <f t="shared" si="0"/>
        <v>-28444.44</v>
      </c>
      <c r="J502" s="275"/>
    </row>
    <row r="503" spans="1:10" ht="12.75" customHeight="1" x14ac:dyDescent="0.2">
      <c r="D503" s="251" t="s">
        <v>497</v>
      </c>
      <c r="F503" s="568">
        <f t="shared" si="1"/>
        <v>-546.79999999999995</v>
      </c>
      <c r="G503" s="275">
        <f t="shared" si="0"/>
        <v>-546.79999999999995</v>
      </c>
      <c r="J503" s="275"/>
    </row>
    <row r="504" spans="1:10" ht="12.75" customHeight="1" x14ac:dyDescent="0.2">
      <c r="D504" s="317" t="s">
        <v>498</v>
      </c>
      <c r="F504" s="568">
        <f t="shared" si="1"/>
        <v>-188.96</v>
      </c>
      <c r="G504" s="275">
        <f t="shared" si="0"/>
        <v>-188.96</v>
      </c>
    </row>
    <row r="505" spans="1:10" ht="12.75" customHeight="1" x14ac:dyDescent="0.2">
      <c r="D505" s="251" t="s">
        <v>499</v>
      </c>
      <c r="F505" s="568">
        <f t="shared" si="1"/>
        <v>-180</v>
      </c>
      <c r="G505" s="275">
        <f>E505+F505</f>
        <v>-180</v>
      </c>
      <c r="J505" s="275"/>
    </row>
    <row r="506" spans="1:10" ht="12.75" customHeight="1" x14ac:dyDescent="0.2">
      <c r="D506" s="317" t="s">
        <v>519</v>
      </c>
      <c r="F506" s="568">
        <f t="shared" si="1"/>
        <v>0</v>
      </c>
      <c r="G506" s="275">
        <f>E506+F506</f>
        <v>0</v>
      </c>
      <c r="J506" s="275"/>
    </row>
    <row r="507" spans="1:10" ht="12.75" hidden="1" customHeight="1" x14ac:dyDescent="0.2">
      <c r="A507" s="260"/>
      <c r="B507" s="582"/>
      <c r="C507" s="583"/>
      <c r="D507" s="611" t="s">
        <v>516</v>
      </c>
      <c r="E507" s="562"/>
      <c r="F507" s="568">
        <f t="shared" si="1"/>
        <v>0</v>
      </c>
      <c r="G507" s="275">
        <f t="shared" si="0"/>
        <v>0</v>
      </c>
    </row>
    <row r="508" spans="1:10" ht="12.75" hidden="1" customHeight="1" x14ac:dyDescent="0.2">
      <c r="D508" s="317" t="s">
        <v>520</v>
      </c>
      <c r="F508" s="568">
        <f t="shared" si="1"/>
        <v>0</v>
      </c>
      <c r="G508" s="275">
        <f t="shared" si="0"/>
        <v>0</v>
      </c>
    </row>
    <row r="509" spans="1:10" ht="12.75" hidden="1" customHeight="1" x14ac:dyDescent="0.2">
      <c r="D509" s="317" t="s">
        <v>501</v>
      </c>
      <c r="F509" s="568">
        <f t="shared" si="1"/>
        <v>0</v>
      </c>
      <c r="G509" s="275">
        <f t="shared" si="0"/>
        <v>0</v>
      </c>
    </row>
    <row r="510" spans="1:10" s="310" customFormat="1" ht="12.75" hidden="1" customHeight="1" x14ac:dyDescent="0.2">
      <c r="A510" s="251"/>
      <c r="B510" s="251"/>
      <c r="C510" s="251"/>
      <c r="D510" s="317" t="s">
        <v>502</v>
      </c>
      <c r="E510" s="251"/>
      <c r="F510" s="568">
        <f t="shared" si="1"/>
        <v>0</v>
      </c>
      <c r="G510" s="275">
        <f t="shared" si="0"/>
        <v>0</v>
      </c>
      <c r="H510" s="594"/>
      <c r="I510" s="579"/>
    </row>
    <row r="511" spans="1:10" ht="12.75" customHeight="1" x14ac:dyDescent="0.2">
      <c r="D511" s="611" t="s">
        <v>538</v>
      </c>
      <c r="F511" s="615">
        <f>SUM(SUMIF(D$14:D$482,"*WPB*",F$14:F$482))</f>
        <v>-1746.8</v>
      </c>
      <c r="G511" s="275">
        <f t="shared" si="0"/>
        <v>-1746.8</v>
      </c>
    </row>
    <row r="512" spans="1:10" ht="12.75" hidden="1" customHeight="1" x14ac:dyDescent="0.2">
      <c r="D512" s="611" t="s">
        <v>510</v>
      </c>
      <c r="F512" s="615">
        <f>SUM(SUMIF(D$14:D$482,"*FEFP ADJ*",F$14:F$482))</f>
        <v>0</v>
      </c>
      <c r="G512" s="275">
        <f t="shared" si="0"/>
        <v>0</v>
      </c>
    </row>
    <row r="513" spans="1:9" ht="12.75" customHeight="1" x14ac:dyDescent="0.2">
      <c r="D513" s="611"/>
      <c r="F513" s="615"/>
      <c r="G513" s="275"/>
    </row>
    <row r="514" spans="1:9" ht="12.75" customHeight="1" thickBot="1" x14ac:dyDescent="0.25">
      <c r="D514" s="616" t="s">
        <v>539</v>
      </c>
      <c r="E514" s="609">
        <f>SUM(E490:E512)</f>
        <v>17456522.309999995</v>
      </c>
      <c r="F514" s="609">
        <f>SUM(F490:F512)</f>
        <v>-128724.78000000001</v>
      </c>
      <c r="G514" s="609">
        <f>SUM(G490:G513)</f>
        <v>17327797.52999999</v>
      </c>
    </row>
    <row r="515" spans="1:9" ht="12.75" customHeight="1" thickTop="1" x14ac:dyDescent="0.2">
      <c r="D515" s="616"/>
      <c r="E515" s="275"/>
      <c r="F515" s="275"/>
      <c r="G515" s="275"/>
    </row>
    <row r="516" spans="1:9" ht="12.75" customHeight="1" x14ac:dyDescent="0.2">
      <c r="D516" s="616"/>
      <c r="E516" s="275"/>
      <c r="F516" s="275">
        <f>F514-F483</f>
        <v>0</v>
      </c>
      <c r="G516" s="275">
        <f>G483-G514</f>
        <v>0</v>
      </c>
    </row>
    <row r="517" spans="1:9" ht="12" customHeight="1" x14ac:dyDescent="0.2">
      <c r="D517" s="616"/>
      <c r="E517" s="275"/>
      <c r="F517" s="275"/>
      <c r="G517" s="275"/>
    </row>
    <row r="518" spans="1:9" ht="12.75" customHeight="1" thickBot="1" x14ac:dyDescent="0.25">
      <c r="E518" s="275"/>
      <c r="F518" s="275"/>
      <c r="G518" s="275"/>
    </row>
    <row r="519" spans="1:9" ht="12.75" customHeight="1" thickBot="1" x14ac:dyDescent="0.25">
      <c r="C519" s="730" t="s">
        <v>487</v>
      </c>
      <c r="D519" s="731"/>
      <c r="E519" s="731"/>
      <c r="F519" s="731"/>
      <c r="G519" s="732"/>
    </row>
    <row r="520" spans="1:9" s="310" customFormat="1" ht="12.75" customHeight="1" x14ac:dyDescent="0.2">
      <c r="A520" s="251"/>
      <c r="B520" s="251"/>
      <c r="C520" s="671"/>
      <c r="D520" s="672"/>
      <c r="E520" s="672"/>
      <c r="F520" s="672"/>
      <c r="G520" s="617"/>
      <c r="H520" s="594"/>
      <c r="I520" s="251"/>
    </row>
    <row r="521" spans="1:9" ht="12.75" customHeight="1" x14ac:dyDescent="0.2">
      <c r="C521" s="618" t="s">
        <v>588</v>
      </c>
      <c r="D521" s="673"/>
      <c r="E521" s="673"/>
      <c r="F521" s="674"/>
      <c r="G521" s="619"/>
    </row>
    <row r="522" spans="1:9" ht="12.75" customHeight="1" x14ac:dyDescent="0.2">
      <c r="C522" s="620" t="s">
        <v>551</v>
      </c>
      <c r="D522" s="673"/>
      <c r="E522" s="673"/>
      <c r="F522" s="674"/>
      <c r="G522" s="619"/>
    </row>
    <row r="523" spans="1:9" ht="12.75" customHeight="1" x14ac:dyDescent="0.2">
      <c r="C523" s="620"/>
      <c r="D523" s="674"/>
      <c r="E523" s="674"/>
      <c r="F523" s="674"/>
      <c r="G523" s="619"/>
    </row>
    <row r="524" spans="1:9" ht="12.75" customHeight="1" x14ac:dyDescent="0.2">
      <c r="C524" s="621" t="s">
        <v>573</v>
      </c>
      <c r="D524" s="675"/>
      <c r="E524" s="675"/>
      <c r="F524" s="675"/>
      <c r="G524" s="622"/>
      <c r="H524" s="623"/>
      <c r="I524" s="310"/>
    </row>
    <row r="525" spans="1:9" ht="12.75" customHeight="1" x14ac:dyDescent="0.2">
      <c r="C525" s="624" t="s">
        <v>540</v>
      </c>
      <c r="D525" s="675"/>
      <c r="E525" s="675"/>
      <c r="F525" s="675"/>
      <c r="G525" s="622"/>
      <c r="H525" s="623"/>
      <c r="I525" s="310"/>
    </row>
    <row r="526" spans="1:9" ht="12.75" customHeight="1" x14ac:dyDescent="0.2">
      <c r="C526" s="625"/>
      <c r="D526" s="676"/>
      <c r="E526" s="676"/>
      <c r="F526" s="676"/>
      <c r="G526" s="626"/>
      <c r="H526" s="623"/>
      <c r="I526" s="310"/>
    </row>
    <row r="527" spans="1:9" ht="12.75" customHeight="1" x14ac:dyDescent="0.2">
      <c r="C527" s="618" t="s">
        <v>574</v>
      </c>
      <c r="D527" s="676"/>
      <c r="E527" s="676"/>
      <c r="F527" s="676"/>
      <c r="G527" s="626"/>
      <c r="H527" s="623"/>
      <c r="I527" s="310"/>
    </row>
    <row r="528" spans="1:9" ht="12.75" customHeight="1" x14ac:dyDescent="0.2">
      <c r="C528" s="620" t="s">
        <v>541</v>
      </c>
      <c r="D528" s="676"/>
      <c r="E528" s="676"/>
      <c r="F528" s="676"/>
      <c r="G528" s="626"/>
      <c r="H528" s="623"/>
      <c r="I528" s="310"/>
    </row>
    <row r="529" spans="3:9" ht="12.75" customHeight="1" x14ac:dyDescent="0.2">
      <c r="C529" s="625"/>
      <c r="D529" s="676"/>
      <c r="E529" s="676"/>
      <c r="F529" s="676"/>
      <c r="G529" s="626"/>
      <c r="H529" s="623"/>
      <c r="I529" s="310"/>
    </row>
    <row r="530" spans="3:9" ht="12.75" customHeight="1" x14ac:dyDescent="0.2">
      <c r="C530" s="668" t="s">
        <v>575</v>
      </c>
      <c r="D530" s="677"/>
      <c r="E530" s="677"/>
      <c r="F530" s="677"/>
      <c r="G530" s="626"/>
      <c r="H530" s="623"/>
      <c r="I530" s="310"/>
    </row>
    <row r="531" spans="3:9" ht="12.75" customHeight="1" x14ac:dyDescent="0.2">
      <c r="C531" s="669"/>
      <c r="D531" s="677"/>
      <c r="E531" s="677"/>
      <c r="F531" s="677"/>
      <c r="G531" s="626"/>
      <c r="H531" s="623"/>
      <c r="I531" s="310"/>
    </row>
    <row r="532" spans="3:9" ht="12.75" customHeight="1" x14ac:dyDescent="0.2">
      <c r="C532" s="669"/>
      <c r="D532" s="677"/>
      <c r="E532" s="677"/>
      <c r="F532" s="677"/>
      <c r="G532" s="626"/>
      <c r="H532" s="623"/>
      <c r="I532" s="310"/>
    </row>
    <row r="533" spans="3:9" ht="14.25" customHeight="1" x14ac:dyDescent="0.2">
      <c r="C533" s="669"/>
      <c r="D533" s="677"/>
      <c r="E533" s="677"/>
      <c r="F533" s="677"/>
      <c r="G533" s="626"/>
      <c r="H533" s="623"/>
      <c r="I533" s="310"/>
    </row>
    <row r="534" spans="3:9" ht="12.75" customHeight="1" x14ac:dyDescent="0.2">
      <c r="C534" s="670"/>
      <c r="D534" s="677"/>
      <c r="E534" s="677"/>
      <c r="F534" s="677"/>
      <c r="G534" s="626"/>
      <c r="H534" s="623"/>
      <c r="I534" s="310"/>
    </row>
    <row r="535" spans="3:9" ht="12.75" customHeight="1" thickBot="1" x14ac:dyDescent="0.25">
      <c r="C535" s="678"/>
      <c r="D535" s="679"/>
      <c r="E535" s="679"/>
      <c r="F535" s="679"/>
      <c r="G535" s="627"/>
      <c r="H535" s="623"/>
      <c r="I535" s="310"/>
    </row>
    <row r="536" spans="3:9" ht="12.75" customHeight="1" x14ac:dyDescent="0.2">
      <c r="H536" s="623"/>
      <c r="I536" s="310"/>
    </row>
    <row r="537" spans="3:9" ht="12.75" customHeight="1" x14ac:dyDescent="0.2">
      <c r="H537" s="623"/>
      <c r="I537" s="310"/>
    </row>
    <row r="538" spans="3:9" ht="12.75" customHeight="1" x14ac:dyDescent="0.2">
      <c r="H538" s="623"/>
      <c r="I538" s="310"/>
    </row>
    <row r="539" spans="3:9" ht="12.75" customHeight="1" x14ac:dyDescent="0.2">
      <c r="H539" s="623"/>
      <c r="I539" s="310"/>
    </row>
    <row r="540" spans="3:9" ht="12.75" customHeight="1" x14ac:dyDescent="0.2">
      <c r="H540" s="623"/>
      <c r="I540" s="310"/>
    </row>
    <row r="541" spans="3:9" ht="12.75" customHeight="1" x14ac:dyDescent="0.2">
      <c r="H541" s="623"/>
      <c r="I541" s="310"/>
    </row>
    <row r="542" spans="3:9" ht="12.75" customHeight="1" x14ac:dyDescent="0.2">
      <c r="H542" s="623"/>
      <c r="I542" s="310"/>
    </row>
    <row r="543" spans="3:9" ht="12.75" customHeight="1" x14ac:dyDescent="0.2">
      <c r="H543" s="623"/>
      <c r="I543" s="310"/>
    </row>
    <row r="544" spans="3:9" ht="12.75" customHeight="1" x14ac:dyDescent="0.2">
      <c r="H544" s="623"/>
      <c r="I544" s="310"/>
    </row>
    <row r="545" spans="5:8" ht="12.75" customHeight="1" x14ac:dyDescent="0.2">
      <c r="H545" s="308"/>
    </row>
    <row r="546" spans="5:8" ht="12.75" customHeight="1" x14ac:dyDescent="0.2">
      <c r="E546" s="256"/>
      <c r="F546" s="251"/>
    </row>
    <row r="547" spans="5:8" ht="12.75" customHeight="1" x14ac:dyDescent="0.2">
      <c r="E547" s="256"/>
      <c r="F547" s="251"/>
    </row>
    <row r="556" spans="5:8" ht="12.75" customHeight="1" x14ac:dyDescent="0.2">
      <c r="H556" s="251"/>
    </row>
    <row r="557" spans="5:8" ht="12.75" customHeight="1" x14ac:dyDescent="0.2">
      <c r="H557" s="251"/>
    </row>
  </sheetData>
  <mergeCells count="2">
    <mergeCell ref="F3:G3"/>
    <mergeCell ref="C519:G519"/>
  </mergeCells>
  <phoneticPr fontId="78" type="noConversion"/>
  <conditionalFormatting sqref="A14:A482">
    <cfRule type="cellIs" dxfId="17" priority="1" operator="equal">
      <formula>0</formula>
    </cfRule>
  </conditionalFormatting>
  <conditionalFormatting sqref="A499">
    <cfRule type="cellIs" dxfId="16" priority="2" operator="equal">
      <formula>0</formula>
    </cfRule>
  </conditionalFormatting>
  <conditionalFormatting sqref="A507">
    <cfRule type="cellIs" dxfId="15" priority="7" operator="equal">
      <formula>0</formula>
    </cfRule>
  </conditionalFormatting>
  <conditionalFormatting sqref="H501:H509 H511:H519">
    <cfRule type="cellIs" dxfId="14" priority="5" stopIfTrue="1" operator="notEqual">
      <formula>0</formula>
    </cfRule>
    <cfRule type="cellIs" dxfId="13" priority="6" stopIfTrue="1" operator="equal">
      <formula>0</formula>
    </cfRule>
  </conditionalFormatting>
  <conditionalFormatting sqref="H521:H523">
    <cfRule type="cellIs" dxfId="12" priority="3" stopIfTrue="1" operator="notEqual">
      <formula>0</formula>
    </cfRule>
    <cfRule type="cellIs" dxfId="11" priority="4" stopIfTrue="1" operator="equal">
      <formula>0</formula>
    </cfRule>
  </conditionalFormatting>
  <pageMargins left="1" right="0.1" top="0.5" bottom="0.5" header="0" footer="0.1"/>
  <pageSetup fitToHeight="0" orientation="landscape" r:id="rId1"/>
  <headerFooter>
    <oddFooter>&amp;L&amp;8&amp;Z&amp;F&amp;R&amp;8&amp;P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A0F3A-6B50-409A-8E80-6F5FF3795D01}">
  <dimension ref="A4:Z67"/>
  <sheetViews>
    <sheetView topLeftCell="D33" workbookViewId="0">
      <selection activeCell="J57" sqref="J57"/>
    </sheetView>
  </sheetViews>
  <sheetFormatPr defaultColWidth="9.140625" defaultRowHeight="12.75" x14ac:dyDescent="0.2"/>
  <cols>
    <col min="1" max="1" width="4" style="251" bestFit="1" customWidth="1"/>
    <col min="2" max="2" width="6" style="251" customWidth="1"/>
    <col min="3" max="3" width="36.28515625" style="251" bestFit="1" customWidth="1"/>
    <col min="4" max="4" width="4" style="252" bestFit="1" customWidth="1"/>
    <col min="5" max="5" width="4.28515625" style="252" bestFit="1" customWidth="1"/>
    <col min="6" max="7" width="9.140625" style="251"/>
    <col min="8" max="8" width="2.7109375" style="251" customWidth="1"/>
    <col min="9" max="9" width="15.140625" style="251" bestFit="1" customWidth="1"/>
    <col min="10" max="11" width="14.5703125" style="251" bestFit="1" customWidth="1"/>
    <col min="12" max="12" width="15.140625" style="251" bestFit="1" customWidth="1"/>
    <col min="13" max="13" width="14.5703125" style="251" bestFit="1" customWidth="1"/>
    <col min="14" max="14" width="2.7109375" style="251" customWidth="1"/>
    <col min="15" max="15" width="10" style="251" bestFit="1" customWidth="1"/>
    <col min="16" max="16" width="2.7109375" style="251" customWidth="1"/>
    <col min="17" max="17" width="11" style="290" bestFit="1" customWidth="1"/>
    <col min="18" max="18" width="9.5703125" style="290" bestFit="1" customWidth="1"/>
    <col min="19" max="19" width="11" style="290" bestFit="1" customWidth="1"/>
    <col min="20" max="20" width="2.7109375" style="251" customWidth="1"/>
    <col min="21" max="21" width="9.140625" style="251"/>
    <col min="22" max="22" width="11" style="251" bestFit="1" customWidth="1"/>
    <col min="23" max="23" width="10" style="251" bestFit="1" customWidth="1"/>
    <col min="24" max="24" width="9.140625" style="251"/>
    <col min="25" max="25" width="11" style="251" bestFit="1" customWidth="1"/>
    <col min="26" max="26" width="13.5703125" style="251" customWidth="1"/>
    <col min="27" max="16384" width="9.140625" style="251"/>
  </cols>
  <sheetData>
    <row r="4" spans="1:26" x14ac:dyDescent="0.2">
      <c r="D4" s="257"/>
      <c r="E4" s="258">
        <v>0.75</v>
      </c>
      <c r="F4" s="257" t="s">
        <v>187</v>
      </c>
      <c r="G4" s="257" t="s">
        <v>188</v>
      </c>
      <c r="H4" s="259"/>
      <c r="I4" s="726" t="s">
        <v>189</v>
      </c>
      <c r="J4" s="727"/>
      <c r="K4" s="727"/>
      <c r="L4" s="728"/>
      <c r="M4" s="257" t="s">
        <v>190</v>
      </c>
      <c r="N4" s="260"/>
      <c r="Q4" s="733" t="s">
        <v>191</v>
      </c>
      <c r="R4" s="733"/>
      <c r="S4" s="733"/>
      <c r="U4" s="734" t="s">
        <v>192</v>
      </c>
      <c r="V4" s="734"/>
      <c r="W4" s="734"/>
    </row>
    <row r="5" spans="1:26" x14ac:dyDescent="0.2">
      <c r="A5" s="251" t="s">
        <v>52</v>
      </c>
      <c r="B5" s="251" t="s">
        <v>52</v>
      </c>
      <c r="C5" s="251" t="s">
        <v>52</v>
      </c>
      <c r="D5" s="261" t="s">
        <v>193</v>
      </c>
      <c r="E5" s="261" t="s">
        <v>194</v>
      </c>
      <c r="F5" s="261" t="s">
        <v>188</v>
      </c>
      <c r="G5" s="262" t="s">
        <v>195</v>
      </c>
      <c r="H5" s="259" t="s">
        <v>52</v>
      </c>
      <c r="I5" s="263" t="s">
        <v>196</v>
      </c>
      <c r="J5" s="263" t="s">
        <v>197</v>
      </c>
      <c r="K5" s="263" t="s">
        <v>198</v>
      </c>
      <c r="L5" s="264" t="s">
        <v>199</v>
      </c>
      <c r="M5" s="265" t="s">
        <v>200</v>
      </c>
      <c r="N5" s="260" t="s">
        <v>52</v>
      </c>
      <c r="O5" s="263" t="s">
        <v>201</v>
      </c>
      <c r="P5" s="251" t="s">
        <v>52</v>
      </c>
      <c r="Q5" s="266" t="s">
        <v>202</v>
      </c>
      <c r="R5" s="266" t="s">
        <v>203</v>
      </c>
      <c r="S5" s="266" t="s">
        <v>204</v>
      </c>
      <c r="T5" s="251" t="s">
        <v>52</v>
      </c>
      <c r="U5" s="263" t="s">
        <v>193</v>
      </c>
      <c r="V5" s="263" t="s">
        <v>205</v>
      </c>
      <c r="W5" s="263" t="s">
        <v>206</v>
      </c>
    </row>
    <row r="6" spans="1:26" x14ac:dyDescent="0.2">
      <c r="A6" s="252">
        <v>1</v>
      </c>
      <c r="B6" s="267" t="s">
        <v>207</v>
      </c>
      <c r="C6" s="268" t="s">
        <v>208</v>
      </c>
      <c r="D6" s="269">
        <v>0</v>
      </c>
      <c r="E6" s="269"/>
      <c r="F6" s="270">
        <f>-K6/I6</f>
        <v>4.6450547404580149E-2</v>
      </c>
      <c r="G6" s="271">
        <f>-K6/J6</f>
        <v>5.0000020692846155E-2</v>
      </c>
      <c r="H6" s="272"/>
      <c r="I6" s="273">
        <f>'0040'!$J$107</f>
        <v>208074.62</v>
      </c>
      <c r="J6" s="273">
        <f>'0040'!$J$109</f>
        <v>193303.52</v>
      </c>
      <c r="K6" s="273">
        <f>'0040'!$J$114</f>
        <v>-9665.18</v>
      </c>
      <c r="L6" s="273">
        <f>'0040'!$J$116</f>
        <v>198409.44</v>
      </c>
      <c r="M6" s="274">
        <f>'0040'!$J$124</f>
        <v>6720.22</v>
      </c>
      <c r="N6" s="275"/>
      <c r="O6" s="273" cm="1">
        <f t="array" ref="O6:P6">'0040'!E28:F28</f>
        <v>23.72</v>
      </c>
      <c r="P6" s="251">
        <v>0</v>
      </c>
      <c r="Q6" s="274">
        <f>I6/O6</f>
        <v>8772.1172006745364</v>
      </c>
      <c r="R6" s="274">
        <f>K6/O6</f>
        <v>-407.46964586846548</v>
      </c>
      <c r="S6" s="274">
        <f>L6/O6</f>
        <v>8364.6475548060716</v>
      </c>
      <c r="U6" s="274">
        <f>IF(D6="H",S6,0)</f>
        <v>0</v>
      </c>
      <c r="V6" s="274">
        <f t="shared" ref="V6:V56" si="0">ROUND(IF(E6=1,S6,0),2)</f>
        <v>0</v>
      </c>
      <c r="W6" s="274">
        <f t="shared" ref="W6:W52" si="1">IF(AND(U6=0,V6=0),S6,)</f>
        <v>8364.6475548060716</v>
      </c>
      <c r="Y6" s="667"/>
      <c r="Z6" s="275"/>
    </row>
    <row r="7" spans="1:26" x14ac:dyDescent="0.2">
      <c r="A7" s="252">
        <v>2</v>
      </c>
      <c r="B7" s="276" t="s">
        <v>547</v>
      </c>
      <c r="C7" s="268" t="s">
        <v>548</v>
      </c>
      <c r="D7" s="269"/>
      <c r="E7" s="662"/>
      <c r="F7" s="270">
        <f>-K7/I7</f>
        <v>4.9024595424954132E-2</v>
      </c>
      <c r="G7" s="271">
        <f>-K7/J7</f>
        <v>5.0000002446645639E-2</v>
      </c>
      <c r="H7" s="272"/>
      <c r="I7" s="273">
        <f>'0571'!$J$107</f>
        <v>1042137.3099999999</v>
      </c>
      <c r="J7" s="273">
        <f>'0571'!$J$109</f>
        <v>1021807.1499999999</v>
      </c>
      <c r="K7" s="273">
        <f>'0571'!$J$114</f>
        <v>-51090.36</v>
      </c>
      <c r="L7" s="273">
        <f>'0571'!$J$116</f>
        <v>991046.95</v>
      </c>
      <c r="M7" s="274">
        <f>'0571'!$J$124</f>
        <v>264162.62</v>
      </c>
      <c r="N7" s="275"/>
      <c r="O7" s="273" cm="1">
        <f t="array" ref="O7:P7">'0571'!E28:F28</f>
        <v>126</v>
      </c>
      <c r="P7" s="251">
        <v>0</v>
      </c>
      <c r="Q7" s="274">
        <f>I7/O7</f>
        <v>8270.9310317460313</v>
      </c>
      <c r="R7" s="274">
        <f>K7/O7</f>
        <v>-405.47904761904761</v>
      </c>
      <c r="S7" s="274">
        <f>L7/O7</f>
        <v>7865.4519841269839</v>
      </c>
      <c r="U7" s="274">
        <f>IF(D7="H",S7,0)</f>
        <v>0</v>
      </c>
      <c r="V7" s="274">
        <f t="shared" ref="V7" si="2">ROUND(IF(E7=1,S7,0),2)</f>
        <v>0</v>
      </c>
      <c r="W7" s="274">
        <f t="shared" ref="W7" si="3">IF(AND(U7=0,V7=0),S7,)</f>
        <v>7865.4519841269839</v>
      </c>
      <c r="Y7" s="667"/>
      <c r="Z7" s="275"/>
    </row>
    <row r="8" spans="1:26" x14ac:dyDescent="0.2">
      <c r="A8" s="252">
        <v>3</v>
      </c>
      <c r="B8" s="276" t="s">
        <v>209</v>
      </c>
      <c r="C8" s="663" t="s">
        <v>210</v>
      </c>
      <c r="D8" s="269">
        <v>0</v>
      </c>
      <c r="E8" s="666">
        <v>1</v>
      </c>
      <c r="F8" s="270">
        <f>-K8/I8</f>
        <v>1.1451320530704415E-2</v>
      </c>
      <c r="G8" s="271">
        <f t="shared" ref="G8:G58" si="4">-K8/J8</f>
        <v>1.1630443252716106E-2</v>
      </c>
      <c r="H8" s="260"/>
      <c r="I8" s="273">
        <f>'0100'!$J$107</f>
        <v>896580.44000000018</v>
      </c>
      <c r="J8" s="273">
        <f>'0100'!$J$109</f>
        <v>882772.03000000014</v>
      </c>
      <c r="K8" s="273">
        <f>'0100'!$J$114</f>
        <v>-10267.030000000001</v>
      </c>
      <c r="L8" s="273">
        <f>'0100'!$J$116</f>
        <v>886313.41000000015</v>
      </c>
      <c r="M8" s="274">
        <f>'0100'!$J$124</f>
        <v>153765.41</v>
      </c>
      <c r="N8" s="260"/>
      <c r="O8" s="527" cm="1">
        <f t="array" ref="O8:P8">'0100'!E28:F28</f>
        <v>27</v>
      </c>
      <c r="P8" s="251">
        <v>0</v>
      </c>
      <c r="Q8" s="274">
        <f>I8/O8</f>
        <v>33206.682962962972</v>
      </c>
      <c r="R8" s="274">
        <f t="shared" ref="R8:R52" si="5">K8/O8</f>
        <v>-380.26037037037037</v>
      </c>
      <c r="S8" s="274">
        <f>L8/O8</f>
        <v>32826.4225925926</v>
      </c>
      <c r="U8" s="274">
        <f>IF(D8="H",S8,0)</f>
        <v>0</v>
      </c>
      <c r="V8" s="274">
        <f t="shared" si="0"/>
        <v>32826.42</v>
      </c>
      <c r="W8" s="274">
        <f t="shared" si="1"/>
        <v>0</v>
      </c>
      <c r="Y8" s="667"/>
      <c r="Z8" s="275"/>
    </row>
    <row r="9" spans="1:26" x14ac:dyDescent="0.2">
      <c r="A9" s="252">
        <v>4</v>
      </c>
      <c r="B9" s="277" t="s">
        <v>211</v>
      </c>
      <c r="C9" s="268" t="s">
        <v>212</v>
      </c>
      <c r="D9" s="269" t="s">
        <v>431</v>
      </c>
      <c r="E9" s="269" t="s">
        <v>545</v>
      </c>
      <c r="F9" s="270">
        <f>-K9/I9</f>
        <v>5.7957155785789884E-3</v>
      </c>
      <c r="G9" s="271">
        <f t="shared" si="4"/>
        <v>6.0212666836061586E-3</v>
      </c>
      <c r="H9" s="272"/>
      <c r="I9" s="273">
        <f>'1461'!$J$107</f>
        <v>7476950.7599999988</v>
      </c>
      <c r="J9" s="273">
        <f>'1461'!$J$109</f>
        <v>7196871.0699999984</v>
      </c>
      <c r="K9" s="273">
        <f>'1461'!$J$114</f>
        <v>-43334.28</v>
      </c>
      <c r="L9" s="273">
        <f>'1461'!$J$116</f>
        <v>7433616.4799999986</v>
      </c>
      <c r="M9" s="274">
        <f>'1461'!$J$124</f>
        <v>587865.11</v>
      </c>
      <c r="N9" s="275"/>
      <c r="O9" s="273" cm="1">
        <f t="array" ref="O9:P9">'1461'!E28:F28</f>
        <v>830.38999999999987</v>
      </c>
      <c r="P9" s="251">
        <v>0</v>
      </c>
      <c r="Q9" s="274">
        <f>I9/O9</f>
        <v>9004.1435470080323</v>
      </c>
      <c r="R9" s="274">
        <f t="shared" si="5"/>
        <v>-52.185455027155925</v>
      </c>
      <c r="S9" s="274">
        <f t="shared" ref="S9:S52" si="6">L9/O9</f>
        <v>8951.9580919808759</v>
      </c>
      <c r="U9" s="274">
        <f>IF(D9="H",S9,0)</f>
        <v>8951.9580919808759</v>
      </c>
      <c r="V9" s="274">
        <f t="shared" si="0"/>
        <v>0</v>
      </c>
      <c r="W9" s="274">
        <f t="shared" si="1"/>
        <v>0</v>
      </c>
      <c r="Y9" s="667"/>
      <c r="Z9" s="275"/>
    </row>
    <row r="10" spans="1:26" x14ac:dyDescent="0.2">
      <c r="A10" s="252">
        <v>5</v>
      </c>
      <c r="B10" s="277" t="s">
        <v>213</v>
      </c>
      <c r="C10" s="268" t="s">
        <v>214</v>
      </c>
      <c r="D10" s="269" t="s">
        <v>431</v>
      </c>
      <c r="E10" s="269" t="s">
        <v>545</v>
      </c>
      <c r="F10" s="270">
        <f t="shared" ref="F10:F53" si="7">-K10/I10</f>
        <v>4.3364054735341483E-3</v>
      </c>
      <c r="G10" s="271">
        <f t="shared" si="4"/>
        <v>4.5320640296793481E-3</v>
      </c>
      <c r="H10" s="272"/>
      <c r="I10" s="273">
        <f>'1571'!$J$107</f>
        <v>10320107.350000001</v>
      </c>
      <c r="J10" s="273">
        <f>'1571'!$J$109</f>
        <v>9874567.0200000014</v>
      </c>
      <c r="K10" s="273">
        <f>'1571'!$J$114</f>
        <v>-44752.17</v>
      </c>
      <c r="L10" s="273">
        <f>'1571'!$J$116</f>
        <v>10275355.180000002</v>
      </c>
      <c r="M10" s="274">
        <f>'1571'!$J$124</f>
        <v>831353.2</v>
      </c>
      <c r="N10" s="275"/>
      <c r="O10" s="273" cm="1">
        <f t="array" ref="O10:P10">'1571'!E28:F28</f>
        <v>1103.25</v>
      </c>
      <c r="P10" s="251">
        <v>0</v>
      </c>
      <c r="Q10" s="274">
        <f t="shared" ref="Q10:Q52" si="8">I10/O10</f>
        <v>9354.2781327894863</v>
      </c>
      <c r="R10" s="274">
        <f t="shared" si="5"/>
        <v>-40.563942895989122</v>
      </c>
      <c r="S10" s="274">
        <f t="shared" si="6"/>
        <v>9313.7141898934988</v>
      </c>
      <c r="U10" s="274">
        <f t="shared" ref="U10:U56" si="9">IF(D10="H",S10,0)</f>
        <v>9313.7141898934988</v>
      </c>
      <c r="V10" s="274">
        <f t="shared" si="0"/>
        <v>0</v>
      </c>
      <c r="W10" s="274">
        <f t="shared" si="1"/>
        <v>0</v>
      </c>
      <c r="Y10" s="667"/>
      <c r="Z10" s="275"/>
    </row>
    <row r="11" spans="1:26" x14ac:dyDescent="0.2">
      <c r="A11" s="252">
        <v>6</v>
      </c>
      <c r="B11" s="277" t="s">
        <v>215</v>
      </c>
      <c r="C11" s="268" t="s">
        <v>216</v>
      </c>
      <c r="D11" s="269">
        <v>0</v>
      </c>
      <c r="E11" s="269">
        <v>1</v>
      </c>
      <c r="F11" s="270">
        <f t="shared" si="7"/>
        <v>2.1244065016625381E-2</v>
      </c>
      <c r="G11" s="271">
        <f t="shared" si="4"/>
        <v>2.2070174707640475E-2</v>
      </c>
      <c r="H11" s="272"/>
      <c r="I11" s="273">
        <f>'2521'!$J$107</f>
        <v>1361926.73</v>
      </c>
      <c r="J11" s="273">
        <f>'2521'!$J$109</f>
        <v>1310948.3899999999</v>
      </c>
      <c r="K11" s="273">
        <f>'2521'!$J$114</f>
        <v>-28932.86</v>
      </c>
      <c r="L11" s="273">
        <f>'2521'!$J$116</f>
        <v>1332993.8699999999</v>
      </c>
      <c r="M11" s="274">
        <f>'2521'!$J$124</f>
        <v>109669.4</v>
      </c>
      <c r="N11" s="275"/>
      <c r="O11" s="273" cm="1">
        <f t="array" ref="O11:P11">'2521'!E28:F28</f>
        <v>73.599999999999994</v>
      </c>
      <c r="P11" s="251">
        <v>0</v>
      </c>
      <c r="Q11" s="274">
        <f t="shared" si="8"/>
        <v>18504.439266304347</v>
      </c>
      <c r="R11" s="274">
        <f t="shared" si="5"/>
        <v>-393.10951086956527</v>
      </c>
      <c r="S11" s="274">
        <f t="shared" si="6"/>
        <v>18111.329755434781</v>
      </c>
      <c r="U11" s="274">
        <f t="shared" si="9"/>
        <v>0</v>
      </c>
      <c r="V11" s="274">
        <f t="shared" si="0"/>
        <v>18111.330000000002</v>
      </c>
      <c r="W11" s="274">
        <f t="shared" si="1"/>
        <v>0</v>
      </c>
      <c r="Y11" s="667"/>
      <c r="Z11" s="275"/>
    </row>
    <row r="12" spans="1:26" x14ac:dyDescent="0.2">
      <c r="A12" s="252">
        <v>7</v>
      </c>
      <c r="B12" s="277" t="s">
        <v>217</v>
      </c>
      <c r="C12" s="268" t="s">
        <v>218</v>
      </c>
      <c r="D12" s="269">
        <v>0</v>
      </c>
      <c r="E12" s="269">
        <v>1</v>
      </c>
      <c r="F12" s="270">
        <f t="shared" si="7"/>
        <v>1.1367848635174245E-2</v>
      </c>
      <c r="G12" s="271">
        <f t="shared" si="4"/>
        <v>1.1984458813462594E-2</v>
      </c>
      <c r="H12" s="272"/>
      <c r="I12" s="273">
        <f>'2531'!$J$107</f>
        <v>1466548.3800000001</v>
      </c>
      <c r="J12" s="273">
        <f>'2531'!$J$109</f>
        <v>1391093.27</v>
      </c>
      <c r="K12" s="273">
        <f>'2531'!$J$114</f>
        <v>-16671.5</v>
      </c>
      <c r="L12" s="273">
        <f>'2531'!$J$116</f>
        <v>1449876.8800000001</v>
      </c>
      <c r="M12" s="274">
        <f>'2531'!$J$124</f>
        <v>105445.2</v>
      </c>
      <c r="N12" s="275"/>
      <c r="O12" s="273" cm="1">
        <f t="array" ref="O12:P12">'2531'!E28:F28</f>
        <v>48.5</v>
      </c>
      <c r="P12" s="251">
        <v>0</v>
      </c>
      <c r="Q12" s="274">
        <f t="shared" si="8"/>
        <v>30238.110927835052</v>
      </c>
      <c r="R12" s="274">
        <f t="shared" si="5"/>
        <v>-343.74226804123714</v>
      </c>
      <c r="S12" s="274">
        <f t="shared" si="6"/>
        <v>29894.368659793818</v>
      </c>
      <c r="U12" s="274">
        <f t="shared" si="9"/>
        <v>0</v>
      </c>
      <c r="V12" s="274">
        <f t="shared" si="0"/>
        <v>29894.37</v>
      </c>
      <c r="W12" s="274">
        <f t="shared" si="1"/>
        <v>0</v>
      </c>
      <c r="Y12" s="667"/>
      <c r="Z12" s="275"/>
    </row>
    <row r="13" spans="1:26" x14ac:dyDescent="0.2">
      <c r="A13" s="252">
        <v>8</v>
      </c>
      <c r="B13" s="277">
        <v>2791</v>
      </c>
      <c r="C13" s="268" t="s">
        <v>220</v>
      </c>
      <c r="D13" s="269">
        <v>0</v>
      </c>
      <c r="E13" s="269">
        <v>1</v>
      </c>
      <c r="F13" s="270">
        <f t="shared" si="7"/>
        <v>9.5066978211957639E-3</v>
      </c>
      <c r="G13" s="271">
        <f t="shared" si="4"/>
        <v>9.9708203865214225E-3</v>
      </c>
      <c r="H13" s="272"/>
      <c r="I13" s="273">
        <f>'2791'!$J$107</f>
        <v>5965981.1500000004</v>
      </c>
      <c r="J13" s="273">
        <f>'2791'!$J$109</f>
        <v>5688276.1699999999</v>
      </c>
      <c r="K13" s="273">
        <f>'2791'!$J$114</f>
        <v>-56716.78</v>
      </c>
      <c r="L13" s="273">
        <f>'2791'!$J$116</f>
        <v>5909264.3700000001</v>
      </c>
      <c r="M13" s="274">
        <f>'2791'!$J$124</f>
        <v>661778.35</v>
      </c>
      <c r="N13" s="275"/>
      <c r="O13" s="273" cm="1">
        <f t="array" ref="O13:P13">'2791'!E28:F28</f>
        <v>173.06</v>
      </c>
      <c r="P13" s="251">
        <v>0</v>
      </c>
      <c r="Q13" s="274">
        <f t="shared" si="8"/>
        <v>34473.48405177395</v>
      </c>
      <c r="R13" s="274">
        <f t="shared" si="5"/>
        <v>-327.72899572402633</v>
      </c>
      <c r="S13" s="274">
        <f t="shared" si="6"/>
        <v>34145.755056049922</v>
      </c>
      <c r="U13" s="274">
        <f t="shared" si="9"/>
        <v>0</v>
      </c>
      <c r="V13" s="274">
        <f t="shared" si="0"/>
        <v>34145.760000000002</v>
      </c>
      <c r="W13" s="274">
        <f t="shared" si="1"/>
        <v>0</v>
      </c>
      <c r="Y13" s="667"/>
      <c r="Z13" s="275"/>
    </row>
    <row r="14" spans="1:26" x14ac:dyDescent="0.2">
      <c r="A14" s="252">
        <v>9</v>
      </c>
      <c r="B14" s="277" t="s">
        <v>221</v>
      </c>
      <c r="C14" s="278" t="s">
        <v>222</v>
      </c>
      <c r="D14" s="269">
        <v>0</v>
      </c>
      <c r="E14" s="269" t="s">
        <v>545</v>
      </c>
      <c r="F14" s="270">
        <f t="shared" si="7"/>
        <v>2.1391983767112443E-2</v>
      </c>
      <c r="G14" s="271">
        <f t="shared" si="4"/>
        <v>2.2502656322107639E-2</v>
      </c>
      <c r="H14" s="272"/>
      <c r="I14" s="273">
        <f>'2801'!$J$107</f>
        <v>5154030.6500000004</v>
      </c>
      <c r="J14" s="273">
        <f>'2801'!$J$109</f>
        <v>4899641.1100000003</v>
      </c>
      <c r="K14" s="273">
        <f>'2801'!$J$114</f>
        <v>-110254.94</v>
      </c>
      <c r="L14" s="273">
        <f>'2801'!$J$116</f>
        <v>5043775.71</v>
      </c>
      <c r="M14" s="274">
        <f>'2801'!$J$124</f>
        <v>381923.19</v>
      </c>
      <c r="N14" s="275"/>
      <c r="O14" s="273" cm="1">
        <f t="array" ref="O14:P14">'2801'!E28:F28</f>
        <v>555.49</v>
      </c>
      <c r="P14" s="251">
        <v>0</v>
      </c>
      <c r="Q14" s="274">
        <f t="shared" si="8"/>
        <v>9278.3500153018067</v>
      </c>
      <c r="R14" s="274">
        <f t="shared" si="5"/>
        <v>-198.48231291292373</v>
      </c>
      <c r="S14" s="274">
        <f t="shared" si="6"/>
        <v>9079.8677023888813</v>
      </c>
      <c r="U14" s="274">
        <f t="shared" si="9"/>
        <v>0</v>
      </c>
      <c r="V14" s="274">
        <f t="shared" si="0"/>
        <v>0</v>
      </c>
      <c r="W14" s="274">
        <f t="shared" si="1"/>
        <v>9079.8677023888813</v>
      </c>
      <c r="Y14" s="667"/>
      <c r="Z14" s="275"/>
    </row>
    <row r="15" spans="1:26" x14ac:dyDescent="0.2">
      <c r="A15" s="252">
        <v>10</v>
      </c>
      <c r="B15" s="277" t="s">
        <v>223</v>
      </c>
      <c r="C15" s="268" t="s">
        <v>224</v>
      </c>
      <c r="D15" s="269" t="s">
        <v>431</v>
      </c>
      <c r="E15" s="269" t="s">
        <v>545</v>
      </c>
      <c r="F15" s="270">
        <f t="shared" si="7"/>
        <v>6.1439412381726396E-3</v>
      </c>
      <c r="G15" s="271">
        <f t="shared" si="4"/>
        <v>6.4223600228011796E-3</v>
      </c>
      <c r="H15" s="272"/>
      <c r="I15" s="273">
        <f>'2911'!$J$107</f>
        <v>6869406.5199999996</v>
      </c>
      <c r="J15" s="273">
        <f>'2911'!$J$109</f>
        <v>6571607.6099999994</v>
      </c>
      <c r="K15" s="273">
        <f>'2911'!$J$114</f>
        <v>-42205.23</v>
      </c>
      <c r="L15" s="273">
        <f>'2911'!$J$116</f>
        <v>6827201.2899999991</v>
      </c>
      <c r="M15" s="274">
        <f>'2911'!$J$124</f>
        <v>640427.29</v>
      </c>
      <c r="N15" s="275"/>
      <c r="O15" s="273" cm="1">
        <f t="array" ref="O15:P15">'2911'!E28:F28</f>
        <v>778.53000000000009</v>
      </c>
      <c r="P15" s="251">
        <v>0</v>
      </c>
      <c r="Q15" s="274">
        <f t="shared" si="8"/>
        <v>8823.5604536755145</v>
      </c>
      <c r="R15" s="274">
        <f t="shared" si="5"/>
        <v>-54.211436938846283</v>
      </c>
      <c r="S15" s="274">
        <f t="shared" si="6"/>
        <v>8769.349016736669</v>
      </c>
      <c r="U15" s="274">
        <f t="shared" si="9"/>
        <v>8769.349016736669</v>
      </c>
      <c r="V15" s="274">
        <f t="shared" si="0"/>
        <v>0</v>
      </c>
      <c r="W15" s="274">
        <f t="shared" si="1"/>
        <v>0</v>
      </c>
      <c r="Y15" s="667"/>
      <c r="Z15" s="275"/>
    </row>
    <row r="16" spans="1:26" x14ac:dyDescent="0.2">
      <c r="A16" s="252">
        <v>11</v>
      </c>
      <c r="B16" s="277" t="s">
        <v>225</v>
      </c>
      <c r="C16" s="268" t="s">
        <v>226</v>
      </c>
      <c r="D16" s="269">
        <v>0</v>
      </c>
      <c r="E16" s="269">
        <v>1</v>
      </c>
      <c r="F16" s="270">
        <f t="shared" si="7"/>
        <v>7.4828790561727752E-3</v>
      </c>
      <c r="G16" s="271">
        <f t="shared" si="4"/>
        <v>7.8283449072980467E-3</v>
      </c>
      <c r="H16" s="272"/>
      <c r="I16" s="273">
        <f>'2941'!$J$107</f>
        <v>11359909.65</v>
      </c>
      <c r="J16" s="273">
        <f>'2941'!$J$109</f>
        <v>10858595.4</v>
      </c>
      <c r="K16" s="273">
        <f>'2941'!$J$114</f>
        <v>-85004.83</v>
      </c>
      <c r="L16" s="273">
        <f>'2941'!$J$116</f>
        <v>11274904.82</v>
      </c>
      <c r="M16" s="274">
        <f>'2941'!$J$124</f>
        <v>1041964.5</v>
      </c>
      <c r="N16" s="275"/>
      <c r="O16" s="273" cm="1">
        <f t="array" ref="O16:P16">'2941'!E28:F28</f>
        <v>380.17</v>
      </c>
      <c r="P16" s="251">
        <v>0</v>
      </c>
      <c r="Q16" s="274">
        <f t="shared" si="8"/>
        <v>29881.131204461162</v>
      </c>
      <c r="R16" s="274">
        <f t="shared" si="5"/>
        <v>-223.59689086461319</v>
      </c>
      <c r="S16" s="274">
        <f t="shared" si="6"/>
        <v>29657.534313596549</v>
      </c>
      <c r="U16" s="274">
        <f t="shared" si="9"/>
        <v>0</v>
      </c>
      <c r="V16" s="274">
        <f t="shared" si="0"/>
        <v>29657.53</v>
      </c>
      <c r="W16" s="274">
        <f t="shared" si="1"/>
        <v>0</v>
      </c>
      <c r="Y16" s="667"/>
      <c r="Z16" s="275"/>
    </row>
    <row r="17" spans="1:26" x14ac:dyDescent="0.2">
      <c r="A17" s="252">
        <v>12</v>
      </c>
      <c r="B17" s="277" t="s">
        <v>227</v>
      </c>
      <c r="C17" s="278" t="s">
        <v>228</v>
      </c>
      <c r="D17" s="269">
        <v>0</v>
      </c>
      <c r="E17" s="269">
        <v>1</v>
      </c>
      <c r="F17" s="270">
        <f t="shared" si="7"/>
        <v>8.5354533972212578E-3</v>
      </c>
      <c r="G17" s="271">
        <f t="shared" si="4"/>
        <v>8.9434929267496778E-3</v>
      </c>
      <c r="H17" s="272"/>
      <c r="I17" s="273">
        <f>'3083'!$J$107</f>
        <v>6734393.2799999993</v>
      </c>
      <c r="J17" s="273">
        <f>'3083'!$J$109</f>
        <v>6427142.1099999994</v>
      </c>
      <c r="K17" s="273">
        <f>'3083'!$J$114</f>
        <v>-57481.1</v>
      </c>
      <c r="L17" s="273">
        <f>'3083'!$J$116</f>
        <v>6676912.1799999997</v>
      </c>
      <c r="M17" s="274">
        <f>'3083'!$J$124</f>
        <v>668299.76</v>
      </c>
      <c r="N17" s="275"/>
      <c r="O17" s="273" cm="1">
        <f t="array" ref="O17:P17">'3083'!E28:F28</f>
        <v>179.39</v>
      </c>
      <c r="P17" s="251">
        <v>0</v>
      </c>
      <c r="Q17" s="274">
        <f t="shared" si="8"/>
        <v>37540.516639723508</v>
      </c>
      <c r="R17" s="274">
        <f t="shared" si="5"/>
        <v>-320.42533028596915</v>
      </c>
      <c r="S17" s="274">
        <f t="shared" si="6"/>
        <v>37220.091309437543</v>
      </c>
      <c r="U17" s="274">
        <f t="shared" si="9"/>
        <v>0</v>
      </c>
      <c r="V17" s="274">
        <f t="shared" si="0"/>
        <v>37220.089999999997</v>
      </c>
      <c r="W17" s="274">
        <f t="shared" si="1"/>
        <v>0</v>
      </c>
      <c r="Y17" s="667"/>
      <c r="Z17" s="275"/>
    </row>
    <row r="18" spans="1:26" x14ac:dyDescent="0.2">
      <c r="A18" s="252">
        <v>13</v>
      </c>
      <c r="B18" s="277" t="s">
        <v>229</v>
      </c>
      <c r="C18" s="278" t="s">
        <v>230</v>
      </c>
      <c r="D18" s="279">
        <v>0</v>
      </c>
      <c r="E18" s="279">
        <v>1</v>
      </c>
      <c r="F18" s="270">
        <f>-K18/I18</f>
        <v>2.9579053068227616E-2</v>
      </c>
      <c r="G18" s="271">
        <f t="shared" si="4"/>
        <v>3.0424256187265755E-2</v>
      </c>
      <c r="H18" s="272"/>
      <c r="I18" s="273">
        <f>'3345'!$J$107</f>
        <v>1156801.3999999999</v>
      </c>
      <c r="J18" s="273">
        <f>'3345'!$J$109</f>
        <v>1124664.7999999998</v>
      </c>
      <c r="K18" s="273">
        <f>'3345'!$J$114</f>
        <v>-34217.089999999997</v>
      </c>
      <c r="L18" s="273">
        <f>'3345'!$J$116</f>
        <v>1122584.3099999998</v>
      </c>
      <c r="M18" s="274">
        <f>'3345'!$J$124</f>
        <v>100422.83</v>
      </c>
      <c r="N18" s="275"/>
      <c r="O18" s="273" cm="1">
        <f t="array" ref="O18:P18">'3345'!E28:F28</f>
        <v>83</v>
      </c>
      <c r="P18" s="251">
        <v>0</v>
      </c>
      <c r="Q18" s="274">
        <f t="shared" si="8"/>
        <v>13937.36626506024</v>
      </c>
      <c r="R18" s="274">
        <f t="shared" si="5"/>
        <v>-412.25409638554214</v>
      </c>
      <c r="S18" s="274">
        <f t="shared" si="6"/>
        <v>13525.112168674697</v>
      </c>
      <c r="U18" s="274">
        <f t="shared" si="9"/>
        <v>0</v>
      </c>
      <c r="V18" s="274">
        <f t="shared" si="0"/>
        <v>13525.11</v>
      </c>
      <c r="W18" s="274">
        <f t="shared" si="1"/>
        <v>0</v>
      </c>
      <c r="Y18" s="667"/>
      <c r="Z18" s="275"/>
    </row>
    <row r="19" spans="1:26" x14ac:dyDescent="0.2">
      <c r="A19" s="252">
        <v>14</v>
      </c>
      <c r="B19" s="277">
        <v>3362</v>
      </c>
      <c r="C19" s="278" t="s">
        <v>309</v>
      </c>
      <c r="D19" s="279"/>
      <c r="E19" s="279"/>
      <c r="F19" s="270">
        <f>-K19/I19</f>
        <v>4.9528812797974678E-2</v>
      </c>
      <c r="G19" s="271">
        <f t="shared" ref="G19" si="10">-K19/J19</f>
        <v>4.9999996899715488E-2</v>
      </c>
      <c r="H19" s="272"/>
      <c r="I19" s="273">
        <f>'3362'!$J$107</f>
        <v>1465288.0999999999</v>
      </c>
      <c r="J19" s="273">
        <f>'3362'!$J$109</f>
        <v>1451479.69</v>
      </c>
      <c r="K19" s="273">
        <f>'3362'!$J$114</f>
        <v>-72573.98</v>
      </c>
      <c r="L19" s="273">
        <f>'3362'!$J$116</f>
        <v>1392714.1199999999</v>
      </c>
      <c r="M19" s="274">
        <f>'3362'!$J$124</f>
        <v>159135.13</v>
      </c>
      <c r="N19" s="275"/>
      <c r="O19" s="273" cm="1">
        <f t="array" ref="O19:P19">'3362'!E28:F28</f>
        <v>160.99</v>
      </c>
      <c r="P19" s="251">
        <v>0</v>
      </c>
      <c r="Q19" s="274">
        <f t="shared" ref="Q19" si="11">I19/O19</f>
        <v>9101.7336480526719</v>
      </c>
      <c r="R19" s="274">
        <f t="shared" ref="R19" si="12">K19/O19</f>
        <v>-450.79806199142797</v>
      </c>
      <c r="S19" s="274">
        <f t="shared" ref="S19" si="13">L19/O19</f>
        <v>8650.935586061245</v>
      </c>
      <c r="U19" s="274">
        <f t="shared" ref="U19" si="14">IF(D19="H",S19,0)</f>
        <v>0</v>
      </c>
      <c r="V19" s="274">
        <f t="shared" ref="V19" si="15">ROUND(IF(E19=1,S19,0),2)</f>
        <v>0</v>
      </c>
      <c r="W19" s="274">
        <f t="shared" ref="W19" si="16">IF(AND(U19=0,V19=0),S19,)</f>
        <v>8650.935586061245</v>
      </c>
      <c r="Y19" s="667"/>
      <c r="Z19" s="275"/>
    </row>
    <row r="20" spans="1:26" x14ac:dyDescent="0.2">
      <c r="A20" s="252">
        <v>15</v>
      </c>
      <c r="B20" s="277" t="s">
        <v>231</v>
      </c>
      <c r="C20" s="268" t="s">
        <v>232</v>
      </c>
      <c r="D20" s="269" t="s">
        <v>431</v>
      </c>
      <c r="E20" s="269" t="s">
        <v>545</v>
      </c>
      <c r="F20" s="270">
        <f t="shared" si="7"/>
        <v>4.5352603758532402E-3</v>
      </c>
      <c r="G20" s="271">
        <f t="shared" si="4"/>
        <v>4.7626304190084628E-3</v>
      </c>
      <c r="H20" s="272"/>
      <c r="I20" s="273">
        <f>'3381'!$J$107</f>
        <v>9256859.9199999999</v>
      </c>
      <c r="J20" s="273">
        <f>'3381'!$J$109</f>
        <v>8814933.4100000001</v>
      </c>
      <c r="K20" s="273">
        <f>'3381'!$J$114</f>
        <v>-41982.27</v>
      </c>
      <c r="L20" s="273">
        <f>'3381'!$J$116</f>
        <v>9214877.6500000004</v>
      </c>
      <c r="M20" s="274">
        <f>'3381'!$J$124</f>
        <v>780619.56</v>
      </c>
      <c r="N20" s="275"/>
      <c r="O20" s="273" cm="1">
        <f t="array" ref="O20:P20">'3381'!E28:F28</f>
        <v>1049.8399999999999</v>
      </c>
      <c r="P20" s="251">
        <v>0</v>
      </c>
      <c r="Q20" s="274">
        <f t="shared" si="8"/>
        <v>8817.400670578374</v>
      </c>
      <c r="R20" s="274">
        <f t="shared" si="5"/>
        <v>-39.98920787929589</v>
      </c>
      <c r="S20" s="274">
        <f t="shared" si="6"/>
        <v>8777.4114626990795</v>
      </c>
      <c r="U20" s="274">
        <f t="shared" si="9"/>
        <v>8777.4114626990795</v>
      </c>
      <c r="V20" s="274">
        <f t="shared" si="0"/>
        <v>0</v>
      </c>
      <c r="W20" s="274">
        <f t="shared" si="1"/>
        <v>0</v>
      </c>
      <c r="Y20" s="667"/>
      <c r="Z20" s="275"/>
    </row>
    <row r="21" spans="1:26" x14ac:dyDescent="0.2">
      <c r="A21" s="252">
        <v>16</v>
      </c>
      <c r="B21" s="277" t="s">
        <v>233</v>
      </c>
      <c r="C21" s="268" t="s">
        <v>234</v>
      </c>
      <c r="D21" s="269">
        <v>0</v>
      </c>
      <c r="E21" s="269" t="s">
        <v>545</v>
      </c>
      <c r="F21" s="270">
        <f t="shared" si="7"/>
        <v>4.5510863163799417E-2</v>
      </c>
      <c r="G21" s="271">
        <f t="shared" si="4"/>
        <v>4.7762792532485367E-2</v>
      </c>
      <c r="H21" s="272"/>
      <c r="I21" s="273">
        <f>'3382'!$J$107</f>
        <v>2430609.5800000005</v>
      </c>
      <c r="J21" s="273">
        <f>'3382'!$J$109</f>
        <v>2316010.7300000004</v>
      </c>
      <c r="K21" s="273">
        <f>'3382'!$J$114</f>
        <v>-110619.14</v>
      </c>
      <c r="L21" s="273">
        <f>'3382'!$J$116</f>
        <v>2319990.4400000004</v>
      </c>
      <c r="M21" s="274">
        <f>'3382'!$J$124</f>
        <v>159713.42000000001</v>
      </c>
      <c r="N21" s="275"/>
      <c r="O21" s="273" cm="1">
        <f t="array" ref="O21:P21">'3382'!E28:F28</f>
        <v>261.71000000000004</v>
      </c>
      <c r="P21" s="251">
        <v>0</v>
      </c>
      <c r="Q21" s="274">
        <f t="shared" si="8"/>
        <v>9287.4157655420131</v>
      </c>
      <c r="R21" s="274">
        <f t="shared" si="5"/>
        <v>-422.67830805089596</v>
      </c>
      <c r="S21" s="274">
        <f t="shared" si="6"/>
        <v>8864.7374574911173</v>
      </c>
      <c r="U21" s="274">
        <f t="shared" si="9"/>
        <v>0</v>
      </c>
      <c r="V21" s="274">
        <f t="shared" si="0"/>
        <v>0</v>
      </c>
      <c r="W21" s="274">
        <f t="shared" si="1"/>
        <v>8864.7374574911173</v>
      </c>
      <c r="Y21" s="667"/>
      <c r="Z21" s="275"/>
    </row>
    <row r="22" spans="1:26" x14ac:dyDescent="0.2">
      <c r="A22" s="252">
        <v>17</v>
      </c>
      <c r="B22" s="277" t="s">
        <v>235</v>
      </c>
      <c r="C22" s="280" t="s">
        <v>236</v>
      </c>
      <c r="D22" s="269">
        <v>0</v>
      </c>
      <c r="E22" s="269"/>
      <c r="F22" s="270"/>
      <c r="G22" s="271"/>
      <c r="H22" s="272"/>
      <c r="I22" s="273"/>
      <c r="J22" s="273"/>
      <c r="K22" s="273"/>
      <c r="L22" s="273"/>
      <c r="M22" s="274"/>
      <c r="N22" s="275"/>
      <c r="O22" s="273"/>
      <c r="Q22" s="274"/>
      <c r="R22" s="274"/>
      <c r="S22" s="274"/>
      <c r="U22" s="274"/>
      <c r="V22" s="274"/>
      <c r="W22" s="274"/>
      <c r="Y22" s="667"/>
      <c r="Z22" s="275"/>
    </row>
    <row r="23" spans="1:26" x14ac:dyDescent="0.2">
      <c r="A23" s="252">
        <v>18</v>
      </c>
      <c r="B23" s="277" t="s">
        <v>237</v>
      </c>
      <c r="C23" s="268" t="s">
        <v>238</v>
      </c>
      <c r="D23" s="269">
        <v>0</v>
      </c>
      <c r="E23" s="269" t="s">
        <v>545</v>
      </c>
      <c r="F23" s="270">
        <f t="shared" si="7"/>
        <v>4.7586686714720619E-2</v>
      </c>
      <c r="G23" s="271">
        <f t="shared" si="4"/>
        <v>4.9999998509764908E-2</v>
      </c>
      <c r="H23" s="272"/>
      <c r="I23" s="273">
        <f>'3394'!$J$107</f>
        <v>1762664.8499999999</v>
      </c>
      <c r="J23" s="273">
        <f>'3394'!$J$109</f>
        <v>1677587.65</v>
      </c>
      <c r="K23" s="273">
        <f>'3394'!$J$114</f>
        <v>-83879.38</v>
      </c>
      <c r="L23" s="273">
        <f>'3394'!$J$116</f>
        <v>1678785.4699999997</v>
      </c>
      <c r="M23" s="274">
        <f>'3394'!$J$124</f>
        <v>144035.92000000001</v>
      </c>
      <c r="N23" s="275"/>
      <c r="O23" s="273" cm="1">
        <f t="array" ref="O23:P23">'3394'!E28:F28</f>
        <v>192.97</v>
      </c>
      <c r="P23" s="251">
        <v>0</v>
      </c>
      <c r="Q23" s="274">
        <f t="shared" si="8"/>
        <v>9134.3983520754518</v>
      </c>
      <c r="R23" s="274">
        <f t="shared" si="5"/>
        <v>-434.6757527076748</v>
      </c>
      <c r="S23" s="274">
        <f t="shared" si="6"/>
        <v>8699.7225993677766</v>
      </c>
      <c r="U23" s="274">
        <f t="shared" si="9"/>
        <v>0</v>
      </c>
      <c r="V23" s="274">
        <f t="shared" si="0"/>
        <v>0</v>
      </c>
      <c r="W23" s="274">
        <f t="shared" si="1"/>
        <v>8699.7225993677766</v>
      </c>
      <c r="Y23" s="667"/>
      <c r="Z23" s="275"/>
    </row>
    <row r="24" spans="1:26" x14ac:dyDescent="0.2">
      <c r="A24" s="252">
        <v>19</v>
      </c>
      <c r="B24" s="277" t="s">
        <v>239</v>
      </c>
      <c r="C24" s="278" t="s">
        <v>240</v>
      </c>
      <c r="D24" s="279">
        <v>0</v>
      </c>
      <c r="E24" s="279" t="s">
        <v>545</v>
      </c>
      <c r="F24" s="270">
        <f t="shared" si="7"/>
        <v>2.2190209007542028E-2</v>
      </c>
      <c r="G24" s="271">
        <f t="shared" si="4"/>
        <v>2.3277467921210781E-2</v>
      </c>
      <c r="H24" s="272"/>
      <c r="I24" s="273">
        <f>'3395'!$J$107</f>
        <v>4733496.6499999994</v>
      </c>
      <c r="J24" s="273">
        <f>'3395'!$J$109</f>
        <v>4512401.4499999993</v>
      </c>
      <c r="K24" s="273">
        <f>'3395'!$J$114</f>
        <v>-105037.28</v>
      </c>
      <c r="L24" s="273">
        <f>'3395'!$J$116</f>
        <v>4628459.3699999992</v>
      </c>
      <c r="M24" s="274">
        <f>'3395'!$J$124</f>
        <v>400297.65</v>
      </c>
      <c r="N24" s="275"/>
      <c r="O24" s="273" cm="1">
        <f t="array" ref="O24:P24">'3395'!E28:F28</f>
        <v>537</v>
      </c>
      <c r="P24" s="251">
        <v>0</v>
      </c>
      <c r="Q24" s="274">
        <f t="shared" si="8"/>
        <v>8814.705121042829</v>
      </c>
      <c r="R24" s="274">
        <f t="shared" si="5"/>
        <v>-195.60014897579143</v>
      </c>
      <c r="S24" s="274">
        <f t="shared" si="6"/>
        <v>8619.104972067038</v>
      </c>
      <c r="U24" s="274">
        <f t="shared" si="9"/>
        <v>0</v>
      </c>
      <c r="V24" s="274">
        <f t="shared" si="0"/>
        <v>0</v>
      </c>
      <c r="W24" s="274">
        <f t="shared" si="1"/>
        <v>8619.104972067038</v>
      </c>
      <c r="Y24" s="667"/>
      <c r="Z24" s="275"/>
    </row>
    <row r="25" spans="1:26" x14ac:dyDescent="0.2">
      <c r="A25" s="252">
        <v>20</v>
      </c>
      <c r="B25" s="277" t="s">
        <v>241</v>
      </c>
      <c r="C25" s="278" t="s">
        <v>242</v>
      </c>
      <c r="D25" s="279" t="s">
        <v>431</v>
      </c>
      <c r="E25" s="279" t="s">
        <v>545</v>
      </c>
      <c r="F25" s="270">
        <f t="shared" si="7"/>
        <v>6.794979641799515E-3</v>
      </c>
      <c r="G25" s="271">
        <f t="shared" si="4"/>
        <v>7.1146028028444414E-3</v>
      </c>
      <c r="H25" s="272"/>
      <c r="I25" s="273">
        <f>'3396'!$J$107</f>
        <v>6261771.5199999996</v>
      </c>
      <c r="J25" s="273">
        <f>'3396'!$J$109</f>
        <v>5980461.7599999998</v>
      </c>
      <c r="K25" s="273">
        <f>'3396'!$J$114</f>
        <v>-42548.61</v>
      </c>
      <c r="L25" s="273">
        <f>'3396'!$J$116</f>
        <v>6219222.9099999992</v>
      </c>
      <c r="M25" s="274">
        <f>'3396'!$J$124</f>
        <v>486738.7</v>
      </c>
      <c r="N25" s="275"/>
      <c r="O25" s="273" cm="1">
        <f t="array" ref="O25:P25">'3396'!E28:F28</f>
        <v>702.78</v>
      </c>
      <c r="P25" s="251">
        <v>0</v>
      </c>
      <c r="Q25" s="274">
        <f t="shared" si="8"/>
        <v>8910.0024474230904</v>
      </c>
      <c r="R25" s="274">
        <f t="shared" si="5"/>
        <v>-60.543285238623753</v>
      </c>
      <c r="S25" s="274">
        <f t="shared" si="6"/>
        <v>8849.4591621844665</v>
      </c>
      <c r="U25" s="274">
        <f t="shared" si="9"/>
        <v>8849.4591621844665</v>
      </c>
      <c r="V25" s="274">
        <f t="shared" si="0"/>
        <v>0</v>
      </c>
      <c r="W25" s="274">
        <f t="shared" si="1"/>
        <v>0</v>
      </c>
      <c r="Y25" s="667"/>
      <c r="Z25" s="275"/>
    </row>
    <row r="26" spans="1:26" x14ac:dyDescent="0.2">
      <c r="A26" s="252">
        <v>21</v>
      </c>
      <c r="B26" s="277" t="s">
        <v>243</v>
      </c>
      <c r="C26" s="268" t="s">
        <v>244</v>
      </c>
      <c r="D26" s="269">
        <v>0</v>
      </c>
      <c r="E26" s="269" t="s">
        <v>545</v>
      </c>
      <c r="F26" s="270">
        <f t="shared" si="7"/>
        <v>4.7558479689551E-2</v>
      </c>
      <c r="G26" s="271">
        <f t="shared" si="4"/>
        <v>4.999999654237846E-2</v>
      </c>
      <c r="H26" s="272"/>
      <c r="I26" s="273">
        <f>'3398'!$J$107</f>
        <v>912191.06</v>
      </c>
      <c r="J26" s="273">
        <f>'3398'!$J$109</f>
        <v>867648.46000000008</v>
      </c>
      <c r="K26" s="273">
        <f>'3398'!$J$114</f>
        <v>-43382.42</v>
      </c>
      <c r="L26" s="273">
        <f>'3398'!$J$116</f>
        <v>868808.64</v>
      </c>
      <c r="M26" s="274">
        <f>'3398'!$J$124</f>
        <v>71414.320000000007</v>
      </c>
      <c r="N26" s="275"/>
      <c r="O26" s="273" cm="1">
        <f t="array" ref="O26:P26">'3398'!E28:F28</f>
        <v>102.32000000000001</v>
      </c>
      <c r="P26" s="251">
        <v>0</v>
      </c>
      <c r="Q26" s="274">
        <f t="shared" si="8"/>
        <v>8915.0807271305712</v>
      </c>
      <c r="R26" s="274">
        <f t="shared" si="5"/>
        <v>-423.98768569194681</v>
      </c>
      <c r="S26" s="274">
        <f t="shared" si="6"/>
        <v>8491.0930414386239</v>
      </c>
      <c r="U26" s="274">
        <f t="shared" si="9"/>
        <v>0</v>
      </c>
      <c r="V26" s="274">
        <f t="shared" si="0"/>
        <v>0</v>
      </c>
      <c r="W26" s="274">
        <f t="shared" si="1"/>
        <v>8491.0930414386239</v>
      </c>
      <c r="Y26" s="667"/>
      <c r="Z26" s="275"/>
    </row>
    <row r="27" spans="1:26" x14ac:dyDescent="0.2">
      <c r="A27" s="252">
        <v>22</v>
      </c>
      <c r="B27" s="277" t="s">
        <v>245</v>
      </c>
      <c r="C27" s="268" t="s">
        <v>246</v>
      </c>
      <c r="D27" s="269">
        <v>0</v>
      </c>
      <c r="E27" s="269">
        <v>1</v>
      </c>
      <c r="F27" s="270">
        <f t="shared" si="7"/>
        <v>3.1457981911723776E-2</v>
      </c>
      <c r="G27" s="271">
        <f t="shared" si="4"/>
        <v>3.2507244824096733E-2</v>
      </c>
      <c r="H27" s="272"/>
      <c r="I27" s="273">
        <f>'3400'!$J$107</f>
        <v>1159635.1000000001</v>
      </c>
      <c r="J27" s="273">
        <f>'3400'!$J$109</f>
        <v>1122204.6100000001</v>
      </c>
      <c r="K27" s="273">
        <f>'3400'!$J$114</f>
        <v>-36479.78</v>
      </c>
      <c r="L27" s="273">
        <f>'3400'!$J$116</f>
        <v>1123155.32</v>
      </c>
      <c r="M27" s="274">
        <f>'3400'!$J$124</f>
        <v>86497.22</v>
      </c>
      <c r="N27" s="275"/>
      <c r="O27" s="273" cm="1">
        <f t="array" ref="O27:P27">'3400'!E28:F28</f>
        <v>91.18</v>
      </c>
      <c r="P27" s="251">
        <v>0</v>
      </c>
      <c r="Q27" s="274">
        <f t="shared" si="8"/>
        <v>12718.086203114719</v>
      </c>
      <c r="R27" s="274">
        <f t="shared" si="5"/>
        <v>-400.08532572932654</v>
      </c>
      <c r="S27" s="274">
        <f t="shared" si="6"/>
        <v>12318.000877385392</v>
      </c>
      <c r="U27" s="274">
        <f t="shared" si="9"/>
        <v>0</v>
      </c>
      <c r="V27" s="274">
        <f t="shared" si="0"/>
        <v>12318</v>
      </c>
      <c r="W27" s="274">
        <f t="shared" si="1"/>
        <v>0</v>
      </c>
      <c r="Y27" s="667"/>
      <c r="Z27" s="275"/>
    </row>
    <row r="28" spans="1:26" x14ac:dyDescent="0.2">
      <c r="A28" s="252">
        <v>23</v>
      </c>
      <c r="B28" s="277" t="s">
        <v>247</v>
      </c>
      <c r="C28" s="268" t="s">
        <v>248</v>
      </c>
      <c r="D28" s="269">
        <v>0</v>
      </c>
      <c r="E28" s="269">
        <v>0</v>
      </c>
      <c r="F28" s="270">
        <f t="shared" si="7"/>
        <v>3.0058063157330318E-2</v>
      </c>
      <c r="G28" s="271">
        <f t="shared" si="4"/>
        <v>3.1612757395889965E-2</v>
      </c>
      <c r="H28" s="272"/>
      <c r="I28" s="273">
        <f>'3401'!$J$107</f>
        <v>3413641.4399999995</v>
      </c>
      <c r="J28" s="273">
        <f>'3401'!$J$109</f>
        <v>3245760.8399999994</v>
      </c>
      <c r="K28" s="273">
        <f>'3401'!$J$114</f>
        <v>-102607.45</v>
      </c>
      <c r="L28" s="273">
        <f>'3401'!$J$116</f>
        <v>3311033.9899999993</v>
      </c>
      <c r="M28" s="274">
        <f>'3401'!$J$124</f>
        <v>259437.29</v>
      </c>
      <c r="N28" s="275"/>
      <c r="O28" s="273" cm="1">
        <f t="array" ref="O28:P28">'3401'!E28:F28</f>
        <v>395.41</v>
      </c>
      <c r="P28" s="251">
        <v>0</v>
      </c>
      <c r="Q28" s="274">
        <f t="shared" si="8"/>
        <v>8633.169216762346</v>
      </c>
      <c r="R28" s="274">
        <f t="shared" si="5"/>
        <v>-259.4963455653625</v>
      </c>
      <c r="S28" s="274">
        <f t="shared" si="6"/>
        <v>8373.6728711969827</v>
      </c>
      <c r="U28" s="274">
        <f t="shared" si="9"/>
        <v>0</v>
      </c>
      <c r="V28" s="274">
        <f t="shared" si="0"/>
        <v>0</v>
      </c>
      <c r="W28" s="274">
        <f t="shared" si="1"/>
        <v>8373.6728711969827</v>
      </c>
      <c r="Y28" s="667"/>
      <c r="Z28" s="275"/>
    </row>
    <row r="29" spans="1:26" x14ac:dyDescent="0.2">
      <c r="A29" s="252">
        <v>24</v>
      </c>
      <c r="B29" s="277" t="s">
        <v>249</v>
      </c>
      <c r="C29" s="268" t="s">
        <v>250</v>
      </c>
      <c r="D29" s="269" t="s">
        <v>431</v>
      </c>
      <c r="E29" s="269" t="s">
        <v>545</v>
      </c>
      <c r="F29" s="270">
        <f t="shared" si="7"/>
        <v>1.215139195100846E-2</v>
      </c>
      <c r="G29" s="271">
        <f t="shared" si="4"/>
        <v>1.2760962182831204E-2</v>
      </c>
      <c r="H29" s="272"/>
      <c r="I29" s="273">
        <f>'3413'!$J$107</f>
        <v>3528955.38</v>
      </c>
      <c r="J29" s="273">
        <f>'3413'!$J$109</f>
        <v>3360382.9699999997</v>
      </c>
      <c r="K29" s="273">
        <f>'3413'!$J$114</f>
        <v>-42881.72</v>
      </c>
      <c r="L29" s="273">
        <f>'3413'!$J$116</f>
        <v>3486073.6599999997</v>
      </c>
      <c r="M29" s="274">
        <f>'3413'!$J$124</f>
        <v>297200.24</v>
      </c>
      <c r="N29" s="275"/>
      <c r="O29" s="273" cm="1">
        <f t="array" ref="O29:P29">'3413'!E28:F28</f>
        <v>391.82</v>
      </c>
      <c r="P29" s="251">
        <v>0</v>
      </c>
      <c r="Q29" s="274">
        <f t="shared" si="8"/>
        <v>9006.5728650911133</v>
      </c>
      <c r="R29" s="274">
        <f t="shared" si="5"/>
        <v>-109.44239701903936</v>
      </c>
      <c r="S29" s="274">
        <f t="shared" si="6"/>
        <v>8897.1304680720732</v>
      </c>
      <c r="U29" s="274">
        <f t="shared" si="9"/>
        <v>8897.1304680720732</v>
      </c>
      <c r="V29" s="274">
        <f t="shared" si="0"/>
        <v>0</v>
      </c>
      <c r="W29" s="274">
        <f t="shared" si="1"/>
        <v>0</v>
      </c>
      <c r="Y29" s="667"/>
      <c r="Z29" s="275"/>
    </row>
    <row r="30" spans="1:26" x14ac:dyDescent="0.2">
      <c r="A30" s="252">
        <v>25</v>
      </c>
      <c r="B30" s="277" t="s">
        <v>251</v>
      </c>
      <c r="C30" s="268" t="s">
        <v>252</v>
      </c>
      <c r="D30" s="269">
        <v>0</v>
      </c>
      <c r="E30" s="269" t="s">
        <v>545</v>
      </c>
      <c r="F30" s="270">
        <f t="shared" si="7"/>
        <v>2.0132296544618025E-2</v>
      </c>
      <c r="G30" s="271">
        <f t="shared" si="4"/>
        <v>2.0921901760784994E-2</v>
      </c>
      <c r="H30" s="272"/>
      <c r="I30" s="273">
        <f>'3421'!$J$107</f>
        <v>4975212.33</v>
      </c>
      <c r="J30" s="273">
        <f>'3421'!$J$109</f>
        <v>4787444.8100000005</v>
      </c>
      <c r="K30" s="273">
        <f>'3421'!$J$114</f>
        <v>-100162.45</v>
      </c>
      <c r="L30" s="273">
        <f>'3421'!$J$116</f>
        <v>4875049.88</v>
      </c>
      <c r="M30" s="274">
        <f>'3421'!$J$124</f>
        <v>573403.85</v>
      </c>
      <c r="N30" s="275"/>
      <c r="O30" s="273" cm="1">
        <f t="array" ref="O30:P30">'3421'!E28:F28</f>
        <v>597.46</v>
      </c>
      <c r="P30" s="251">
        <v>0</v>
      </c>
      <c r="Q30" s="274">
        <f t="shared" si="8"/>
        <v>8327.272670973789</v>
      </c>
      <c r="R30" s="274">
        <f t="shared" si="5"/>
        <v>-167.64712281993772</v>
      </c>
      <c r="S30" s="274">
        <f t="shared" si="6"/>
        <v>8159.625548153851</v>
      </c>
      <c r="U30" s="274">
        <f t="shared" si="9"/>
        <v>0</v>
      </c>
      <c r="V30" s="274">
        <f t="shared" si="0"/>
        <v>0</v>
      </c>
      <c r="W30" s="274">
        <f t="shared" si="1"/>
        <v>8159.625548153851</v>
      </c>
      <c r="Y30" s="667"/>
      <c r="Z30" s="275"/>
    </row>
    <row r="31" spans="1:26" x14ac:dyDescent="0.2">
      <c r="A31" s="252">
        <v>26</v>
      </c>
      <c r="B31" s="277" t="s">
        <v>253</v>
      </c>
      <c r="C31" s="268" t="s">
        <v>254</v>
      </c>
      <c r="D31" s="269" t="s">
        <v>431</v>
      </c>
      <c r="E31" s="269" t="s">
        <v>545</v>
      </c>
      <c r="F31" s="270">
        <f t="shared" si="7"/>
        <v>4.7671926954250595E-3</v>
      </c>
      <c r="G31" s="271">
        <f t="shared" si="4"/>
        <v>5.0130836375360203E-3</v>
      </c>
      <c r="H31" s="272"/>
      <c r="I31" s="273">
        <f>'3431'!$J$107</f>
        <v>8782690.9199999999</v>
      </c>
      <c r="J31" s="273">
        <f>'3431'!$J$109</f>
        <v>8351901.3499999996</v>
      </c>
      <c r="K31" s="273">
        <f>'3431'!$J$114</f>
        <v>-41868.78</v>
      </c>
      <c r="L31" s="273">
        <f>'3431'!$J$116</f>
        <v>8740822.1400000006</v>
      </c>
      <c r="M31" s="274">
        <f>'3431'!$J$124</f>
        <v>709458.76</v>
      </c>
      <c r="N31" s="275"/>
      <c r="O31" s="273" cm="1">
        <f t="array" ref="O31:P31">'3431'!E28:F28</f>
        <v>997.3900000000001</v>
      </c>
      <c r="P31" s="251">
        <v>0</v>
      </c>
      <c r="Q31" s="274">
        <f t="shared" si="8"/>
        <v>8805.6737284312039</v>
      </c>
      <c r="R31" s="274">
        <f t="shared" si="5"/>
        <v>-41.97834347647359</v>
      </c>
      <c r="S31" s="274">
        <f t="shared" si="6"/>
        <v>8763.6953849547317</v>
      </c>
      <c r="U31" s="274">
        <f t="shared" si="9"/>
        <v>8763.6953849547317</v>
      </c>
      <c r="V31" s="274">
        <f t="shared" si="0"/>
        <v>0</v>
      </c>
      <c r="W31" s="274">
        <f t="shared" si="1"/>
        <v>0</v>
      </c>
      <c r="Y31" s="667"/>
      <c r="Z31" s="275"/>
    </row>
    <row r="32" spans="1:26" x14ac:dyDescent="0.2">
      <c r="A32" s="252">
        <v>27</v>
      </c>
      <c r="B32" s="277">
        <v>3441</v>
      </c>
      <c r="C32" s="278" t="s">
        <v>255</v>
      </c>
      <c r="D32" s="279" t="s">
        <v>431</v>
      </c>
      <c r="E32" s="279" t="s">
        <v>545</v>
      </c>
      <c r="F32" s="270">
        <f t="shared" si="7"/>
        <v>9.1252850719740139E-3</v>
      </c>
      <c r="G32" s="271">
        <f t="shared" si="4"/>
        <v>9.5642532474761819E-3</v>
      </c>
      <c r="H32" s="272"/>
      <c r="I32" s="273">
        <f>'3441'!$J$107</f>
        <v>4634623.43</v>
      </c>
      <c r="J32" s="273">
        <f>'3441'!$J$109</f>
        <v>4421909.26</v>
      </c>
      <c r="K32" s="273">
        <f>'3441'!$J$114</f>
        <v>-42292.26</v>
      </c>
      <c r="L32" s="273">
        <f>'3441'!$J$116</f>
        <v>4592331.17</v>
      </c>
      <c r="M32" s="274">
        <f>'3441'!$J$124</f>
        <v>382032.54</v>
      </c>
      <c r="N32" s="275"/>
      <c r="O32" s="273" cm="1">
        <f t="array" ref="O32:P32">'3441'!E28:F28</f>
        <v>522.78</v>
      </c>
      <c r="P32" s="251">
        <v>0</v>
      </c>
      <c r="Q32" s="274">
        <f t="shared" si="8"/>
        <v>8865.3418837752015</v>
      </c>
      <c r="R32" s="274">
        <f t="shared" si="5"/>
        <v>-80.898771949959837</v>
      </c>
      <c r="S32" s="274">
        <f t="shared" si="6"/>
        <v>8784.4431118252414</v>
      </c>
      <c r="U32" s="274">
        <f t="shared" si="9"/>
        <v>8784.4431118252414</v>
      </c>
      <c r="V32" s="274">
        <f t="shared" si="0"/>
        <v>0</v>
      </c>
      <c r="W32" s="274">
        <f t="shared" si="1"/>
        <v>0</v>
      </c>
      <c r="Y32" s="667"/>
      <c r="Z32" s="275"/>
    </row>
    <row r="33" spans="1:26" x14ac:dyDescent="0.2">
      <c r="A33" s="252">
        <v>28</v>
      </c>
      <c r="B33" s="277">
        <v>3924</v>
      </c>
      <c r="C33" s="278" t="s">
        <v>256</v>
      </c>
      <c r="D33" s="269">
        <v>0</v>
      </c>
      <c r="E33" s="269" t="s">
        <v>545</v>
      </c>
      <c r="F33" s="270">
        <f t="shared" si="7"/>
        <v>2.916839001757154E-2</v>
      </c>
      <c r="G33" s="271">
        <f t="shared" si="4"/>
        <v>3.0699708224724585E-2</v>
      </c>
      <c r="H33" s="272"/>
      <c r="I33" s="273">
        <f>'3924'!$J$107</f>
        <v>3555476.3200000003</v>
      </c>
      <c r="J33" s="273">
        <f>'3924'!$J$109</f>
        <v>3378127.22</v>
      </c>
      <c r="K33" s="273">
        <f>'3924'!$J$114</f>
        <v>-103707.52</v>
      </c>
      <c r="L33" s="273">
        <f>'3924'!$J$116</f>
        <v>3451768.8000000003</v>
      </c>
      <c r="M33" s="274">
        <f>'3924'!$J$124</f>
        <v>254398.21</v>
      </c>
      <c r="N33" s="275"/>
      <c r="O33" s="273" cm="1">
        <f t="array" ref="O33:P33">'3924'!E28:F28</f>
        <v>407.16999999999996</v>
      </c>
      <c r="P33" s="251">
        <v>0</v>
      </c>
      <c r="Q33" s="274">
        <f t="shared" si="8"/>
        <v>8732.1667116929057</v>
      </c>
      <c r="R33" s="274">
        <f t="shared" si="5"/>
        <v>-254.70324434511386</v>
      </c>
      <c r="S33" s="274">
        <f t="shared" si="6"/>
        <v>8477.4634673477922</v>
      </c>
      <c r="U33" s="274">
        <f t="shared" si="9"/>
        <v>0</v>
      </c>
      <c r="V33" s="274">
        <f t="shared" si="0"/>
        <v>0</v>
      </c>
      <c r="W33" s="274">
        <f t="shared" si="1"/>
        <v>8477.4634673477922</v>
      </c>
      <c r="Y33" s="667"/>
      <c r="Z33" s="275"/>
    </row>
    <row r="34" spans="1:26" x14ac:dyDescent="0.2">
      <c r="A34" s="252">
        <v>29</v>
      </c>
      <c r="B34" s="277" t="s">
        <v>257</v>
      </c>
      <c r="C34" s="268" t="s">
        <v>258</v>
      </c>
      <c r="D34" s="269" t="s">
        <v>431</v>
      </c>
      <c r="E34" s="269" t="s">
        <v>545</v>
      </c>
      <c r="F34" s="270">
        <f t="shared" si="7"/>
        <v>1.9015692165886354E-2</v>
      </c>
      <c r="G34" s="271">
        <f t="shared" si="4"/>
        <v>1.9999998960285561E-2</v>
      </c>
      <c r="H34" s="272"/>
      <c r="I34" s="273">
        <f>'3941'!$J$107</f>
        <v>2023176.42</v>
      </c>
      <c r="J34" s="273">
        <f>'3941'!$J$109</f>
        <v>1923605.0999999999</v>
      </c>
      <c r="K34" s="273">
        <f>'3941'!$J$114</f>
        <v>-38472.1</v>
      </c>
      <c r="L34" s="273">
        <f>'3941'!$J$116</f>
        <v>1984704.3199999998</v>
      </c>
      <c r="M34" s="274">
        <f>'3941'!$J$124</f>
        <v>151856.59</v>
      </c>
      <c r="N34" s="275"/>
      <c r="O34" s="273" cm="1">
        <f t="array" ref="O34:P34">'3941'!E28:F28</f>
        <v>224.44</v>
      </c>
      <c r="P34" s="251">
        <v>0</v>
      </c>
      <c r="Q34" s="274">
        <f t="shared" si="8"/>
        <v>9014.3308679379788</v>
      </c>
      <c r="R34" s="274">
        <f t="shared" si="5"/>
        <v>-171.41374086615576</v>
      </c>
      <c r="S34" s="274">
        <f t="shared" si="6"/>
        <v>8842.9171270718234</v>
      </c>
      <c r="U34" s="274">
        <f t="shared" si="9"/>
        <v>8842.9171270718234</v>
      </c>
      <c r="V34" s="274">
        <f t="shared" si="0"/>
        <v>0</v>
      </c>
      <c r="W34" s="274">
        <f t="shared" si="1"/>
        <v>0</v>
      </c>
      <c r="Y34" s="667"/>
      <c r="Z34" s="275"/>
    </row>
    <row r="35" spans="1:26" x14ac:dyDescent="0.2">
      <c r="A35" s="252">
        <v>30</v>
      </c>
      <c r="B35" s="277" t="s">
        <v>259</v>
      </c>
      <c r="C35" s="280" t="s">
        <v>260</v>
      </c>
      <c r="D35" s="269">
        <v>0</v>
      </c>
      <c r="E35" s="269" t="s">
        <v>545</v>
      </c>
      <c r="F35" s="270"/>
      <c r="G35" s="271"/>
      <c r="H35" s="272"/>
      <c r="I35" s="273"/>
      <c r="J35" s="273"/>
      <c r="K35" s="273"/>
      <c r="L35" s="273"/>
      <c r="M35" s="274"/>
      <c r="N35" s="275"/>
      <c r="O35" s="273"/>
      <c r="Q35" s="274"/>
      <c r="R35" s="274"/>
      <c r="S35" s="274"/>
      <c r="U35" s="274"/>
      <c r="V35" s="274"/>
      <c r="W35" s="274"/>
      <c r="Y35" s="667"/>
      <c r="Z35" s="275"/>
    </row>
    <row r="36" spans="1:26" x14ac:dyDescent="0.2">
      <c r="A36" s="252">
        <v>31</v>
      </c>
      <c r="B36" s="277" t="s">
        <v>261</v>
      </c>
      <c r="C36" s="268" t="s">
        <v>262</v>
      </c>
      <c r="D36" s="269">
        <v>0</v>
      </c>
      <c r="E36" s="269" t="s">
        <v>545</v>
      </c>
      <c r="F36" s="270">
        <f t="shared" si="7"/>
        <v>1.8970266239894437E-2</v>
      </c>
      <c r="G36" s="271">
        <f t="shared" si="4"/>
        <v>1.9924446289239377E-2</v>
      </c>
      <c r="H36" s="272"/>
      <c r="I36" s="273">
        <f>'3971'!$J$107</f>
        <v>5243512.07</v>
      </c>
      <c r="J36" s="273">
        <f>'3971'!$J$109</f>
        <v>4992400.7200000007</v>
      </c>
      <c r="K36" s="273">
        <f>'3971'!$J$114</f>
        <v>-99470.82</v>
      </c>
      <c r="L36" s="273">
        <f>'3971'!$J$116</f>
        <v>5144041.25</v>
      </c>
      <c r="M36" s="274">
        <f>'3971'!$J$124</f>
        <v>442140.95</v>
      </c>
      <c r="N36" s="275"/>
      <c r="O36" s="273" cm="1">
        <f t="array" ref="O36:P36">'3971'!E28:F28</f>
        <v>627.37</v>
      </c>
      <c r="P36" s="251">
        <v>0</v>
      </c>
      <c r="Q36" s="274">
        <f t="shared" si="8"/>
        <v>8357.9260563941534</v>
      </c>
      <c r="R36" s="274">
        <f t="shared" si="5"/>
        <v>-158.55208250314809</v>
      </c>
      <c r="S36" s="274">
        <f t="shared" si="6"/>
        <v>8199.3739738910044</v>
      </c>
      <c r="U36" s="274">
        <f t="shared" si="9"/>
        <v>0</v>
      </c>
      <c r="V36" s="274">
        <f t="shared" si="0"/>
        <v>0</v>
      </c>
      <c r="W36" s="274">
        <f t="shared" si="1"/>
        <v>8199.3739738910044</v>
      </c>
      <c r="Y36" s="667"/>
      <c r="Z36" s="275"/>
    </row>
    <row r="37" spans="1:26" x14ac:dyDescent="0.2">
      <c r="A37" s="252">
        <v>32</v>
      </c>
      <c r="B37" s="277" t="s">
        <v>263</v>
      </c>
      <c r="C37" s="268" t="s">
        <v>264</v>
      </c>
      <c r="D37" s="269">
        <v>0</v>
      </c>
      <c r="E37" s="269" t="s">
        <v>545</v>
      </c>
      <c r="F37" s="270">
        <f t="shared" si="7"/>
        <v>1.8541520084209631E-2</v>
      </c>
      <c r="G37" s="271">
        <f t="shared" si="4"/>
        <v>1.9545909308011675E-2</v>
      </c>
      <c r="H37" s="272"/>
      <c r="I37" s="273">
        <f>'4001'!$J$107</f>
        <v>5652151.4700000007</v>
      </c>
      <c r="J37" s="273">
        <f>'4001'!$J$109</f>
        <v>5361709.1100000003</v>
      </c>
      <c r="K37" s="273">
        <f>'4001'!$J$114</f>
        <v>-104799.48</v>
      </c>
      <c r="L37" s="273">
        <f>'4001'!$J$116</f>
        <v>5547351.9900000002</v>
      </c>
      <c r="M37" s="274">
        <f>'4001'!$J$124</f>
        <v>410325.1</v>
      </c>
      <c r="N37" s="275"/>
      <c r="O37" s="273" cm="1">
        <f t="array" ref="O37:P37">'4001'!E28:F28</f>
        <v>639.52</v>
      </c>
      <c r="P37" s="251">
        <v>0</v>
      </c>
      <c r="Q37" s="274">
        <f t="shared" si="8"/>
        <v>8838.1152583187395</v>
      </c>
      <c r="R37" s="274">
        <f t="shared" si="5"/>
        <v>-163.8720915686765</v>
      </c>
      <c r="S37" s="274">
        <f t="shared" si="6"/>
        <v>8674.2431667500623</v>
      </c>
      <c r="U37" s="274">
        <f t="shared" si="9"/>
        <v>0</v>
      </c>
      <c r="V37" s="274">
        <f t="shared" si="0"/>
        <v>0</v>
      </c>
      <c r="W37" s="274">
        <f t="shared" si="1"/>
        <v>8674.2431667500623</v>
      </c>
      <c r="Y37" s="667"/>
      <c r="Z37" s="275"/>
    </row>
    <row r="38" spans="1:26" x14ac:dyDescent="0.2">
      <c r="A38" s="252">
        <v>33</v>
      </c>
      <c r="B38" s="277">
        <v>4002</v>
      </c>
      <c r="C38" s="268" t="s">
        <v>265</v>
      </c>
      <c r="D38" s="269">
        <v>0</v>
      </c>
      <c r="E38" s="269" t="s">
        <v>545</v>
      </c>
      <c r="F38" s="270">
        <f t="shared" si="7"/>
        <v>1.3502894279375715E-2</v>
      </c>
      <c r="G38" s="271">
        <f t="shared" si="4"/>
        <v>1.4285387656451315E-2</v>
      </c>
      <c r="H38" s="272"/>
      <c r="I38" s="273">
        <f>'4002'!$J$107</f>
        <v>7761553.7699999996</v>
      </c>
      <c r="J38" s="273">
        <f>'4002'!$J$109</f>
        <v>7336408.5399999991</v>
      </c>
      <c r="K38" s="273">
        <f>'4002'!$J$114</f>
        <v>-104803.44</v>
      </c>
      <c r="L38" s="273">
        <f>'4002'!$J$116</f>
        <v>7656750.3299999991</v>
      </c>
      <c r="M38" s="274">
        <f>'4002'!$J$124</f>
        <v>494080.06</v>
      </c>
      <c r="N38" s="275"/>
      <c r="O38" s="273" cm="1">
        <f t="array" ref="O38:P38">'4002'!E28:F28</f>
        <v>875.0200000000001</v>
      </c>
      <c r="P38" s="251">
        <v>0</v>
      </c>
      <c r="Q38" s="274">
        <f t="shared" si="8"/>
        <v>8870.1444195561235</v>
      </c>
      <c r="R38" s="274">
        <f t="shared" si="5"/>
        <v>-119.77262234006079</v>
      </c>
      <c r="S38" s="274">
        <f t="shared" si="6"/>
        <v>8750.3717972160612</v>
      </c>
      <c r="U38" s="274">
        <f t="shared" si="9"/>
        <v>0</v>
      </c>
      <c r="V38" s="274">
        <f t="shared" si="0"/>
        <v>0</v>
      </c>
      <c r="W38" s="274">
        <f t="shared" si="1"/>
        <v>8750.3717972160612</v>
      </c>
      <c r="Y38" s="667"/>
      <c r="Z38" s="275"/>
    </row>
    <row r="39" spans="1:26" x14ac:dyDescent="0.2">
      <c r="A39" s="252">
        <v>34</v>
      </c>
      <c r="B39" s="277">
        <v>4012</v>
      </c>
      <c r="C39" s="268" t="s">
        <v>266</v>
      </c>
      <c r="D39" s="269" t="s">
        <v>431</v>
      </c>
      <c r="E39" s="269" t="s">
        <v>545</v>
      </c>
      <c r="F39" s="270">
        <f t="shared" si="7"/>
        <v>8.9137248264269751E-3</v>
      </c>
      <c r="G39" s="271">
        <f t="shared" si="4"/>
        <v>9.4151315968787133E-3</v>
      </c>
      <c r="H39" s="272"/>
      <c r="I39" s="273">
        <f>'4012'!$J$107</f>
        <v>4503928.580000001</v>
      </c>
      <c r="J39" s="273">
        <f>'4012'!$J$109</f>
        <v>4264069.9800000014</v>
      </c>
      <c r="K39" s="273">
        <f>'4012'!$J$114</f>
        <v>-40146.78</v>
      </c>
      <c r="L39" s="273">
        <f>'4012'!$J$116</f>
        <v>4463781.8000000007</v>
      </c>
      <c r="M39" s="274">
        <f>'4012'!$J$124</f>
        <v>288517.84000000003</v>
      </c>
      <c r="N39" s="275"/>
      <c r="O39" s="273" cm="1">
        <f t="array" ref="O39:P39">'4012'!E28:F28</f>
        <v>531.05999999999995</v>
      </c>
      <c r="P39" s="251">
        <v>0</v>
      </c>
      <c r="Q39" s="274">
        <f t="shared" si="8"/>
        <v>8481.0164199902101</v>
      </c>
      <c r="R39" s="274">
        <f t="shared" si="5"/>
        <v>-75.597446616201566</v>
      </c>
      <c r="S39" s="274">
        <f t="shared" si="6"/>
        <v>8405.4189733740095</v>
      </c>
      <c r="U39" s="274">
        <f t="shared" si="9"/>
        <v>8405.4189733740095</v>
      </c>
      <c r="V39" s="274">
        <f t="shared" si="0"/>
        <v>0</v>
      </c>
      <c r="W39" s="274">
        <f t="shared" si="1"/>
        <v>0</v>
      </c>
      <c r="Y39" s="667"/>
      <c r="Z39" s="275"/>
    </row>
    <row r="40" spans="1:26" x14ac:dyDescent="0.2">
      <c r="A40" s="252">
        <v>35</v>
      </c>
      <c r="B40" s="277">
        <v>4013</v>
      </c>
      <c r="C40" s="268" t="s">
        <v>267</v>
      </c>
      <c r="D40" s="269" t="s">
        <v>431</v>
      </c>
      <c r="E40" s="269" t="s">
        <v>545</v>
      </c>
      <c r="F40" s="270">
        <f t="shared" si="7"/>
        <v>4.8171476920810426E-3</v>
      </c>
      <c r="G40" s="271">
        <f t="shared" si="4"/>
        <v>5.0415422362733043E-3</v>
      </c>
      <c r="H40" s="272"/>
      <c r="I40" s="273">
        <f>'4013'!$J$107</f>
        <v>9008181.3500000015</v>
      </c>
      <c r="J40" s="273">
        <f>'4013'!$J$109</f>
        <v>8607235.2400000021</v>
      </c>
      <c r="K40" s="273">
        <f>'4013'!$J$114</f>
        <v>-43393.74</v>
      </c>
      <c r="L40" s="273">
        <f>'4013'!$J$116</f>
        <v>8964787.6100000013</v>
      </c>
      <c r="M40" s="274">
        <f>'4013'!$J$124</f>
        <v>692428.09</v>
      </c>
      <c r="N40" s="275"/>
      <c r="O40" s="273" cm="1">
        <f t="array" ref="O40:P40">'4013'!E28:F28</f>
        <v>991.76</v>
      </c>
      <c r="P40" s="251">
        <v>0</v>
      </c>
      <c r="Q40" s="274">
        <f t="shared" si="8"/>
        <v>9083.0254799548293</v>
      </c>
      <c r="R40" s="274">
        <f t="shared" si="5"/>
        <v>-43.754275227877713</v>
      </c>
      <c r="S40" s="274">
        <f t="shared" si="6"/>
        <v>9039.2712047269506</v>
      </c>
      <c r="U40" s="274">
        <f t="shared" si="9"/>
        <v>9039.2712047269506</v>
      </c>
      <c r="V40" s="274">
        <f t="shared" si="0"/>
        <v>0</v>
      </c>
      <c r="W40" s="274">
        <f t="shared" si="1"/>
        <v>0</v>
      </c>
      <c r="Y40" s="667"/>
      <c r="Z40" s="275"/>
    </row>
    <row r="41" spans="1:26" x14ac:dyDescent="0.2">
      <c r="A41" s="252">
        <v>36</v>
      </c>
      <c r="B41" s="277">
        <v>4020</v>
      </c>
      <c r="C41" s="278" t="s">
        <v>268</v>
      </c>
      <c r="D41" s="269">
        <v>0</v>
      </c>
      <c r="E41" s="269" t="s">
        <v>545</v>
      </c>
      <c r="F41" s="270">
        <f t="shared" si="7"/>
        <v>9.6289647439406299E-3</v>
      </c>
      <c r="G41" s="271">
        <f t="shared" si="4"/>
        <v>1.0116543023522795E-2</v>
      </c>
      <c r="H41" s="272"/>
      <c r="I41" s="273">
        <f>'4020'!$J$107</f>
        <v>10934889.969999999</v>
      </c>
      <c r="J41" s="273">
        <f>'4020'!$J$109</f>
        <v>10407870.529999999</v>
      </c>
      <c r="K41" s="273">
        <f>'4020'!$J$114</f>
        <v>-105291.67</v>
      </c>
      <c r="L41" s="273">
        <f>'4020'!$J$116</f>
        <v>10829598.299999999</v>
      </c>
      <c r="M41" s="274">
        <f>'4020'!$J$124</f>
        <v>880883.05</v>
      </c>
      <c r="N41" s="275"/>
      <c r="O41" s="273" cm="1">
        <f t="array" ref="O41:P41">'4020'!E28:F28</f>
        <v>1235.5999999999999</v>
      </c>
      <c r="P41" s="251">
        <v>0</v>
      </c>
      <c r="Q41" s="274">
        <f t="shared" si="8"/>
        <v>8849.8623907413403</v>
      </c>
      <c r="R41" s="274">
        <f t="shared" si="5"/>
        <v>-85.215012949174493</v>
      </c>
      <c r="S41" s="274">
        <f t="shared" si="6"/>
        <v>8764.6473777921656</v>
      </c>
      <c r="U41" s="274">
        <f t="shared" si="9"/>
        <v>0</v>
      </c>
      <c r="V41" s="274">
        <f t="shared" si="0"/>
        <v>0</v>
      </c>
      <c r="W41" s="274">
        <f t="shared" si="1"/>
        <v>8764.6473777921656</v>
      </c>
      <c r="Y41" s="667"/>
      <c r="Z41" s="275"/>
    </row>
    <row r="42" spans="1:26" x14ac:dyDescent="0.2">
      <c r="A42" s="252">
        <v>37</v>
      </c>
      <c r="B42" s="277">
        <v>4030</v>
      </c>
      <c r="C42" s="278" t="s">
        <v>269</v>
      </c>
      <c r="D42" s="269">
        <v>0</v>
      </c>
      <c r="E42" s="269" t="s">
        <v>545</v>
      </c>
      <c r="F42" s="270">
        <f t="shared" si="7"/>
        <v>4.6897889518712481E-2</v>
      </c>
      <c r="G42" s="271">
        <f t="shared" si="4"/>
        <v>5.0000000489484796E-2</v>
      </c>
      <c r="H42" s="272"/>
      <c r="I42" s="273">
        <f>'4030'!$J$107</f>
        <v>2178098.44</v>
      </c>
      <c r="J42" s="273">
        <f>'4030'!$J$109</f>
        <v>2042964.38</v>
      </c>
      <c r="K42" s="273">
        <f>'4030'!$J$114</f>
        <v>-102148.22</v>
      </c>
      <c r="L42" s="273">
        <f>'4030'!$J$116</f>
        <v>2075950.22</v>
      </c>
      <c r="M42" s="274">
        <f>'4030'!$J$124</f>
        <v>101024.31</v>
      </c>
      <c r="N42" s="275"/>
      <c r="O42" s="273" cm="1">
        <f t="array" ref="O42:P42">'4030'!E28:F28</f>
        <v>242.8</v>
      </c>
      <c r="P42" s="251">
        <v>0</v>
      </c>
      <c r="Q42" s="274">
        <f t="shared" si="8"/>
        <v>8970.7514003294891</v>
      </c>
      <c r="R42" s="274">
        <f>K42/O42</f>
        <v>-420.7093080724876</v>
      </c>
      <c r="S42" s="274">
        <f>L42/O42</f>
        <v>8550.0420922570011</v>
      </c>
      <c r="U42" s="274">
        <f t="shared" si="9"/>
        <v>0</v>
      </c>
      <c r="V42" s="274">
        <f t="shared" si="0"/>
        <v>0</v>
      </c>
      <c r="W42" s="274">
        <f>IF(AND(U42=0,V42=0),S42,)</f>
        <v>8550.0420922570011</v>
      </c>
      <c r="Y42" s="667"/>
      <c r="Z42" s="275"/>
    </row>
    <row r="43" spans="1:26" x14ac:dyDescent="0.2">
      <c r="A43" s="252">
        <v>38</v>
      </c>
      <c r="B43" s="277">
        <v>4031</v>
      </c>
      <c r="C43" s="278" t="s">
        <v>270</v>
      </c>
      <c r="D43" s="269">
        <v>0</v>
      </c>
      <c r="E43" s="269" t="s">
        <v>545</v>
      </c>
      <c r="F43" s="270">
        <f t="shared" si="7"/>
        <v>2.9641863193242184E-2</v>
      </c>
      <c r="G43" s="271">
        <f t="shared" si="4"/>
        <v>3.1399935403131594E-2</v>
      </c>
      <c r="H43" s="272"/>
      <c r="I43" s="273">
        <f>'4031'!$J$107</f>
        <v>3498747.3400000003</v>
      </c>
      <c r="J43" s="273">
        <f>'4031'!$J$109</f>
        <v>3302853.6100000003</v>
      </c>
      <c r="K43" s="273">
        <f>'4031'!$J$114</f>
        <v>-103709.39</v>
      </c>
      <c r="L43" s="273">
        <f>'4031'!$J$116</f>
        <v>3395037.95</v>
      </c>
      <c r="M43" s="274">
        <f>'4031'!$J$124</f>
        <v>220857.79</v>
      </c>
      <c r="N43" s="275"/>
      <c r="O43" s="273" cm="1">
        <f t="array" ref="O43:P43">'4031'!E28:F28</f>
        <v>398.09000000000003</v>
      </c>
      <c r="P43" s="251">
        <v>0</v>
      </c>
      <c r="Q43" s="274">
        <f t="shared" si="8"/>
        <v>8788.8350373031226</v>
      </c>
      <c r="R43" s="274">
        <f>K43/O43</f>
        <v>-260.51744580371269</v>
      </c>
      <c r="S43" s="274">
        <f>L43/O43</f>
        <v>8528.3175914994099</v>
      </c>
      <c r="U43" s="274">
        <f t="shared" si="9"/>
        <v>0</v>
      </c>
      <c r="V43" s="274">
        <f t="shared" si="0"/>
        <v>0</v>
      </c>
      <c r="W43" s="274">
        <f>IF(AND(U43=0,V43=0),S43,)</f>
        <v>8528.3175914994099</v>
      </c>
      <c r="Y43" s="667"/>
      <c r="Z43" s="275"/>
    </row>
    <row r="44" spans="1:26" x14ac:dyDescent="0.2">
      <c r="A44" s="252">
        <v>39</v>
      </c>
      <c r="B44" s="281">
        <v>4041</v>
      </c>
      <c r="C44" s="282" t="s">
        <v>271</v>
      </c>
      <c r="D44" s="283" t="s">
        <v>431</v>
      </c>
      <c r="E44" s="283" t="s">
        <v>545</v>
      </c>
      <c r="F44" s="270">
        <f t="shared" si="7"/>
        <v>1.9049745760868569E-2</v>
      </c>
      <c r="G44" s="271">
        <f t="shared" si="4"/>
        <v>2.0000005234586012E-2</v>
      </c>
      <c r="H44" s="272"/>
      <c r="I44" s="273">
        <f>'4041'!$J$107</f>
        <v>802266.35</v>
      </c>
      <c r="J44" s="273">
        <f>'4041'!$J$109</f>
        <v>764148.29999999993</v>
      </c>
      <c r="K44" s="273">
        <f>'4041'!$J$114</f>
        <v>-15282.97</v>
      </c>
      <c r="L44" s="273">
        <f>'4041'!$J$116</f>
        <v>786983.38</v>
      </c>
      <c r="M44" s="274">
        <f>'4041'!$J$124</f>
        <v>66728.55</v>
      </c>
      <c r="N44" s="275"/>
      <c r="O44" s="273" cm="1">
        <f t="array" ref="O44:P44">'4041'!E28:F28</f>
        <v>95.06</v>
      </c>
      <c r="P44" s="251">
        <v>0</v>
      </c>
      <c r="Q44" s="274">
        <f t="shared" si="8"/>
        <v>8439.57868714496</v>
      </c>
      <c r="R44" s="274">
        <f t="shared" si="5"/>
        <v>-160.77182831895644</v>
      </c>
      <c r="S44" s="274">
        <f t="shared" si="6"/>
        <v>8278.8068588260048</v>
      </c>
      <c r="U44" s="274">
        <f t="shared" si="9"/>
        <v>8278.8068588260048</v>
      </c>
      <c r="V44" s="274">
        <f t="shared" si="0"/>
        <v>0</v>
      </c>
      <c r="W44" s="274">
        <f t="shared" si="1"/>
        <v>0</v>
      </c>
      <c r="Y44" s="667"/>
      <c r="Z44" s="275"/>
    </row>
    <row r="45" spans="1:26" x14ac:dyDescent="0.2">
      <c r="A45" s="252">
        <v>40</v>
      </c>
      <c r="B45" s="284">
        <v>4050</v>
      </c>
      <c r="C45" s="285" t="s">
        <v>272</v>
      </c>
      <c r="D45" s="286">
        <v>0</v>
      </c>
      <c r="E45" s="286" t="s">
        <v>545</v>
      </c>
      <c r="F45" s="270">
        <f t="shared" si="7"/>
        <v>1.8619073400368134E-2</v>
      </c>
      <c r="G45" s="271">
        <f t="shared" si="4"/>
        <v>1.9716087848209184E-2</v>
      </c>
      <c r="H45" s="272"/>
      <c r="I45" s="273">
        <f>'4050'!$J$107</f>
        <v>5568945.2300000004</v>
      </c>
      <c r="J45" s="273">
        <f>'4050'!$J$109</f>
        <v>5259085.92</v>
      </c>
      <c r="K45" s="273">
        <f>'4050'!$J$114</f>
        <v>-103688.6</v>
      </c>
      <c r="L45" s="273">
        <f>'4050'!$J$116</f>
        <v>5465256.6300000008</v>
      </c>
      <c r="M45" s="274">
        <f>'4050'!$J$124</f>
        <v>362952.79</v>
      </c>
      <c r="N45" s="275"/>
      <c r="O45" s="273" cm="1">
        <f t="array" ref="O45:P45">'4050'!E28:F28</f>
        <v>634</v>
      </c>
      <c r="P45" s="251">
        <v>0</v>
      </c>
      <c r="Q45" s="274">
        <f t="shared" si="8"/>
        <v>8783.8252839116722</v>
      </c>
      <c r="R45" s="274">
        <f t="shared" si="5"/>
        <v>-163.54668769716091</v>
      </c>
      <c r="S45" s="274">
        <f t="shared" si="6"/>
        <v>8620.2785962145117</v>
      </c>
      <c r="U45" s="274">
        <f t="shared" si="9"/>
        <v>0</v>
      </c>
      <c r="V45" s="274">
        <f t="shared" si="0"/>
        <v>0</v>
      </c>
      <c r="W45" s="274">
        <f t="shared" si="1"/>
        <v>8620.2785962145117</v>
      </c>
      <c r="Y45" s="667"/>
      <c r="Z45" s="275"/>
    </row>
    <row r="46" spans="1:26" x14ac:dyDescent="0.2">
      <c r="A46" s="252">
        <v>41</v>
      </c>
      <c r="B46" s="284">
        <v>4051</v>
      </c>
      <c r="C46" s="285" t="s">
        <v>273</v>
      </c>
      <c r="D46" s="286">
        <v>0</v>
      </c>
      <c r="E46" s="286" t="s">
        <v>545</v>
      </c>
      <c r="F46" s="270">
        <f t="shared" si="7"/>
        <v>1.8895419566685012E-2</v>
      </c>
      <c r="G46" s="271">
        <f t="shared" si="4"/>
        <v>2.0090649853084775E-2</v>
      </c>
      <c r="H46" s="272"/>
      <c r="I46" s="273">
        <f>'4051'!$J$107</f>
        <v>5489923.6099999994</v>
      </c>
      <c r="J46" s="273">
        <f>'4051'!$J$109</f>
        <v>5163317.8</v>
      </c>
      <c r="K46" s="273">
        <f>'4051'!$J$114</f>
        <v>-103734.41</v>
      </c>
      <c r="L46" s="273">
        <f>'4051'!$J$116</f>
        <v>5386189.1999999993</v>
      </c>
      <c r="M46" s="274">
        <f>'4051'!$J$124</f>
        <v>305361.94</v>
      </c>
      <c r="N46" s="275"/>
      <c r="O46" s="273" cm="1">
        <f t="array" ref="O46:P46">'4051'!E28:F28</f>
        <v>622.18000000000006</v>
      </c>
      <c r="P46" s="251">
        <v>0</v>
      </c>
      <c r="Q46" s="274">
        <f t="shared" si="8"/>
        <v>8823.6902664823665</v>
      </c>
      <c r="R46" s="274">
        <f t="shared" si="5"/>
        <v>-166.727329711659</v>
      </c>
      <c r="S46" s="274">
        <f t="shared" si="6"/>
        <v>8656.9629367707075</v>
      </c>
      <c r="U46" s="274">
        <f t="shared" si="9"/>
        <v>0</v>
      </c>
      <c r="V46" s="274">
        <f t="shared" si="0"/>
        <v>0</v>
      </c>
      <c r="W46" s="274">
        <f t="shared" si="1"/>
        <v>8656.9629367707075</v>
      </c>
      <c r="Y46" s="667"/>
      <c r="Z46" s="275"/>
    </row>
    <row r="47" spans="1:26" x14ac:dyDescent="0.2">
      <c r="A47" s="252">
        <v>42</v>
      </c>
      <c r="B47" s="284">
        <v>4061</v>
      </c>
      <c r="C47" s="287" t="s">
        <v>274</v>
      </c>
      <c r="D47" s="286">
        <v>0</v>
      </c>
      <c r="E47" s="286" t="s">
        <v>545</v>
      </c>
      <c r="F47" s="270">
        <f t="shared" si="7"/>
        <v>1.2821042102307287E-2</v>
      </c>
      <c r="G47" s="271">
        <f t="shared" si="4"/>
        <v>1.3499065654312288E-2</v>
      </c>
      <c r="H47" s="272"/>
      <c r="I47" s="273">
        <f>'4061'!$J$107</f>
        <v>8092727.5</v>
      </c>
      <c r="J47" s="273">
        <f>'4061'!$J$109</f>
        <v>7686250.4900000002</v>
      </c>
      <c r="K47" s="273">
        <f>'4061'!$J$114</f>
        <v>-103757.2</v>
      </c>
      <c r="L47" s="273">
        <f>'4061'!$J$116</f>
        <v>7988970.2999999998</v>
      </c>
      <c r="M47" s="274">
        <f>'4061'!$J$124</f>
        <v>588228.61</v>
      </c>
      <c r="N47" s="275"/>
      <c r="O47" s="273" cm="1">
        <f t="array" ref="O47:P47">'4061'!E28:F28</f>
        <v>925.99</v>
      </c>
      <c r="P47" s="251">
        <v>0</v>
      </c>
      <c r="Q47" s="274">
        <f t="shared" si="8"/>
        <v>8739.540923768076</v>
      </c>
      <c r="R47" s="274">
        <f t="shared" si="5"/>
        <v>-112.05002213846801</v>
      </c>
      <c r="S47" s="274">
        <f t="shared" si="6"/>
        <v>8627.4909016296078</v>
      </c>
      <c r="U47" s="274">
        <f t="shared" si="9"/>
        <v>0</v>
      </c>
      <c r="V47" s="274">
        <f t="shared" si="0"/>
        <v>0</v>
      </c>
      <c r="W47" s="274">
        <f t="shared" si="1"/>
        <v>8627.4909016296078</v>
      </c>
      <c r="Y47" s="667"/>
      <c r="Z47" s="275"/>
    </row>
    <row r="48" spans="1:26" x14ac:dyDescent="0.2">
      <c r="A48" s="252">
        <v>43</v>
      </c>
      <c r="B48" s="284">
        <v>4080</v>
      </c>
      <c r="C48" s="288" t="s">
        <v>275</v>
      </c>
      <c r="D48" s="283">
        <v>0</v>
      </c>
      <c r="E48" s="283" t="s">
        <v>545</v>
      </c>
      <c r="F48" s="270"/>
      <c r="G48" s="271"/>
      <c r="H48" s="272"/>
      <c r="I48" s="273"/>
      <c r="J48" s="273"/>
      <c r="K48" s="273"/>
      <c r="L48" s="273"/>
      <c r="M48" s="274"/>
      <c r="N48" s="275"/>
      <c r="O48" s="273"/>
      <c r="Q48" s="274"/>
      <c r="R48" s="274"/>
      <c r="S48" s="274"/>
      <c r="U48" s="274"/>
      <c r="V48" s="274"/>
      <c r="W48" s="274"/>
      <c r="Y48" s="667"/>
      <c r="Z48" s="275"/>
    </row>
    <row r="49" spans="1:26" x14ac:dyDescent="0.2">
      <c r="A49" s="252">
        <v>44</v>
      </c>
      <c r="B49" s="284">
        <v>4081</v>
      </c>
      <c r="C49" s="287" t="s">
        <v>276</v>
      </c>
      <c r="D49" s="283">
        <v>0</v>
      </c>
      <c r="E49" s="283" t="s">
        <v>545</v>
      </c>
      <c r="F49" s="270">
        <f t="shared" si="7"/>
        <v>4.7548338311679698E-2</v>
      </c>
      <c r="G49" s="271">
        <f t="shared" si="4"/>
        <v>4.9999996436095165E-2</v>
      </c>
      <c r="H49" s="272"/>
      <c r="I49" s="273">
        <f>'4081'!$J$107</f>
        <v>1032705.7</v>
      </c>
      <c r="J49" s="273">
        <f>'4081'!$J$109</f>
        <v>982068.87</v>
      </c>
      <c r="K49" s="273">
        <f>'4081'!$J$114</f>
        <v>-49103.44</v>
      </c>
      <c r="L49" s="273">
        <f>'4081'!$J$116</f>
        <v>983602.26</v>
      </c>
      <c r="M49" s="274">
        <f>'4081'!$J$124</f>
        <v>85581.35</v>
      </c>
      <c r="N49" s="275"/>
      <c r="O49" s="273" cm="1">
        <f t="array" ref="O49:P49">'4081'!E28:F28</f>
        <v>123.20000000000002</v>
      </c>
      <c r="P49" s="251">
        <v>0</v>
      </c>
      <c r="Q49" s="274">
        <f t="shared" si="8"/>
        <v>8382.3514610389593</v>
      </c>
      <c r="R49" s="274">
        <f t="shared" si="5"/>
        <v>-398.5668831168831</v>
      </c>
      <c r="S49" s="274">
        <f t="shared" si="6"/>
        <v>7983.784577922077</v>
      </c>
      <c r="U49" s="274">
        <f t="shared" si="9"/>
        <v>0</v>
      </c>
      <c r="V49" s="274">
        <f t="shared" si="0"/>
        <v>0</v>
      </c>
      <c r="W49" s="274">
        <f t="shared" si="1"/>
        <v>7983.784577922077</v>
      </c>
      <c r="Y49" s="667"/>
      <c r="Z49" s="275"/>
    </row>
    <row r="50" spans="1:26" x14ac:dyDescent="0.2">
      <c r="A50" s="252">
        <v>45</v>
      </c>
      <c r="B50" s="284">
        <v>4090</v>
      </c>
      <c r="C50" s="287" t="s">
        <v>277</v>
      </c>
      <c r="D50" s="283">
        <v>0</v>
      </c>
      <c r="E50" s="283" t="s">
        <v>545</v>
      </c>
      <c r="F50" s="270">
        <f t="shared" si="7"/>
        <v>3.7718206632562985E-2</v>
      </c>
      <c r="G50" s="271">
        <f t="shared" si="4"/>
        <v>3.9394895947355173E-2</v>
      </c>
      <c r="H50" s="272"/>
      <c r="I50" s="273">
        <f>'4090'!$J$107</f>
        <v>2662396.73</v>
      </c>
      <c r="J50" s="273">
        <f>'4090'!$J$109</f>
        <v>2549082.25</v>
      </c>
      <c r="K50" s="273">
        <f>'4090'!$J$114</f>
        <v>-100420.83</v>
      </c>
      <c r="L50" s="273">
        <f>'4090'!$J$116</f>
        <v>2561975.9</v>
      </c>
      <c r="M50" s="274">
        <f>'4090'!$J$124</f>
        <v>251142.5</v>
      </c>
      <c r="N50" s="275"/>
      <c r="O50" s="273" cm="1">
        <f t="array" ref="O50:P50">'4090'!E28:F28</f>
        <v>317.29999999999995</v>
      </c>
      <c r="P50" s="251">
        <v>0</v>
      </c>
      <c r="Q50" s="274">
        <f t="shared" si="8"/>
        <v>8390.787046958716</v>
      </c>
      <c r="R50" s="274">
        <f t="shared" si="5"/>
        <v>-316.48543964702179</v>
      </c>
      <c r="S50" s="274">
        <f t="shared" si="6"/>
        <v>8074.3016073116933</v>
      </c>
      <c r="U50" s="274">
        <f t="shared" si="9"/>
        <v>0</v>
      </c>
      <c r="V50" s="274">
        <f t="shared" si="0"/>
        <v>0</v>
      </c>
      <c r="W50" s="274">
        <f t="shared" si="1"/>
        <v>8074.3016073116933</v>
      </c>
      <c r="Y50" s="667"/>
      <c r="Z50" s="275"/>
    </row>
    <row r="51" spans="1:26" x14ac:dyDescent="0.2">
      <c r="A51" s="252">
        <v>46</v>
      </c>
      <c r="B51" s="284">
        <v>4091</v>
      </c>
      <c r="C51" s="287" t="s">
        <v>278</v>
      </c>
      <c r="D51" s="283">
        <v>0</v>
      </c>
      <c r="E51" s="283" t="s">
        <v>545</v>
      </c>
      <c r="F51" s="270">
        <f t="shared" si="7"/>
        <v>3.0174266267871917E-2</v>
      </c>
      <c r="G51" s="271">
        <f t="shared" si="4"/>
        <v>3.1728305553247127E-2</v>
      </c>
      <c r="H51" s="272"/>
      <c r="I51" s="273">
        <f>'4091'!$J$107</f>
        <v>3574202.9000000004</v>
      </c>
      <c r="J51" s="273">
        <f>'4091'!$J$109</f>
        <v>3399139.9200000004</v>
      </c>
      <c r="K51" s="273">
        <f>'4091'!$J$114</f>
        <v>-107848.95</v>
      </c>
      <c r="L51" s="273">
        <f>'4091'!$J$116</f>
        <v>3466353.95</v>
      </c>
      <c r="M51" s="274">
        <f>'4091'!$J$124</f>
        <v>301396.34000000003</v>
      </c>
      <c r="N51" s="275"/>
      <c r="O51" s="273" cm="1">
        <f t="array" ref="O51:P51">'4091'!E28:F28</f>
        <v>393.96999999999997</v>
      </c>
      <c r="P51" s="251">
        <v>0</v>
      </c>
      <c r="Q51" s="274">
        <f t="shared" si="8"/>
        <v>9072.2717465796904</v>
      </c>
      <c r="R51" s="274">
        <f t="shared" si="5"/>
        <v>-273.74914333578698</v>
      </c>
      <c r="S51" s="274">
        <f t="shared" si="6"/>
        <v>8798.5226032439023</v>
      </c>
      <c r="U51" s="274">
        <f t="shared" si="9"/>
        <v>0</v>
      </c>
      <c r="V51" s="274">
        <f t="shared" si="0"/>
        <v>0</v>
      </c>
      <c r="W51" s="274">
        <f t="shared" si="1"/>
        <v>8798.5226032439023</v>
      </c>
      <c r="Y51" s="667"/>
      <c r="Z51" s="275"/>
    </row>
    <row r="52" spans="1:26" x14ac:dyDescent="0.2">
      <c r="A52" s="252">
        <v>47</v>
      </c>
      <c r="B52" s="284">
        <v>4100</v>
      </c>
      <c r="C52" s="287" t="s">
        <v>279</v>
      </c>
      <c r="D52" s="283">
        <v>0</v>
      </c>
      <c r="E52" s="283">
        <v>1</v>
      </c>
      <c r="F52" s="270">
        <f t="shared" si="7"/>
        <v>7.9442640016245351E-3</v>
      </c>
      <c r="G52" s="271">
        <f t="shared" si="4"/>
        <v>8.3603750747042686E-3</v>
      </c>
      <c r="H52" s="272"/>
      <c r="I52" s="273">
        <f>'4100'!$J$107</f>
        <v>3982628.22</v>
      </c>
      <c r="J52" s="273">
        <f>'4100'!$J$109</f>
        <v>3784405.5700000003</v>
      </c>
      <c r="K52" s="273">
        <f>'4100'!$J$114</f>
        <v>-31639.05</v>
      </c>
      <c r="L52" s="273">
        <f>'4100'!$J$116</f>
        <v>3950989.1700000004</v>
      </c>
      <c r="M52" s="274">
        <f>'4100'!$J$124</f>
        <v>366027.42</v>
      </c>
      <c r="N52" s="275"/>
      <c r="O52" s="273" cm="1">
        <f t="array" ref="O52:P52">'4100'!E28:F28</f>
        <v>101.48</v>
      </c>
      <c r="P52" s="251">
        <v>0</v>
      </c>
      <c r="Q52" s="274">
        <f t="shared" si="8"/>
        <v>39245.449546708711</v>
      </c>
      <c r="R52" s="274">
        <f t="shared" si="5"/>
        <v>-311.77621206148996</v>
      </c>
      <c r="S52" s="274">
        <f t="shared" si="6"/>
        <v>38933.673334647225</v>
      </c>
      <c r="U52" s="274">
        <f t="shared" si="9"/>
        <v>0</v>
      </c>
      <c r="V52" s="274">
        <f t="shared" si="0"/>
        <v>38933.67</v>
      </c>
      <c r="W52" s="274">
        <f t="shared" si="1"/>
        <v>0</v>
      </c>
      <c r="Y52" s="667"/>
      <c r="Z52" s="275"/>
    </row>
    <row r="53" spans="1:26" x14ac:dyDescent="0.2">
      <c r="A53" s="252">
        <v>48</v>
      </c>
      <c r="B53" s="284">
        <v>4102</v>
      </c>
      <c r="C53" s="287" t="s">
        <v>280</v>
      </c>
      <c r="D53" s="283">
        <v>0</v>
      </c>
      <c r="E53" s="283" t="s">
        <v>545</v>
      </c>
      <c r="F53" s="270">
        <f t="shared" si="7"/>
        <v>4.8103753975231089E-2</v>
      </c>
      <c r="G53" s="271">
        <f t="shared" si="4"/>
        <v>4.9999997413666716E-2</v>
      </c>
      <c r="H53" s="272"/>
      <c r="I53" s="273">
        <f>'4102'!$J$107</f>
        <v>1607557.4899999998</v>
      </c>
      <c r="J53" s="273">
        <f>'4102'!$J$109</f>
        <v>1546591.0799999998</v>
      </c>
      <c r="K53" s="273">
        <f>'4102'!$J$114</f>
        <v>-77329.55</v>
      </c>
      <c r="L53" s="273">
        <f>'4102'!$J$116</f>
        <v>1530227.9399999997</v>
      </c>
      <c r="M53" s="274">
        <f>'4102'!$J$124</f>
        <v>126926.27</v>
      </c>
      <c r="N53" s="275"/>
      <c r="O53" s="273" cm="1">
        <f t="array" ref="O53:P53">'4102'!E28:F28</f>
        <v>179.43999999999997</v>
      </c>
      <c r="P53" s="251">
        <v>0</v>
      </c>
      <c r="Q53" s="274">
        <v>0</v>
      </c>
      <c r="R53" s="274">
        <v>0</v>
      </c>
      <c r="S53" s="274">
        <v>0</v>
      </c>
      <c r="U53" s="274">
        <f t="shared" si="9"/>
        <v>0</v>
      </c>
      <c r="V53" s="274">
        <f t="shared" si="0"/>
        <v>0</v>
      </c>
      <c r="W53" s="274">
        <f>IF(AND(U53=0,V53=0),S53,)</f>
        <v>0</v>
      </c>
      <c r="Y53" s="667"/>
      <c r="Z53" s="275"/>
    </row>
    <row r="54" spans="1:26" x14ac:dyDescent="0.2">
      <c r="A54" s="252">
        <v>49</v>
      </c>
      <c r="B54" s="284">
        <v>4103</v>
      </c>
      <c r="C54" s="287" t="s">
        <v>281</v>
      </c>
      <c r="D54" s="283">
        <v>0</v>
      </c>
      <c r="E54" s="283" t="s">
        <v>545</v>
      </c>
      <c r="F54" s="270">
        <f>IF(I54=0,0,-K54/I54)</f>
        <v>1.2434172929711364E-2</v>
      </c>
      <c r="G54" s="271">
        <f t="shared" si="4"/>
        <v>1.3050741178103507E-2</v>
      </c>
      <c r="H54" s="272"/>
      <c r="I54" s="273">
        <f>'4103'!$J$107</f>
        <v>8408286.6300000008</v>
      </c>
      <c r="J54" s="273">
        <f>'4103'!$J$109</f>
        <v>8011046.1600000011</v>
      </c>
      <c r="K54" s="273">
        <f>'4103'!$J$114</f>
        <v>-104550.09</v>
      </c>
      <c r="L54" s="273">
        <f>'4103'!$J$116</f>
        <v>8303736.540000001</v>
      </c>
      <c r="M54" s="274">
        <f>'4103'!$J$124</f>
        <v>678379.32</v>
      </c>
      <c r="N54" s="275"/>
      <c r="O54" s="273" cm="1">
        <f t="array" ref="O54:P54">'4103'!E28:F28</f>
        <v>957.8</v>
      </c>
      <c r="P54" s="251">
        <v>0</v>
      </c>
      <c r="Q54" s="274">
        <f>IF(O54=0,0,I54/O54)</f>
        <v>8778.7498747128848</v>
      </c>
      <c r="R54" s="274">
        <f>IF(O54=0,0,K54/O54)</f>
        <v>-109.15649404886197</v>
      </c>
      <c r="S54" s="274">
        <f>IF(O54=0,0,L54/O54)</f>
        <v>8669.5933806640223</v>
      </c>
      <c r="U54" s="274">
        <f t="shared" si="9"/>
        <v>0</v>
      </c>
      <c r="V54" s="274">
        <f t="shared" si="0"/>
        <v>0</v>
      </c>
      <c r="W54" s="274">
        <f>IF(AND(U54=0,V54=0),S54,)</f>
        <v>8669.5933806640223</v>
      </c>
      <c r="Y54" s="667"/>
      <c r="Z54" s="275"/>
    </row>
    <row r="55" spans="1:26" x14ac:dyDescent="0.2">
      <c r="A55" s="252">
        <v>50</v>
      </c>
      <c r="B55" s="284">
        <v>4111</v>
      </c>
      <c r="C55" s="287" t="s">
        <v>282</v>
      </c>
      <c r="D55" s="283">
        <v>0</v>
      </c>
      <c r="E55" s="283" t="s">
        <v>545</v>
      </c>
      <c r="F55" s="270">
        <f>IF(I55=0,0,-K55/I55)</f>
        <v>3.6677724291847166E-2</v>
      </c>
      <c r="G55" s="271">
        <f t="shared" si="4"/>
        <v>3.8444976347769687E-2</v>
      </c>
      <c r="H55" s="272"/>
      <c r="I55" s="273">
        <f>'4111'!$J$107</f>
        <v>2700718.54</v>
      </c>
      <c r="J55" s="273">
        <f>'4111'!$J$109</f>
        <v>2576570.9700000002</v>
      </c>
      <c r="K55" s="273">
        <f>'4111'!$J$114</f>
        <v>-99056.21</v>
      </c>
      <c r="L55" s="273">
        <f>'4111'!$J$116</f>
        <v>2601662.33</v>
      </c>
      <c r="M55" s="274">
        <f>'4111'!$J$124</f>
        <v>235036.64</v>
      </c>
      <c r="N55" s="275"/>
      <c r="O55" s="273" cm="1">
        <f t="array" ref="O55:P55">'4111'!E28:F28</f>
        <v>325.14</v>
      </c>
      <c r="P55" s="251">
        <v>0</v>
      </c>
      <c r="Q55" s="274">
        <f>IF(O55=0,0,I55/O55)</f>
        <v>8306.3250907301481</v>
      </c>
      <c r="R55" s="274">
        <f>IF(O55=0,0,K55/O55)</f>
        <v>-304.65710155625271</v>
      </c>
      <c r="S55" s="274">
        <f>IF(O55=0,0,L55/O55)</f>
        <v>8001.667989173895</v>
      </c>
      <c r="U55" s="274">
        <f t="shared" si="9"/>
        <v>0</v>
      </c>
      <c r="V55" s="274">
        <f t="shared" si="0"/>
        <v>0</v>
      </c>
      <c r="W55" s="274">
        <f>IF(AND(U55=0,V55=0),S55,)</f>
        <v>8001.667989173895</v>
      </c>
      <c r="Y55" s="667"/>
      <c r="Z55" s="275"/>
    </row>
    <row r="56" spans="1:26" x14ac:dyDescent="0.2">
      <c r="A56" s="252">
        <v>51</v>
      </c>
      <c r="B56" s="284">
        <v>4131</v>
      </c>
      <c r="C56" s="287" t="s">
        <v>283</v>
      </c>
      <c r="D56" s="283">
        <v>0</v>
      </c>
      <c r="E56" s="283" t="s">
        <v>545</v>
      </c>
      <c r="F56" s="270">
        <f>IF(I56=0,0,-K56/I56)</f>
        <v>4.7973470174091211E-2</v>
      </c>
      <c r="G56" s="271">
        <f t="shared" si="4"/>
        <v>4.9999995377514726E-2</v>
      </c>
      <c r="H56" s="272"/>
      <c r="I56" s="273">
        <f>'4131'!$J$107</f>
        <v>1014625.5800000001</v>
      </c>
      <c r="J56" s="273">
        <f>'4131'!$J$109</f>
        <v>973502.29</v>
      </c>
      <c r="K56" s="273">
        <f>'4131'!$J$114</f>
        <v>-48675.11</v>
      </c>
      <c r="L56" s="273">
        <f>'4131'!$J$116</f>
        <v>965950.47000000009</v>
      </c>
      <c r="M56" s="274">
        <f>'4131'!$J$124</f>
        <v>88466.91</v>
      </c>
      <c r="N56" s="275"/>
      <c r="O56" s="273" cm="1">
        <f t="array" ref="O56:P56">'4131'!E28:F28</f>
        <v>122.12</v>
      </c>
      <c r="P56" s="251">
        <v>0</v>
      </c>
      <c r="Q56" s="274">
        <f>IF(O56=0,0,I56/O56)</f>
        <v>8308.4308876514915</v>
      </c>
      <c r="R56" s="274">
        <f>IF(O56=0,0,K56/O56)</f>
        <v>-398.58426138224695</v>
      </c>
      <c r="S56" s="274">
        <f>IF(O56=0,0,L56/O56)</f>
        <v>7909.8466262692436</v>
      </c>
      <c r="U56" s="274">
        <f t="shared" si="9"/>
        <v>0</v>
      </c>
      <c r="V56" s="274">
        <f t="shared" si="0"/>
        <v>0</v>
      </c>
      <c r="W56" s="274">
        <f>IF(AND(U56=0,V56=0),S56,)</f>
        <v>7909.8466262692436</v>
      </c>
      <c r="Y56" s="667"/>
      <c r="Z56" s="275"/>
    </row>
    <row r="57" spans="1:26" x14ac:dyDescent="0.2">
      <c r="A57" s="289"/>
    </row>
    <row r="58" spans="1:26" x14ac:dyDescent="0.2">
      <c r="D58" s="252">
        <f>COUNTIF(D6:D57,"H")</f>
        <v>12</v>
      </c>
      <c r="E58" s="291">
        <f>SUM(E6:E57)</f>
        <v>9</v>
      </c>
      <c r="F58" s="272">
        <f>-K58/I58</f>
        <v>1.5275273399416122E-2</v>
      </c>
      <c r="G58" s="272">
        <f t="shared" si="4"/>
        <v>1.6026233136384398E-2</v>
      </c>
      <c r="I58" s="275">
        <f>SUM(I6:I57)</f>
        <v>212627188.72999999</v>
      </c>
      <c r="J58" s="275">
        <f>SUM(J6:J57)</f>
        <v>202663870.69</v>
      </c>
      <c r="K58" s="275">
        <f>SUM(K6:K57)</f>
        <v>-3247938.4400000004</v>
      </c>
      <c r="L58" s="275">
        <f>SUM(L6:L57)</f>
        <v>209379250.28999996</v>
      </c>
      <c r="M58" s="275">
        <f>SUM(M6:M57)</f>
        <v>17456522.309999995</v>
      </c>
      <c r="O58" s="275">
        <f>SUM(O6:O57)</f>
        <v>21356.26</v>
      </c>
      <c r="Q58" s="275">
        <f>SUM(Q6:Q57)</f>
        <v>583879.13985721651</v>
      </c>
      <c r="R58" s="290">
        <f>K58/O58</f>
        <v>-152.08367195379719</v>
      </c>
      <c r="S58" s="290">
        <f>L58/O58</f>
        <v>9804.1159964338312</v>
      </c>
      <c r="U58" s="275">
        <f>AVERAGEIF(U9:U55,"&lt;&gt;0")</f>
        <v>8806.131254362117</v>
      </c>
      <c r="V58" s="275">
        <f>AVERAGEIF(V9:V55,"&lt;&gt;0")</f>
        <v>26725.732499999998</v>
      </c>
      <c r="W58" s="275">
        <f>AVERAGEIF(W6:W56,"&lt;&gt;0")</f>
        <v>8479.068000117375</v>
      </c>
    </row>
    <row r="59" spans="1:26" x14ac:dyDescent="0.2">
      <c r="O59" s="275"/>
    </row>
    <row r="60" spans="1:26" x14ac:dyDescent="0.2">
      <c r="C60" s="251" t="s">
        <v>284</v>
      </c>
      <c r="I60" s="292">
        <f>Consolidated!I142</f>
        <v>212627188.72999999</v>
      </c>
      <c r="J60" s="292">
        <f>Consolidated!I144</f>
        <v>202663870.69</v>
      </c>
      <c r="K60" s="292">
        <f>Consolidated!I155</f>
        <v>34913044.44600001</v>
      </c>
      <c r="L60" s="292">
        <f>I60+K60</f>
        <v>247540233.176</v>
      </c>
      <c r="M60" s="292">
        <f>Consolidated!I159</f>
        <v>17456522.309999995</v>
      </c>
    </row>
    <row r="61" spans="1:26" x14ac:dyDescent="0.2">
      <c r="L61" s="293"/>
    </row>
    <row r="62" spans="1:26" ht="13.5" thickBot="1" x14ac:dyDescent="0.25">
      <c r="C62" s="251" t="s">
        <v>285</v>
      </c>
      <c r="I62" s="294">
        <f>I60-I58</f>
        <v>0</v>
      </c>
      <c r="J62" s="294">
        <f>J60-J58</f>
        <v>0</v>
      </c>
      <c r="K62" s="294">
        <f>K60-K58</f>
        <v>38160982.886000007</v>
      </c>
      <c r="L62" s="294">
        <f>L60-L58</f>
        <v>38160982.886000037</v>
      </c>
      <c r="M62" s="294">
        <f>M60-M58</f>
        <v>0</v>
      </c>
    </row>
    <row r="63" spans="1:26" ht="13.5" thickTop="1" x14ac:dyDescent="0.2">
      <c r="L63" s="290"/>
    </row>
    <row r="64" spans="1:26" x14ac:dyDescent="0.2">
      <c r="L64" s="275"/>
    </row>
    <row r="65" spans="12:12" x14ac:dyDescent="0.2">
      <c r="L65" s="295"/>
    </row>
    <row r="66" spans="12:12" x14ac:dyDescent="0.2">
      <c r="L66" s="533"/>
    </row>
    <row r="67" spans="12:12" x14ac:dyDescent="0.2">
      <c r="L67" s="275"/>
    </row>
  </sheetData>
  <mergeCells count="3">
    <mergeCell ref="I4:L4"/>
    <mergeCell ref="Q4:S4"/>
    <mergeCell ref="U4:W4"/>
  </mergeCells>
  <conditionalFormatting sqref="B6:C7 E6:E7 O6:O7">
    <cfRule type="expression" dxfId="10" priority="3" stopIfTrue="1">
      <formula>MOD(ROW(),2)=0</formula>
    </cfRule>
  </conditionalFormatting>
  <conditionalFormatting sqref="D6:D8">
    <cfRule type="expression" dxfId="9" priority="2" stopIfTrue="1">
      <formula>MOD(ROW(),2)=0</formula>
    </cfRule>
  </conditionalFormatting>
  <conditionalFormatting sqref="F6:G8">
    <cfRule type="expression" dxfId="8" priority="1" stopIfTrue="1">
      <formula>MOD(ROW(),2)=0</formula>
    </cfRule>
  </conditionalFormatting>
  <conditionalFormatting sqref="I6:M56 Q6:S56 U6:W56 B8 B9:G56 O9:O56">
    <cfRule type="expression" dxfId="7" priority="4" stopIfTrue="1">
      <formula>MOD(ROW(),2)=0</formula>
    </cfRule>
  </conditionalFormatting>
  <conditionalFormatting sqref="O59">
    <cfRule type="cellIs" dxfId="6" priority="5" stopIfTrue="1" operator="equal">
      <formula>0</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3CB8-0B22-4075-AE07-7260CBF8B9C4}">
  <dimension ref="A1:J56"/>
  <sheetViews>
    <sheetView workbookViewId="0">
      <selection activeCell="B6" sqref="B6"/>
    </sheetView>
  </sheetViews>
  <sheetFormatPr defaultColWidth="9.140625" defaultRowHeight="12.75" x14ac:dyDescent="0.2"/>
  <cols>
    <col min="1" max="1" width="4.140625" style="251" bestFit="1" customWidth="1"/>
    <col min="2" max="2" width="9.140625" style="251"/>
    <col min="3" max="3" width="52.140625" style="251" bestFit="1" customWidth="1"/>
    <col min="4" max="4" width="2.140625" style="251" customWidth="1"/>
    <col min="5" max="5" width="9.140625" style="251" customWidth="1"/>
    <col min="6" max="6" width="52.140625" style="251" bestFit="1" customWidth="1"/>
    <col min="7" max="16384" width="9.140625" style="251"/>
  </cols>
  <sheetData>
    <row r="1" spans="1:10" x14ac:dyDescent="0.2">
      <c r="B1" s="296" t="s">
        <v>286</v>
      </c>
      <c r="C1" s="297"/>
      <c r="D1" s="297"/>
      <c r="E1" s="298"/>
      <c r="F1" s="297"/>
    </row>
    <row r="2" spans="1:10" x14ac:dyDescent="0.2">
      <c r="B2" s="299"/>
      <c r="C2" s="297"/>
      <c r="D2" s="297"/>
      <c r="E2" s="298"/>
      <c r="F2" s="297"/>
    </row>
    <row r="3" spans="1:10" x14ac:dyDescent="0.2">
      <c r="B3" s="735" t="s">
        <v>287</v>
      </c>
      <c r="C3" s="736"/>
      <c r="D3" s="297"/>
      <c r="E3" s="735" t="s">
        <v>288</v>
      </c>
      <c r="F3" s="736"/>
    </row>
    <row r="4" spans="1:10" x14ac:dyDescent="0.2">
      <c r="B4" s="300" t="s">
        <v>289</v>
      </c>
      <c r="C4" s="301" t="s">
        <v>290</v>
      </c>
      <c r="D4" s="297"/>
      <c r="E4" s="300" t="s">
        <v>289</v>
      </c>
      <c r="F4" s="301" t="s">
        <v>290</v>
      </c>
    </row>
    <row r="5" spans="1:10" x14ac:dyDescent="0.2">
      <c r="A5" s="289">
        <v>1</v>
      </c>
      <c r="B5" s="302" t="s">
        <v>207</v>
      </c>
      <c r="C5" s="303" t="s">
        <v>291</v>
      </c>
      <c r="D5" s="297"/>
      <c r="E5" s="302" t="s">
        <v>245</v>
      </c>
      <c r="F5" s="304" t="s">
        <v>246</v>
      </c>
    </row>
    <row r="6" spans="1:10" x14ac:dyDescent="0.2">
      <c r="A6" s="289">
        <v>2</v>
      </c>
      <c r="B6" s="665" t="s">
        <v>547</v>
      </c>
      <c r="C6" s="255" t="s">
        <v>550</v>
      </c>
      <c r="D6" s="297"/>
      <c r="E6" s="302" t="s">
        <v>257</v>
      </c>
      <c r="F6" s="304" t="s">
        <v>258</v>
      </c>
      <c r="I6" s="305" t="s">
        <v>293</v>
      </c>
    </row>
    <row r="7" spans="1:10" x14ac:dyDescent="0.2">
      <c r="A7" s="289">
        <v>3</v>
      </c>
      <c r="B7" s="302" t="s">
        <v>209</v>
      </c>
      <c r="C7" s="303" t="s">
        <v>292</v>
      </c>
      <c r="D7" s="297"/>
      <c r="E7" s="302" t="s">
        <v>294</v>
      </c>
      <c r="F7" s="304" t="s">
        <v>295</v>
      </c>
    </row>
    <row r="8" spans="1:10" x14ac:dyDescent="0.2">
      <c r="A8" s="289">
        <v>4</v>
      </c>
      <c r="B8" s="302" t="s">
        <v>211</v>
      </c>
      <c r="C8" s="303" t="s">
        <v>212</v>
      </c>
      <c r="D8" s="297"/>
      <c r="E8" s="302" t="s">
        <v>296</v>
      </c>
      <c r="F8" s="304" t="s">
        <v>297</v>
      </c>
    </row>
    <row r="9" spans="1:10" x14ac:dyDescent="0.2">
      <c r="A9" s="289">
        <v>5</v>
      </c>
      <c r="B9" s="302" t="s">
        <v>213</v>
      </c>
      <c r="C9" s="303" t="s">
        <v>214</v>
      </c>
      <c r="D9" s="297"/>
      <c r="E9" s="302" t="s">
        <v>215</v>
      </c>
      <c r="F9" s="303" t="s">
        <v>216</v>
      </c>
      <c r="I9" s="305" t="s">
        <v>298</v>
      </c>
    </row>
    <row r="10" spans="1:10" x14ac:dyDescent="0.2">
      <c r="A10" s="289">
        <v>6</v>
      </c>
      <c r="B10" s="302" t="s">
        <v>215</v>
      </c>
      <c r="C10" s="303" t="s">
        <v>216</v>
      </c>
      <c r="D10" s="297"/>
      <c r="E10" s="302" t="s">
        <v>243</v>
      </c>
      <c r="F10" s="304" t="s">
        <v>244</v>
      </c>
      <c r="I10" s="305" t="s">
        <v>300</v>
      </c>
    </row>
    <row r="11" spans="1:10" x14ac:dyDescent="0.2">
      <c r="A11" s="289">
        <v>7</v>
      </c>
      <c r="B11" s="302" t="s">
        <v>217</v>
      </c>
      <c r="C11" s="304" t="s">
        <v>299</v>
      </c>
      <c r="D11" s="297"/>
      <c r="E11" s="302" t="s">
        <v>302</v>
      </c>
      <c r="F11" s="304" t="s">
        <v>276</v>
      </c>
      <c r="I11" s="306"/>
      <c r="J11" s="307"/>
    </row>
    <row r="12" spans="1:10" x14ac:dyDescent="0.2">
      <c r="A12" s="289">
        <v>8</v>
      </c>
      <c r="B12" s="302" t="s">
        <v>219</v>
      </c>
      <c r="C12" s="304" t="s">
        <v>301</v>
      </c>
      <c r="D12" s="297"/>
      <c r="E12" s="302" t="s">
        <v>303</v>
      </c>
      <c r="F12" s="304" t="s">
        <v>268</v>
      </c>
    </row>
    <row r="13" spans="1:10" x14ac:dyDescent="0.2">
      <c r="A13" s="289">
        <v>9</v>
      </c>
      <c r="B13" s="302" t="s">
        <v>221</v>
      </c>
      <c r="C13" s="304" t="s">
        <v>222</v>
      </c>
      <c r="D13" s="297"/>
      <c r="E13" s="302" t="s">
        <v>304</v>
      </c>
      <c r="F13" s="304" t="s">
        <v>274</v>
      </c>
      <c r="I13" s="308" t="s">
        <v>305</v>
      </c>
    </row>
    <row r="14" spans="1:10" x14ac:dyDescent="0.2">
      <c r="A14" s="289">
        <v>10</v>
      </c>
      <c r="B14" s="302" t="s">
        <v>223</v>
      </c>
      <c r="C14" s="303" t="s">
        <v>224</v>
      </c>
      <c r="D14" s="297"/>
      <c r="E14" s="302" t="s">
        <v>259</v>
      </c>
      <c r="F14" s="303" t="s">
        <v>260</v>
      </c>
      <c r="I14" s="309" t="s">
        <v>207</v>
      </c>
      <c r="J14" s="310" t="s">
        <v>291</v>
      </c>
    </row>
    <row r="15" spans="1:10" x14ac:dyDescent="0.2">
      <c r="A15" s="289">
        <v>11</v>
      </c>
      <c r="B15" s="302" t="s">
        <v>225</v>
      </c>
      <c r="C15" s="304" t="s">
        <v>226</v>
      </c>
      <c r="D15" s="297"/>
      <c r="E15" s="302" t="s">
        <v>233</v>
      </c>
      <c r="F15" s="303" t="s">
        <v>234</v>
      </c>
      <c r="I15" s="306" t="s">
        <v>209</v>
      </c>
      <c r="J15" s="307" t="s">
        <v>292</v>
      </c>
    </row>
    <row r="16" spans="1:10" x14ac:dyDescent="0.2">
      <c r="A16" s="289">
        <v>12</v>
      </c>
      <c r="B16" s="302" t="s">
        <v>227</v>
      </c>
      <c r="C16" s="304" t="s">
        <v>306</v>
      </c>
      <c r="D16" s="297"/>
      <c r="E16" s="302" t="s">
        <v>241</v>
      </c>
      <c r="F16" s="303" t="s">
        <v>307</v>
      </c>
      <c r="I16" s="312">
        <v>3362</v>
      </c>
      <c r="J16" s="313" t="s">
        <v>308</v>
      </c>
    </row>
    <row r="17" spans="1:10" x14ac:dyDescent="0.2">
      <c r="A17" s="289">
        <v>13</v>
      </c>
      <c r="B17" s="302" t="s">
        <v>229</v>
      </c>
      <c r="C17" s="311" t="s">
        <v>230</v>
      </c>
      <c r="D17" s="297"/>
      <c r="E17" s="302" t="s">
        <v>229</v>
      </c>
      <c r="F17" s="311" t="s">
        <v>230</v>
      </c>
      <c r="I17" s="664" t="s">
        <v>547</v>
      </c>
      <c r="J17" s="313" t="s">
        <v>579</v>
      </c>
    </row>
    <row r="18" spans="1:10" x14ac:dyDescent="0.2">
      <c r="A18" s="289">
        <v>14</v>
      </c>
      <c r="B18" s="252">
        <v>3362</v>
      </c>
      <c r="C18" s="251" t="s">
        <v>309</v>
      </c>
      <c r="D18" s="297"/>
      <c r="E18" s="302" t="s">
        <v>231</v>
      </c>
      <c r="F18" s="303" t="s">
        <v>232</v>
      </c>
    </row>
    <row r="19" spans="1:10" x14ac:dyDescent="0.2">
      <c r="A19" s="289">
        <v>15</v>
      </c>
      <c r="B19" s="302" t="s">
        <v>231</v>
      </c>
      <c r="C19" s="303" t="s">
        <v>232</v>
      </c>
      <c r="D19" s="297"/>
      <c r="E19" s="302" t="s">
        <v>211</v>
      </c>
      <c r="F19" s="303" t="s">
        <v>212</v>
      </c>
    </row>
    <row r="20" spans="1:10" x14ac:dyDescent="0.2">
      <c r="A20" s="289">
        <v>16</v>
      </c>
      <c r="B20" s="302" t="s">
        <v>233</v>
      </c>
      <c r="C20" s="303" t="s">
        <v>234</v>
      </c>
      <c r="D20" s="297"/>
      <c r="E20" s="302" t="s">
        <v>237</v>
      </c>
      <c r="F20" s="303" t="s">
        <v>238</v>
      </c>
    </row>
    <row r="21" spans="1:10" x14ac:dyDescent="0.2">
      <c r="A21" s="289">
        <v>17</v>
      </c>
      <c r="B21" s="714" t="s">
        <v>235</v>
      </c>
      <c r="C21" s="715" t="s">
        <v>236</v>
      </c>
      <c r="D21" s="297"/>
      <c r="E21" s="302" t="s">
        <v>310</v>
      </c>
      <c r="F21" s="314" t="s">
        <v>269</v>
      </c>
    </row>
    <row r="22" spans="1:10" x14ac:dyDescent="0.2">
      <c r="A22" s="289">
        <v>18</v>
      </c>
      <c r="B22" s="302" t="s">
        <v>237</v>
      </c>
      <c r="C22" s="303" t="s">
        <v>238</v>
      </c>
      <c r="D22" s="297"/>
      <c r="E22" s="302" t="s">
        <v>221</v>
      </c>
      <c r="F22" s="304" t="s">
        <v>222</v>
      </c>
    </row>
    <row r="23" spans="1:10" x14ac:dyDescent="0.2">
      <c r="A23" s="289">
        <v>19</v>
      </c>
      <c r="B23" s="302" t="s">
        <v>239</v>
      </c>
      <c r="C23" s="304" t="s">
        <v>311</v>
      </c>
      <c r="D23" s="297"/>
      <c r="E23" s="302" t="s">
        <v>312</v>
      </c>
      <c r="F23" s="314" t="s">
        <v>256</v>
      </c>
    </row>
    <row r="24" spans="1:10" x14ac:dyDescent="0.2">
      <c r="A24" s="289">
        <v>20</v>
      </c>
      <c r="B24" s="302" t="s">
        <v>241</v>
      </c>
      <c r="C24" s="303" t="s">
        <v>307</v>
      </c>
      <c r="D24" s="297"/>
      <c r="E24" s="302" t="s">
        <v>261</v>
      </c>
      <c r="F24" s="303" t="s">
        <v>262</v>
      </c>
    </row>
    <row r="25" spans="1:10" x14ac:dyDescent="0.2">
      <c r="A25" s="289">
        <v>21</v>
      </c>
      <c r="B25" s="302" t="s">
        <v>243</v>
      </c>
      <c r="C25" s="304" t="s">
        <v>244</v>
      </c>
      <c r="D25" s="297"/>
      <c r="E25" s="302" t="s">
        <v>207</v>
      </c>
      <c r="F25" s="303" t="s">
        <v>291</v>
      </c>
    </row>
    <row r="26" spans="1:10" x14ac:dyDescent="0.2">
      <c r="A26" s="289">
        <v>22</v>
      </c>
      <c r="B26" s="302" t="s">
        <v>245</v>
      </c>
      <c r="C26" s="304" t="s">
        <v>246</v>
      </c>
      <c r="D26" s="297"/>
      <c r="E26" s="302" t="s">
        <v>225</v>
      </c>
      <c r="F26" s="304" t="s">
        <v>226</v>
      </c>
    </row>
    <row r="27" spans="1:10" x14ac:dyDescent="0.2">
      <c r="A27" s="289">
        <v>23</v>
      </c>
      <c r="B27" s="302" t="s">
        <v>247</v>
      </c>
      <c r="C27" s="303" t="s">
        <v>248</v>
      </c>
      <c r="D27" s="297"/>
      <c r="E27" s="302" t="s">
        <v>217</v>
      </c>
      <c r="F27" s="304" t="s">
        <v>313</v>
      </c>
    </row>
    <row r="28" spans="1:10" x14ac:dyDescent="0.2">
      <c r="A28" s="289">
        <v>24</v>
      </c>
      <c r="B28" s="302" t="s">
        <v>249</v>
      </c>
      <c r="C28" s="304" t="s">
        <v>250</v>
      </c>
      <c r="D28" s="297"/>
      <c r="E28" s="302" t="s">
        <v>247</v>
      </c>
      <c r="F28" s="303" t="s">
        <v>248</v>
      </c>
    </row>
    <row r="29" spans="1:10" x14ac:dyDescent="0.2">
      <c r="A29" s="289">
        <v>25</v>
      </c>
      <c r="B29" s="315" t="s">
        <v>251</v>
      </c>
      <c r="C29" s="304" t="s">
        <v>252</v>
      </c>
      <c r="D29" s="297"/>
      <c r="E29" s="302" t="s">
        <v>314</v>
      </c>
      <c r="F29" s="304" t="s">
        <v>273</v>
      </c>
      <c r="I29" s="256"/>
    </row>
    <row r="30" spans="1:10" x14ac:dyDescent="0.2">
      <c r="A30" s="289">
        <v>26</v>
      </c>
      <c r="B30" s="302" t="s">
        <v>253</v>
      </c>
      <c r="C30" s="303" t="s">
        <v>254</v>
      </c>
      <c r="D30" s="297"/>
      <c r="E30" s="302" t="s">
        <v>317</v>
      </c>
      <c r="F30" s="304" t="s">
        <v>272</v>
      </c>
      <c r="I30" s="256"/>
    </row>
    <row r="31" spans="1:10" x14ac:dyDescent="0.2">
      <c r="A31" s="289">
        <v>27</v>
      </c>
      <c r="B31" s="302" t="s">
        <v>315</v>
      </c>
      <c r="C31" s="304" t="s">
        <v>316</v>
      </c>
      <c r="D31" s="297"/>
      <c r="E31" s="302" t="s">
        <v>318</v>
      </c>
      <c r="F31" s="304" t="s">
        <v>265</v>
      </c>
    </row>
    <row r="32" spans="1:10" x14ac:dyDescent="0.2">
      <c r="A32" s="289">
        <v>28</v>
      </c>
      <c r="B32" s="302" t="s">
        <v>312</v>
      </c>
      <c r="C32" s="314" t="s">
        <v>256</v>
      </c>
      <c r="D32" s="297"/>
      <c r="E32" s="302" t="s">
        <v>263</v>
      </c>
      <c r="F32" s="303" t="s">
        <v>264</v>
      </c>
    </row>
    <row r="33" spans="1:6" x14ac:dyDescent="0.2">
      <c r="A33" s="289">
        <v>29</v>
      </c>
      <c r="B33" s="302" t="s">
        <v>257</v>
      </c>
      <c r="C33" s="304" t="s">
        <v>258</v>
      </c>
      <c r="D33" s="297"/>
      <c r="E33" s="302" t="s">
        <v>253</v>
      </c>
      <c r="F33" s="303" t="s">
        <v>254</v>
      </c>
    </row>
    <row r="34" spans="1:6" x14ac:dyDescent="0.2">
      <c r="A34" s="289">
        <v>30</v>
      </c>
      <c r="B34" s="714" t="s">
        <v>259</v>
      </c>
      <c r="C34" s="716" t="s">
        <v>260</v>
      </c>
      <c r="D34" s="297"/>
      <c r="E34" s="302" t="s">
        <v>235</v>
      </c>
      <c r="F34" s="303" t="s">
        <v>236</v>
      </c>
    </row>
    <row r="35" spans="1:6" x14ac:dyDescent="0.2">
      <c r="A35" s="289">
        <v>31</v>
      </c>
      <c r="B35" s="302" t="s">
        <v>261</v>
      </c>
      <c r="C35" s="303" t="s">
        <v>262</v>
      </c>
      <c r="D35" s="297"/>
      <c r="E35" s="302">
        <v>4111</v>
      </c>
      <c r="F35" s="303" t="s">
        <v>282</v>
      </c>
    </row>
    <row r="36" spans="1:6" x14ac:dyDescent="0.2">
      <c r="A36" s="289">
        <v>32</v>
      </c>
      <c r="B36" s="302" t="s">
        <v>263</v>
      </c>
      <c r="C36" s="303" t="s">
        <v>264</v>
      </c>
      <c r="D36" s="297"/>
      <c r="E36" s="302">
        <v>3362</v>
      </c>
      <c r="F36" s="303" t="s">
        <v>309</v>
      </c>
    </row>
    <row r="37" spans="1:6" x14ac:dyDescent="0.2">
      <c r="A37" s="289">
        <v>33</v>
      </c>
      <c r="B37" s="302" t="s">
        <v>318</v>
      </c>
      <c r="C37" s="304" t="s">
        <v>265</v>
      </c>
      <c r="D37" s="297"/>
      <c r="E37" s="302" t="s">
        <v>249</v>
      </c>
      <c r="F37" s="304" t="s">
        <v>250</v>
      </c>
    </row>
    <row r="38" spans="1:6" x14ac:dyDescent="0.2">
      <c r="A38" s="289">
        <v>34</v>
      </c>
      <c r="B38" s="302" t="s">
        <v>319</v>
      </c>
      <c r="C38" s="314" t="s">
        <v>266</v>
      </c>
      <c r="D38" s="297"/>
      <c r="E38" s="302" t="s">
        <v>321</v>
      </c>
      <c r="F38" s="304" t="s">
        <v>271</v>
      </c>
    </row>
    <row r="39" spans="1:6" x14ac:dyDescent="0.2">
      <c r="A39" s="289">
        <v>35</v>
      </c>
      <c r="B39" s="302" t="s">
        <v>320</v>
      </c>
      <c r="C39" s="303" t="s">
        <v>267</v>
      </c>
      <c r="D39" s="297"/>
      <c r="E39" s="302" t="s">
        <v>320</v>
      </c>
      <c r="F39" s="303" t="s">
        <v>267</v>
      </c>
    </row>
    <row r="40" spans="1:6" x14ac:dyDescent="0.2">
      <c r="A40" s="289">
        <v>36</v>
      </c>
      <c r="B40" s="302" t="s">
        <v>303</v>
      </c>
      <c r="C40" s="304" t="s">
        <v>268</v>
      </c>
      <c r="D40" s="297"/>
      <c r="E40" s="302" t="s">
        <v>319</v>
      </c>
      <c r="F40" s="314" t="s">
        <v>266</v>
      </c>
    </row>
    <row r="41" spans="1:6" x14ac:dyDescent="0.2">
      <c r="A41" s="289">
        <v>37</v>
      </c>
      <c r="B41" s="302" t="s">
        <v>310</v>
      </c>
      <c r="C41" s="303" t="s">
        <v>269</v>
      </c>
      <c r="D41" s="297"/>
      <c r="E41" s="302" t="s">
        <v>239</v>
      </c>
      <c r="F41" s="303" t="s">
        <v>311</v>
      </c>
    </row>
    <row r="42" spans="1:6" x14ac:dyDescent="0.2">
      <c r="A42" s="289">
        <v>38</v>
      </c>
      <c r="B42" s="302">
        <v>4031</v>
      </c>
      <c r="C42" s="304" t="s">
        <v>270</v>
      </c>
      <c r="D42" s="297"/>
      <c r="E42" s="302">
        <v>4091</v>
      </c>
      <c r="F42" s="303" t="s">
        <v>278</v>
      </c>
    </row>
    <row r="43" spans="1:6" x14ac:dyDescent="0.2">
      <c r="A43" s="289">
        <v>39</v>
      </c>
      <c r="B43" s="302" t="s">
        <v>321</v>
      </c>
      <c r="C43" s="304" t="s">
        <v>271</v>
      </c>
      <c r="D43" s="297"/>
      <c r="E43" s="302">
        <v>4031</v>
      </c>
      <c r="F43" s="304" t="s">
        <v>270</v>
      </c>
    </row>
    <row r="44" spans="1:6" x14ac:dyDescent="0.2">
      <c r="A44" s="289">
        <v>40</v>
      </c>
      <c r="B44" s="302" t="s">
        <v>317</v>
      </c>
      <c r="C44" s="304" t="s">
        <v>272</v>
      </c>
      <c r="D44" s="297"/>
      <c r="E44" s="315" t="s">
        <v>322</v>
      </c>
      <c r="F44" s="304" t="s">
        <v>283</v>
      </c>
    </row>
    <row r="45" spans="1:6" x14ac:dyDescent="0.2">
      <c r="A45" s="289">
        <v>41</v>
      </c>
      <c r="B45" s="302" t="s">
        <v>314</v>
      </c>
      <c r="C45" s="304" t="s">
        <v>273</v>
      </c>
      <c r="D45" s="297"/>
      <c r="E45" s="302" t="s">
        <v>213</v>
      </c>
      <c r="F45" s="303" t="s">
        <v>214</v>
      </c>
    </row>
    <row r="46" spans="1:6" x14ac:dyDescent="0.2">
      <c r="A46" s="289">
        <v>42</v>
      </c>
      <c r="B46" s="302" t="s">
        <v>304</v>
      </c>
      <c r="C46" s="304" t="s">
        <v>274</v>
      </c>
      <c r="D46" s="297"/>
      <c r="E46" s="302" t="s">
        <v>315</v>
      </c>
      <c r="F46" s="304" t="s">
        <v>316</v>
      </c>
    </row>
    <row r="47" spans="1:6" x14ac:dyDescent="0.2">
      <c r="A47" s="289">
        <v>43</v>
      </c>
      <c r="B47" s="714" t="s">
        <v>323</v>
      </c>
      <c r="C47" s="716" t="s">
        <v>324</v>
      </c>
      <c r="D47" s="297"/>
      <c r="E47" s="302">
        <v>4090</v>
      </c>
      <c r="F47" s="303" t="s">
        <v>325</v>
      </c>
    </row>
    <row r="48" spans="1:6" x14ac:dyDescent="0.2">
      <c r="A48" s="289">
        <v>44</v>
      </c>
      <c r="B48" s="316" t="s">
        <v>302</v>
      </c>
      <c r="C48" s="251" t="s">
        <v>276</v>
      </c>
      <c r="D48" s="297"/>
      <c r="E48" s="302" t="s">
        <v>326</v>
      </c>
      <c r="F48" s="303" t="s">
        <v>327</v>
      </c>
    </row>
    <row r="49" spans="1:6" x14ac:dyDescent="0.2">
      <c r="A49" s="289">
        <v>45</v>
      </c>
      <c r="B49" s="316">
        <v>4090</v>
      </c>
      <c r="C49" s="251" t="s">
        <v>325</v>
      </c>
      <c r="D49" s="297"/>
      <c r="E49" s="302" t="s">
        <v>227</v>
      </c>
      <c r="F49" s="304" t="s">
        <v>306</v>
      </c>
    </row>
    <row r="50" spans="1:6" x14ac:dyDescent="0.2">
      <c r="A50" s="289">
        <v>46</v>
      </c>
      <c r="B50" s="316">
        <v>4091</v>
      </c>
      <c r="C50" s="251" t="s">
        <v>278</v>
      </c>
      <c r="D50" s="297"/>
      <c r="E50" s="302" t="s">
        <v>209</v>
      </c>
      <c r="F50" s="303" t="s">
        <v>328</v>
      </c>
    </row>
    <row r="51" spans="1:6" x14ac:dyDescent="0.2">
      <c r="A51" s="289">
        <v>47</v>
      </c>
      <c r="B51" s="302" t="s">
        <v>296</v>
      </c>
      <c r="C51" s="304" t="s">
        <v>297</v>
      </c>
      <c r="D51" s="297"/>
      <c r="E51" s="302" t="s">
        <v>219</v>
      </c>
      <c r="F51" s="304" t="s">
        <v>301</v>
      </c>
    </row>
    <row r="52" spans="1:6" x14ac:dyDescent="0.2">
      <c r="A52" s="289">
        <v>48</v>
      </c>
      <c r="B52" s="302" t="s">
        <v>294</v>
      </c>
      <c r="C52" s="304" t="s">
        <v>295</v>
      </c>
      <c r="D52" s="297"/>
      <c r="E52" s="302" t="s">
        <v>323</v>
      </c>
      <c r="F52" s="304" t="s">
        <v>324</v>
      </c>
    </row>
    <row r="53" spans="1:6" x14ac:dyDescent="0.2">
      <c r="A53" s="289">
        <v>49</v>
      </c>
      <c r="B53" s="302" t="s">
        <v>326</v>
      </c>
      <c r="C53" s="317" t="s">
        <v>327</v>
      </c>
      <c r="D53" s="297"/>
      <c r="E53" s="302" t="s">
        <v>223</v>
      </c>
      <c r="F53" s="303" t="s">
        <v>224</v>
      </c>
    </row>
    <row r="54" spans="1:6" x14ac:dyDescent="0.2">
      <c r="A54" s="289">
        <v>50</v>
      </c>
      <c r="B54" s="302">
        <v>4111</v>
      </c>
      <c r="C54" s="304" t="s">
        <v>282</v>
      </c>
      <c r="D54" s="297"/>
      <c r="E54" s="315" t="s">
        <v>251</v>
      </c>
      <c r="F54" s="304" t="s">
        <v>252</v>
      </c>
    </row>
    <row r="55" spans="1:6" x14ac:dyDescent="0.2">
      <c r="A55" s="289">
        <v>51</v>
      </c>
      <c r="B55" s="302" t="s">
        <v>322</v>
      </c>
      <c r="C55" s="304" t="s">
        <v>283</v>
      </c>
      <c r="D55" s="297"/>
      <c r="E55" s="254" t="s">
        <v>547</v>
      </c>
      <c r="F55" s="251" t="s">
        <v>550</v>
      </c>
    </row>
    <row r="56" spans="1:6" x14ac:dyDescent="0.2">
      <c r="D56" s="297"/>
    </row>
  </sheetData>
  <mergeCells count="2">
    <mergeCell ref="B3:C3"/>
    <mergeCell ref="E3:F3"/>
  </mergeCells>
  <conditionalFormatting sqref="B5:C5 B7:C17 B19:C55">
    <cfRule type="expression" dxfId="5" priority="7" stopIfTrue="1">
      <formula>MOD(ROW(),2)=0</formula>
    </cfRule>
  </conditionalFormatting>
  <conditionalFormatting sqref="E5:F24">
    <cfRule type="expression" dxfId="4" priority="6">
      <formula>MOD(ROW(),2)=0</formula>
    </cfRule>
  </conditionalFormatting>
  <conditionalFormatting sqref="E25:F25">
    <cfRule type="expression" dxfId="3" priority="5" stopIfTrue="1">
      <formula>MOD(ROW(),2)=0</formula>
    </cfRule>
  </conditionalFormatting>
  <conditionalFormatting sqref="E26:F54">
    <cfRule type="expression" dxfId="2" priority="1">
      <formula>MOD(ROW(),2)=0</formula>
    </cfRule>
  </conditionalFormatting>
  <conditionalFormatting sqref="I11:J11">
    <cfRule type="expression" dxfId="1" priority="2" stopIfTrue="1">
      <formula>MOD(ROW(),2)=0</formula>
    </cfRule>
  </conditionalFormatting>
  <conditionalFormatting sqref="I15:J15">
    <cfRule type="expression" dxfId="0" priority="3" stopIfTrue="1">
      <formula>MOD(ROW(),2)=0</formula>
    </cfRule>
  </conditionalFormatting>
  <pageMargins left="0.7" right="0.7" top="0.75" bottom="0.75" header="0.3" footer="0.3"/>
  <pageSetup orientation="portrait" verticalDpi="1200" r:id="rId1"/>
  <ignoredErrors>
    <ignoredError sqref="I17 I14:I15"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88284-B928-4091-81D2-B73D95EB542A}">
  <sheetPr>
    <pageSetUpPr fitToPage="1"/>
  </sheetPr>
  <dimension ref="A1:R129"/>
  <sheetViews>
    <sheetView topLeftCell="A4" workbookViewId="0">
      <pane ySplit="1" topLeftCell="A38" activePane="bottomLeft" state="frozen"/>
      <selection activeCell="D4" sqref="D4"/>
      <selection pane="bottomLeft" activeCell="D28" sqref="D28"/>
    </sheetView>
  </sheetViews>
  <sheetFormatPr defaultColWidth="9.140625" defaultRowHeight="15" x14ac:dyDescent="0.25"/>
  <cols>
    <col min="1" max="1" width="9.140625" style="469"/>
    <col min="2" max="2" width="11.5703125" style="468" bestFit="1" customWidth="1"/>
    <col min="3" max="3" width="37.140625" style="469" customWidth="1"/>
    <col min="4" max="4" width="16.28515625" style="470" bestFit="1" customWidth="1"/>
    <col min="5" max="5" width="15.140625" style="470" bestFit="1" customWidth="1"/>
    <col min="6" max="7" width="15.140625" style="469" bestFit="1" customWidth="1"/>
    <col min="8" max="8" width="15" style="469" bestFit="1" customWidth="1"/>
    <col min="9" max="9" width="14.28515625" style="469" bestFit="1" customWidth="1"/>
    <col min="10" max="10" width="16.85546875" style="469" bestFit="1" customWidth="1"/>
    <col min="11" max="11" width="14.140625" style="471" customWidth="1"/>
    <col min="12" max="12" width="14" style="469" bestFit="1" customWidth="1"/>
    <col min="13" max="13" width="14.28515625" style="469" bestFit="1" customWidth="1"/>
    <col min="14" max="15" width="14" style="469" bestFit="1" customWidth="1"/>
    <col min="16" max="16" width="14" style="472" bestFit="1" customWidth="1"/>
    <col min="17" max="18" width="15.28515625" style="469" bestFit="1" customWidth="1"/>
    <col min="19" max="16384" width="9.140625" style="469"/>
  </cols>
  <sheetData>
    <row r="1" spans="1:18" x14ac:dyDescent="0.25">
      <c r="A1" s="467" t="s">
        <v>410</v>
      </c>
    </row>
    <row r="2" spans="1:18" x14ac:dyDescent="0.25">
      <c r="C2" s="473"/>
      <c r="D2" s="474"/>
      <c r="E2" s="474"/>
      <c r="F2" s="473"/>
      <c r="G2" s="473"/>
    </row>
    <row r="4" spans="1:18" s="475" customFormat="1" ht="45" x14ac:dyDescent="0.25">
      <c r="A4" s="475" t="s">
        <v>52</v>
      </c>
      <c r="B4" s="476" t="s">
        <v>52</v>
      </c>
      <c r="C4" s="475" t="s">
        <v>52</v>
      </c>
      <c r="D4" s="477" t="s">
        <v>199</v>
      </c>
      <c r="E4" s="477" t="s">
        <v>411</v>
      </c>
      <c r="F4" s="476" t="s">
        <v>412</v>
      </c>
      <c r="G4" s="476" t="s">
        <v>413</v>
      </c>
      <c r="H4" s="476" t="s">
        <v>414</v>
      </c>
      <c r="I4" s="476" t="s">
        <v>415</v>
      </c>
      <c r="J4" s="476" t="s">
        <v>416</v>
      </c>
      <c r="K4" s="478" t="s">
        <v>417</v>
      </c>
      <c r="L4" s="476" t="s">
        <v>418</v>
      </c>
      <c r="M4" s="476" t="s">
        <v>419</v>
      </c>
      <c r="N4" s="476" t="s">
        <v>420</v>
      </c>
      <c r="O4" s="476" t="s">
        <v>421</v>
      </c>
      <c r="P4" s="479" t="s">
        <v>422</v>
      </c>
      <c r="Q4" s="476" t="s">
        <v>125</v>
      </c>
      <c r="R4" s="480" t="s">
        <v>423</v>
      </c>
    </row>
    <row r="5" spans="1:18" s="475" customFormat="1" x14ac:dyDescent="0.25">
      <c r="A5" s="469">
        <v>1</v>
      </c>
      <c r="B5" s="481" t="s">
        <v>207</v>
      </c>
      <c r="C5" s="469" t="s">
        <v>208</v>
      </c>
      <c r="D5" s="482">
        <f>'Annual Rev &amp; Fees'!L6</f>
        <v>198409.44</v>
      </c>
      <c r="E5" s="482">
        <v>24451.48</v>
      </c>
      <c r="F5" s="483">
        <v>24870.66</v>
      </c>
      <c r="G5" s="526">
        <v>24870.66</v>
      </c>
      <c r="H5" s="483">
        <v>24538.62</v>
      </c>
      <c r="I5" s="483">
        <v>24538.63</v>
      </c>
      <c r="J5" s="483">
        <v>24538.62</v>
      </c>
      <c r="K5" s="484">
        <v>24538.63</v>
      </c>
      <c r="L5" s="484">
        <v>4207.2299999999996</v>
      </c>
      <c r="M5" s="484">
        <v>4207.2299999999996</v>
      </c>
      <c r="N5" s="483">
        <v>4207.24</v>
      </c>
      <c r="O5" s="483">
        <v>6720.22</v>
      </c>
      <c r="P5" s="483"/>
      <c r="Q5" s="485">
        <f>SUM(E5:P5)</f>
        <v>191689.22000000003</v>
      </c>
      <c r="R5" s="485">
        <v>0</v>
      </c>
    </row>
    <row r="6" spans="1:18" s="475" customFormat="1" x14ac:dyDescent="0.25">
      <c r="A6" s="469">
        <v>2</v>
      </c>
      <c r="B6" s="481" t="s">
        <v>547</v>
      </c>
      <c r="C6" s="469" t="s">
        <v>548</v>
      </c>
      <c r="D6" s="482">
        <f>'Annual Rev &amp; Fees'!L7</f>
        <v>991046.95</v>
      </c>
      <c r="E6" s="482"/>
      <c r="F6" s="483"/>
      <c r="G6" s="526"/>
      <c r="H6" s="483">
        <v>43342.64</v>
      </c>
      <c r="I6" s="483">
        <v>43342.64</v>
      </c>
      <c r="J6" s="483">
        <v>43342.64</v>
      </c>
      <c r="K6" s="484">
        <v>43342.64</v>
      </c>
      <c r="L6" s="484">
        <v>96450.38</v>
      </c>
      <c r="M6" s="484">
        <v>96450.39</v>
      </c>
      <c r="N6" s="483">
        <v>96450.38</v>
      </c>
      <c r="O6" s="483">
        <v>264162.62</v>
      </c>
      <c r="P6" s="483"/>
      <c r="Q6" s="485">
        <f>SUM(E6:P6)</f>
        <v>726884.33000000007</v>
      </c>
      <c r="R6" s="485"/>
    </row>
    <row r="7" spans="1:18" s="475" customFormat="1" x14ac:dyDescent="0.25">
      <c r="A7" s="469">
        <v>3</v>
      </c>
      <c r="B7" s="481" t="s">
        <v>209</v>
      </c>
      <c r="C7" s="469" t="s">
        <v>210</v>
      </c>
      <c r="D7" s="482">
        <f>'Annual Rev &amp; Fees'!L8</f>
        <v>886313.41000000015</v>
      </c>
      <c r="E7" s="482">
        <v>22293.06</v>
      </c>
      <c r="F7" s="483">
        <v>22269.68</v>
      </c>
      <c r="G7" s="526">
        <v>22269.68</v>
      </c>
      <c r="H7" s="483">
        <v>26670.77</v>
      </c>
      <c r="I7" s="483">
        <v>26670.78</v>
      </c>
      <c r="J7" s="483">
        <v>26737.89</v>
      </c>
      <c r="K7" s="484">
        <v>28707.39</v>
      </c>
      <c r="L7" s="484">
        <v>134387.78</v>
      </c>
      <c r="M7" s="484">
        <v>134387.78</v>
      </c>
      <c r="N7" s="483">
        <v>134387.78</v>
      </c>
      <c r="O7" s="483">
        <v>153765.41</v>
      </c>
      <c r="P7" s="483"/>
      <c r="Q7" s="485">
        <f t="shared" ref="Q7:Q55" si="0">SUM(E7:P7)</f>
        <v>732548.00000000012</v>
      </c>
      <c r="R7" s="485">
        <v>0</v>
      </c>
    </row>
    <row r="8" spans="1:18" x14ac:dyDescent="0.25">
      <c r="A8" s="469">
        <v>4</v>
      </c>
      <c r="B8" s="468" t="s">
        <v>211</v>
      </c>
      <c r="C8" s="469" t="s">
        <v>212</v>
      </c>
      <c r="D8" s="470">
        <f>'Annual Rev &amp; Fees'!L9</f>
        <v>7433616.4799999986</v>
      </c>
      <c r="E8" s="486">
        <v>485398.34</v>
      </c>
      <c r="F8" s="487">
        <v>492757.49</v>
      </c>
      <c r="G8" s="488">
        <v>662254.39</v>
      </c>
      <c r="H8" s="489">
        <v>675822.09</v>
      </c>
      <c r="I8" s="488">
        <v>659372.19999999995</v>
      </c>
      <c r="J8" s="483">
        <v>659372.19999999995</v>
      </c>
      <c r="K8" s="490">
        <v>659372.19999999995</v>
      </c>
      <c r="L8" s="490">
        <v>654512.44999999995</v>
      </c>
      <c r="M8" s="491">
        <v>654512.44999999995</v>
      </c>
      <c r="N8" s="485">
        <v>654512.44999999995</v>
      </c>
      <c r="O8" s="472">
        <v>587865.11</v>
      </c>
      <c r="Q8" s="485">
        <f t="shared" si="0"/>
        <v>6845751.370000001</v>
      </c>
      <c r="R8" s="485">
        <v>0</v>
      </c>
    </row>
    <row r="9" spans="1:18" x14ac:dyDescent="0.25">
      <c r="A9" s="469">
        <v>5</v>
      </c>
      <c r="B9" s="468" t="s">
        <v>213</v>
      </c>
      <c r="C9" s="469" t="s">
        <v>214</v>
      </c>
      <c r="D9" s="470">
        <f>'Annual Rev &amp; Fees'!L10</f>
        <v>10275355.180000002</v>
      </c>
      <c r="E9" s="492">
        <v>795164.86</v>
      </c>
      <c r="F9" s="487">
        <v>808415.92</v>
      </c>
      <c r="G9" s="488">
        <v>876352.53</v>
      </c>
      <c r="H9" s="489">
        <v>860836.4</v>
      </c>
      <c r="I9" s="488">
        <v>860836.4</v>
      </c>
      <c r="J9" s="483">
        <v>860836.4</v>
      </c>
      <c r="K9" s="490">
        <v>860836.4</v>
      </c>
      <c r="L9" s="490">
        <v>896456.63</v>
      </c>
      <c r="M9" s="491">
        <v>896456.63</v>
      </c>
      <c r="N9" s="485">
        <v>896456.62</v>
      </c>
      <c r="O9" s="472">
        <v>831353.2</v>
      </c>
      <c r="Q9" s="485">
        <f t="shared" si="0"/>
        <v>9444001.9900000002</v>
      </c>
      <c r="R9" s="485">
        <v>0</v>
      </c>
    </row>
    <row r="10" spans="1:18" x14ac:dyDescent="0.25">
      <c r="A10" s="469">
        <v>6</v>
      </c>
      <c r="B10" s="468" t="s">
        <v>215</v>
      </c>
      <c r="C10" s="469" t="s">
        <v>216</v>
      </c>
      <c r="D10" s="470">
        <f>'Annual Rev &amp; Fees'!L11</f>
        <v>1332993.8699999999</v>
      </c>
      <c r="E10" s="492">
        <v>112200.54</v>
      </c>
      <c r="F10" s="487">
        <v>112562.16</v>
      </c>
      <c r="G10" s="488">
        <v>112694.39999999999</v>
      </c>
      <c r="H10" s="489">
        <v>109553.39</v>
      </c>
      <c r="I10" s="488">
        <v>109553.39</v>
      </c>
      <c r="J10" s="483">
        <v>109705.04</v>
      </c>
      <c r="K10" s="490">
        <v>109705.05</v>
      </c>
      <c r="L10" s="490">
        <v>112560.37</v>
      </c>
      <c r="M10" s="491">
        <v>112560.37</v>
      </c>
      <c r="N10" s="485">
        <v>112560.37</v>
      </c>
      <c r="O10" s="472">
        <v>109669.4</v>
      </c>
      <c r="Q10" s="485">
        <f t="shared" si="0"/>
        <v>1223324.48</v>
      </c>
      <c r="R10" s="485">
        <v>0</v>
      </c>
    </row>
    <row r="11" spans="1:18" x14ac:dyDescent="0.25">
      <c r="A11" s="469">
        <v>7</v>
      </c>
      <c r="B11" s="493" t="s">
        <v>217</v>
      </c>
      <c r="C11" s="494" t="s">
        <v>218</v>
      </c>
      <c r="D11" s="486">
        <f>'Annual Rev &amp; Fees'!L12</f>
        <v>1449876.8800000001</v>
      </c>
      <c r="E11" s="492">
        <v>128465.38</v>
      </c>
      <c r="F11" s="487">
        <v>132295.12</v>
      </c>
      <c r="G11" s="495">
        <v>132295.12</v>
      </c>
      <c r="H11" s="489">
        <v>136643.49</v>
      </c>
      <c r="I11" s="488">
        <v>136643.49</v>
      </c>
      <c r="J11" s="483">
        <v>137042.07</v>
      </c>
      <c r="K11" s="490">
        <v>136859.32</v>
      </c>
      <c r="L11" s="490">
        <v>99580.83</v>
      </c>
      <c r="M11" s="491">
        <v>99580.83</v>
      </c>
      <c r="N11" s="485">
        <v>99580.83</v>
      </c>
      <c r="O11" s="472">
        <v>105445.2</v>
      </c>
      <c r="Q11" s="485">
        <f t="shared" si="0"/>
        <v>1344431.68</v>
      </c>
      <c r="R11" s="485">
        <v>0</v>
      </c>
    </row>
    <row r="12" spans="1:18" x14ac:dyDescent="0.25">
      <c r="A12" s="469">
        <v>8</v>
      </c>
      <c r="B12" s="468" t="s">
        <v>219</v>
      </c>
      <c r="C12" s="469" t="s">
        <v>220</v>
      </c>
      <c r="D12" s="470">
        <f>'Annual Rev &amp; Fees'!L13</f>
        <v>5909264.3700000001</v>
      </c>
      <c r="E12" s="492">
        <v>440248.86</v>
      </c>
      <c r="F12" s="487">
        <v>446019.94</v>
      </c>
      <c r="G12" s="488">
        <v>446019.95</v>
      </c>
      <c r="H12" s="489">
        <v>454340.22</v>
      </c>
      <c r="I12" s="488">
        <v>454340.22</v>
      </c>
      <c r="J12" s="483">
        <v>455853.95</v>
      </c>
      <c r="K12" s="490">
        <v>455853.95</v>
      </c>
      <c r="L12" s="490">
        <v>477676.86</v>
      </c>
      <c r="M12" s="491">
        <v>477676.86</v>
      </c>
      <c r="N12" s="485">
        <v>477676.86</v>
      </c>
      <c r="O12" s="472">
        <v>661778.35</v>
      </c>
      <c r="Q12" s="485">
        <f t="shared" si="0"/>
        <v>5247486.0199999996</v>
      </c>
      <c r="R12" s="485">
        <v>0</v>
      </c>
    </row>
    <row r="13" spans="1:18" x14ac:dyDescent="0.25">
      <c r="A13" s="469">
        <v>9</v>
      </c>
      <c r="B13" s="468" t="s">
        <v>221</v>
      </c>
      <c r="C13" s="469" t="s">
        <v>222</v>
      </c>
      <c r="D13" s="470">
        <f>'Annual Rev &amp; Fees'!L14</f>
        <v>5043775.71</v>
      </c>
      <c r="E13" s="492">
        <v>433777.9</v>
      </c>
      <c r="F13" s="487">
        <v>438326.62</v>
      </c>
      <c r="G13" s="488">
        <v>438326.62</v>
      </c>
      <c r="H13" s="489">
        <v>441316.79</v>
      </c>
      <c r="I13" s="488">
        <v>441316.79</v>
      </c>
      <c r="J13" s="483">
        <v>441316.79</v>
      </c>
      <c r="K13" s="490">
        <v>441316.79</v>
      </c>
      <c r="L13" s="490">
        <v>401410.35</v>
      </c>
      <c r="M13" s="491">
        <v>401410.35</v>
      </c>
      <c r="N13" s="485">
        <v>401410.34</v>
      </c>
      <c r="O13" s="472">
        <v>381923.19</v>
      </c>
      <c r="Q13" s="485">
        <f t="shared" si="0"/>
        <v>4661852.5300000012</v>
      </c>
      <c r="R13" s="485">
        <v>0</v>
      </c>
    </row>
    <row r="14" spans="1:18" x14ac:dyDescent="0.25">
      <c r="A14" s="469">
        <v>10</v>
      </c>
      <c r="B14" s="468" t="s">
        <v>223</v>
      </c>
      <c r="C14" s="469" t="s">
        <v>224</v>
      </c>
      <c r="D14" s="470">
        <f>'Annual Rev &amp; Fees'!L15</f>
        <v>6827201.2899999991</v>
      </c>
      <c r="E14" s="492">
        <v>505265.93</v>
      </c>
      <c r="F14" s="487">
        <v>513425.85</v>
      </c>
      <c r="G14" s="488">
        <v>513425.85</v>
      </c>
      <c r="H14" s="489">
        <v>511868.89</v>
      </c>
      <c r="I14" s="488">
        <v>511868.89</v>
      </c>
      <c r="J14" s="483">
        <v>511868.89</v>
      </c>
      <c r="K14" s="490">
        <v>511868.9</v>
      </c>
      <c r="L14" s="490">
        <v>655584.5</v>
      </c>
      <c r="M14" s="491">
        <v>655584.5</v>
      </c>
      <c r="N14" s="485">
        <v>655584.5</v>
      </c>
      <c r="O14" s="472">
        <v>640427.29</v>
      </c>
      <c r="Q14" s="485">
        <f t="shared" si="0"/>
        <v>6186773.9900000002</v>
      </c>
      <c r="R14" s="485">
        <v>0</v>
      </c>
    </row>
    <row r="15" spans="1:18" x14ac:dyDescent="0.25">
      <c r="A15" s="469">
        <v>11</v>
      </c>
      <c r="B15" s="468" t="s">
        <v>225</v>
      </c>
      <c r="C15" s="469" t="s">
        <v>226</v>
      </c>
      <c r="D15" s="470">
        <f>'Annual Rev &amp; Fees'!L16</f>
        <v>11274904.82</v>
      </c>
      <c r="E15" s="492">
        <v>858865.25</v>
      </c>
      <c r="F15" s="487">
        <v>869504.11</v>
      </c>
      <c r="G15" s="488">
        <v>869504.11</v>
      </c>
      <c r="H15" s="489">
        <v>890806.34</v>
      </c>
      <c r="I15" s="488">
        <v>890806.34</v>
      </c>
      <c r="J15" s="483">
        <v>892399.18</v>
      </c>
      <c r="K15" s="490">
        <v>892467.27</v>
      </c>
      <c r="L15" s="490">
        <v>1008874.41</v>
      </c>
      <c r="M15" s="491">
        <v>1008874.41</v>
      </c>
      <c r="N15" s="485">
        <v>1008874.4</v>
      </c>
      <c r="O15" s="472">
        <v>1041964.5</v>
      </c>
      <c r="Q15" s="485">
        <f t="shared" si="0"/>
        <v>10232940.32</v>
      </c>
      <c r="R15" s="485">
        <v>0</v>
      </c>
    </row>
    <row r="16" spans="1:18" x14ac:dyDescent="0.25">
      <c r="A16" s="469">
        <v>12</v>
      </c>
      <c r="B16" s="468" t="s">
        <v>227</v>
      </c>
      <c r="C16" s="469" t="s">
        <v>228</v>
      </c>
      <c r="D16" s="470">
        <f>'Annual Rev &amp; Fees'!L17</f>
        <v>6676912.1799999997</v>
      </c>
      <c r="E16" s="492">
        <v>484859.99</v>
      </c>
      <c r="F16" s="487">
        <v>497059.68</v>
      </c>
      <c r="G16" s="488">
        <v>497059.68</v>
      </c>
      <c r="H16" s="489">
        <v>504701.18</v>
      </c>
      <c r="I16" s="488">
        <v>504701.18</v>
      </c>
      <c r="J16" s="483">
        <v>506490.84</v>
      </c>
      <c r="K16" s="490">
        <v>505938.1</v>
      </c>
      <c r="L16" s="490">
        <v>613167.34</v>
      </c>
      <c r="M16" s="491">
        <v>613167.34</v>
      </c>
      <c r="N16" s="485">
        <v>613167.32999999996</v>
      </c>
      <c r="O16" s="472">
        <v>668299.76</v>
      </c>
      <c r="Q16" s="485">
        <f t="shared" si="0"/>
        <v>6008612.4199999999</v>
      </c>
      <c r="R16" s="485">
        <v>0</v>
      </c>
    </row>
    <row r="17" spans="1:18" x14ac:dyDescent="0.25">
      <c r="A17" s="469">
        <v>13</v>
      </c>
      <c r="B17" s="468" t="s">
        <v>229</v>
      </c>
      <c r="C17" s="469" t="s">
        <v>230</v>
      </c>
      <c r="D17" s="470">
        <f>'Annual Rev &amp; Fees'!L18</f>
        <v>1122584.3099999998</v>
      </c>
      <c r="E17" s="492">
        <v>90419.86</v>
      </c>
      <c r="F17" s="487">
        <v>91364.55</v>
      </c>
      <c r="G17" s="488">
        <v>91364.55</v>
      </c>
      <c r="H17" s="489">
        <v>93532.75</v>
      </c>
      <c r="I17" s="488">
        <v>93532.75</v>
      </c>
      <c r="J17" s="483">
        <v>93541.68</v>
      </c>
      <c r="K17" s="490">
        <v>93541.68</v>
      </c>
      <c r="L17" s="490">
        <v>91480.28</v>
      </c>
      <c r="M17" s="491">
        <v>91480.28</v>
      </c>
      <c r="N17" s="485">
        <v>91480.28</v>
      </c>
      <c r="O17" s="472">
        <v>100422.83</v>
      </c>
      <c r="Q17" s="485">
        <f t="shared" si="0"/>
        <v>1022161.4900000001</v>
      </c>
      <c r="R17" s="485">
        <v>0</v>
      </c>
    </row>
    <row r="18" spans="1:18" x14ac:dyDescent="0.25">
      <c r="A18" s="469">
        <v>14</v>
      </c>
      <c r="B18" s="468">
        <v>3362</v>
      </c>
      <c r="C18" s="469" t="s">
        <v>309</v>
      </c>
      <c r="D18" s="470">
        <f>'Annual Rev &amp; Fees'!L19</f>
        <v>1392714.1199999999</v>
      </c>
      <c r="E18" s="492"/>
      <c r="F18" s="487"/>
      <c r="G18" s="488"/>
      <c r="H18" s="489">
        <v>152593</v>
      </c>
      <c r="I18" s="488">
        <v>152593</v>
      </c>
      <c r="J18" s="483">
        <v>152593</v>
      </c>
      <c r="K18" s="490">
        <v>152593</v>
      </c>
      <c r="L18" s="490">
        <v>154690.62</v>
      </c>
      <c r="M18" s="491">
        <v>154690.63</v>
      </c>
      <c r="N18" s="485">
        <v>154690.62</v>
      </c>
      <c r="O18" s="472">
        <v>159135.13</v>
      </c>
      <c r="Q18" s="485">
        <f t="shared" si="0"/>
        <v>1233579</v>
      </c>
      <c r="R18" s="485"/>
    </row>
    <row r="19" spans="1:18" x14ac:dyDescent="0.25">
      <c r="A19" s="469">
        <v>15</v>
      </c>
      <c r="B19" s="468" t="s">
        <v>231</v>
      </c>
      <c r="C19" s="469" t="s">
        <v>232</v>
      </c>
      <c r="D19" s="470">
        <f>'Annual Rev &amp; Fees'!L20</f>
        <v>9214877.6500000004</v>
      </c>
      <c r="E19" s="492">
        <v>750894</v>
      </c>
      <c r="F19" s="487">
        <v>762872.3</v>
      </c>
      <c r="G19" s="488">
        <v>762872.3</v>
      </c>
      <c r="H19" s="489">
        <v>765891.06</v>
      </c>
      <c r="I19" s="488">
        <v>765891.07</v>
      </c>
      <c r="J19" s="483">
        <v>765891.06</v>
      </c>
      <c r="K19" s="490">
        <v>765891.07</v>
      </c>
      <c r="L19" s="490">
        <v>771145.22</v>
      </c>
      <c r="M19" s="491">
        <v>771145.23</v>
      </c>
      <c r="N19" s="485">
        <v>771145.22</v>
      </c>
      <c r="O19" s="472">
        <v>780619.56</v>
      </c>
      <c r="Q19" s="485">
        <f t="shared" si="0"/>
        <v>8434258.0899999999</v>
      </c>
      <c r="R19" s="485">
        <v>0</v>
      </c>
    </row>
    <row r="20" spans="1:18" x14ac:dyDescent="0.25">
      <c r="A20" s="469">
        <v>16</v>
      </c>
      <c r="B20" s="468" t="s">
        <v>233</v>
      </c>
      <c r="C20" s="469" t="s">
        <v>234</v>
      </c>
      <c r="D20" s="470">
        <f>'Annual Rev &amp; Fees'!L21</f>
        <v>2319990.4400000004</v>
      </c>
      <c r="E20" s="492">
        <v>199480.37</v>
      </c>
      <c r="F20" s="487">
        <v>202508.28</v>
      </c>
      <c r="G20" s="488">
        <v>202508.28</v>
      </c>
      <c r="H20" s="489">
        <v>198960.42</v>
      </c>
      <c r="I20" s="488">
        <v>198960.42</v>
      </c>
      <c r="J20" s="483">
        <v>198960.42</v>
      </c>
      <c r="K20" s="490">
        <v>198960.42</v>
      </c>
      <c r="L20" s="490">
        <v>200075</v>
      </c>
      <c r="M20" s="491">
        <v>200075</v>
      </c>
      <c r="N20" s="485">
        <v>200075</v>
      </c>
      <c r="O20" s="472">
        <v>159713.42000000001</v>
      </c>
      <c r="Q20" s="485">
        <f t="shared" si="0"/>
        <v>2160277.0300000003</v>
      </c>
      <c r="R20" s="485">
        <v>0</v>
      </c>
    </row>
    <row r="21" spans="1:18" x14ac:dyDescent="0.25">
      <c r="A21" s="469">
        <v>17</v>
      </c>
      <c r="B21" s="496" t="s">
        <v>235</v>
      </c>
      <c r="C21" s="497" t="s">
        <v>236</v>
      </c>
      <c r="D21" s="498">
        <f>'Annual Rev &amp; Fees'!L22</f>
        <v>0</v>
      </c>
      <c r="E21" s="492"/>
      <c r="F21" s="499">
        <v>0</v>
      </c>
      <c r="G21" s="495"/>
      <c r="H21" s="489"/>
      <c r="I21" s="488"/>
      <c r="J21" s="483"/>
      <c r="K21" s="490"/>
      <c r="L21" s="490"/>
      <c r="M21" s="491"/>
      <c r="N21" s="485"/>
      <c r="O21" s="472"/>
      <c r="Q21" s="485">
        <f t="shared" si="0"/>
        <v>0</v>
      </c>
      <c r="R21" s="485">
        <v>0</v>
      </c>
    </row>
    <row r="22" spans="1:18" x14ac:dyDescent="0.25">
      <c r="A22" s="469">
        <v>18</v>
      </c>
      <c r="B22" s="468" t="s">
        <v>237</v>
      </c>
      <c r="C22" s="469" t="s">
        <v>238</v>
      </c>
      <c r="D22" s="470">
        <f>'Annual Rev &amp; Fees'!L23</f>
        <v>1678785.4699999997</v>
      </c>
      <c r="E22" s="492">
        <v>136646.84</v>
      </c>
      <c r="F22" s="487">
        <v>137857.37</v>
      </c>
      <c r="G22" s="488">
        <v>137857.37</v>
      </c>
      <c r="H22" s="489">
        <v>136608.79999999999</v>
      </c>
      <c r="I22" s="488">
        <v>136608.79999999999</v>
      </c>
      <c r="J22" s="483">
        <v>136608.79</v>
      </c>
      <c r="K22" s="490">
        <v>136608.79999999999</v>
      </c>
      <c r="L22" s="490">
        <v>143972.29</v>
      </c>
      <c r="M22" s="491">
        <v>143972.29</v>
      </c>
      <c r="N22" s="485">
        <v>143972.29</v>
      </c>
      <c r="O22" s="472">
        <v>144035.92000000001</v>
      </c>
      <c r="Q22" s="485">
        <f t="shared" si="0"/>
        <v>1534749.56</v>
      </c>
      <c r="R22" s="485">
        <v>0</v>
      </c>
    </row>
    <row r="23" spans="1:18" x14ac:dyDescent="0.25">
      <c r="A23" s="469">
        <v>19</v>
      </c>
      <c r="B23" s="468" t="s">
        <v>239</v>
      </c>
      <c r="C23" s="469" t="s">
        <v>240</v>
      </c>
      <c r="D23" s="470">
        <f>'Annual Rev &amp; Fees'!L24</f>
        <v>4628459.3699999992</v>
      </c>
      <c r="E23" s="492">
        <v>363962.87</v>
      </c>
      <c r="F23" s="487">
        <v>368541.43</v>
      </c>
      <c r="G23" s="488">
        <v>368541.43</v>
      </c>
      <c r="H23" s="489">
        <v>366702.21</v>
      </c>
      <c r="I23" s="488">
        <v>366702.21</v>
      </c>
      <c r="J23" s="483">
        <v>366702.21</v>
      </c>
      <c r="K23" s="490">
        <v>366702.22</v>
      </c>
      <c r="L23" s="490">
        <v>420003.16</v>
      </c>
      <c r="M23" s="491">
        <v>420003.16</v>
      </c>
      <c r="N23" s="485">
        <v>420003.16</v>
      </c>
      <c r="O23" s="472">
        <v>400297.65</v>
      </c>
      <c r="Q23" s="485">
        <f t="shared" si="0"/>
        <v>4228161.7100000009</v>
      </c>
      <c r="R23" s="485">
        <v>0</v>
      </c>
    </row>
    <row r="24" spans="1:18" x14ac:dyDescent="0.25">
      <c r="A24" s="469">
        <v>20</v>
      </c>
      <c r="B24" s="468" t="s">
        <v>241</v>
      </c>
      <c r="C24" s="469" t="s">
        <v>242</v>
      </c>
      <c r="D24" s="470">
        <f>'Annual Rev &amp; Fees'!L25</f>
        <v>6219222.9099999992</v>
      </c>
      <c r="E24" s="492">
        <v>481353.82</v>
      </c>
      <c r="F24" s="487">
        <v>489623.72</v>
      </c>
      <c r="G24" s="488">
        <v>533385.66</v>
      </c>
      <c r="H24" s="489">
        <v>524600.61</v>
      </c>
      <c r="I24" s="488">
        <v>524600.61</v>
      </c>
      <c r="J24" s="483">
        <v>524600.6</v>
      </c>
      <c r="K24" s="490">
        <v>524600.61</v>
      </c>
      <c r="L24" s="490">
        <v>547659.96</v>
      </c>
      <c r="M24" s="491">
        <v>547659.97</v>
      </c>
      <c r="N24" s="485">
        <v>547659.96</v>
      </c>
      <c r="O24" s="472">
        <v>486738.7</v>
      </c>
      <c r="Q24" s="485">
        <f t="shared" si="0"/>
        <v>5732484.2199999997</v>
      </c>
      <c r="R24" s="485">
        <v>0</v>
      </c>
    </row>
    <row r="25" spans="1:18" x14ac:dyDescent="0.25">
      <c r="A25" s="469">
        <v>21</v>
      </c>
      <c r="B25" s="468" t="s">
        <v>243</v>
      </c>
      <c r="C25" s="469" t="s">
        <v>244</v>
      </c>
      <c r="D25" s="470">
        <f>'Annual Rev &amp; Fees'!L26</f>
        <v>868808.64</v>
      </c>
      <c r="E25" s="492">
        <v>75370.149999999994</v>
      </c>
      <c r="F25" s="487">
        <v>76763.56</v>
      </c>
      <c r="G25" s="488">
        <v>76763.56</v>
      </c>
      <c r="H25" s="489">
        <v>78174.02</v>
      </c>
      <c r="I25" s="488">
        <v>78174.02</v>
      </c>
      <c r="J25" s="483">
        <v>78174.02</v>
      </c>
      <c r="K25" s="490">
        <v>78174.02</v>
      </c>
      <c r="L25" s="490">
        <v>61462.22</v>
      </c>
      <c r="M25" s="491">
        <v>61462.22</v>
      </c>
      <c r="N25" s="485">
        <v>61462.22</v>
      </c>
      <c r="O25" s="472">
        <v>71414.320000000007</v>
      </c>
      <c r="Q25" s="485">
        <f t="shared" si="0"/>
        <v>797394.32999999984</v>
      </c>
      <c r="R25" s="485">
        <v>0</v>
      </c>
    </row>
    <row r="26" spans="1:18" x14ac:dyDescent="0.25">
      <c r="A26" s="469">
        <v>22</v>
      </c>
      <c r="B26" s="468" t="s">
        <v>245</v>
      </c>
      <c r="C26" s="469" t="s">
        <v>246</v>
      </c>
      <c r="D26" s="470">
        <f>'Annual Rev &amp; Fees'!L27</f>
        <v>1123155.32</v>
      </c>
      <c r="E26" s="492">
        <v>93540.76</v>
      </c>
      <c r="F26" s="487">
        <v>94458.1</v>
      </c>
      <c r="G26" s="488">
        <v>94458.1</v>
      </c>
      <c r="H26" s="489">
        <v>100055.2</v>
      </c>
      <c r="I26" s="488">
        <v>100055.2</v>
      </c>
      <c r="J26" s="483">
        <v>100047.91</v>
      </c>
      <c r="K26" s="490">
        <v>100047.91</v>
      </c>
      <c r="L26" s="490">
        <v>89165.9</v>
      </c>
      <c r="M26" s="491">
        <v>89165.91</v>
      </c>
      <c r="N26" s="485">
        <v>89165.9</v>
      </c>
      <c r="O26" s="472">
        <v>86497.22</v>
      </c>
      <c r="Q26" s="485">
        <f t="shared" si="0"/>
        <v>1036658.1100000001</v>
      </c>
      <c r="R26" s="485">
        <v>0</v>
      </c>
    </row>
    <row r="27" spans="1:18" x14ac:dyDescent="0.25">
      <c r="A27" s="469">
        <v>23</v>
      </c>
      <c r="B27" s="468" t="s">
        <v>247</v>
      </c>
      <c r="C27" s="469" t="s">
        <v>248</v>
      </c>
      <c r="D27" s="470">
        <f>'Annual Rev &amp; Fees'!L28</f>
        <v>3311033.9899999993</v>
      </c>
      <c r="E27" s="492">
        <v>291401.55</v>
      </c>
      <c r="F27" s="487">
        <v>296284.59999999998</v>
      </c>
      <c r="G27" s="488">
        <v>298028.7</v>
      </c>
      <c r="H27" s="489">
        <v>307696.18</v>
      </c>
      <c r="I27" s="488">
        <v>307696.18</v>
      </c>
      <c r="J27" s="483">
        <v>307696.17</v>
      </c>
      <c r="K27" s="490">
        <v>307696.18</v>
      </c>
      <c r="L27" s="490">
        <v>225219.95</v>
      </c>
      <c r="M27" s="491">
        <v>225219.95</v>
      </c>
      <c r="N27" s="485">
        <v>225219.95</v>
      </c>
      <c r="O27" s="472">
        <v>259437.29</v>
      </c>
      <c r="Q27" s="485">
        <f t="shared" si="0"/>
        <v>3051596.7</v>
      </c>
      <c r="R27" s="485">
        <v>0</v>
      </c>
    </row>
    <row r="28" spans="1:18" x14ac:dyDescent="0.25">
      <c r="A28" s="469">
        <v>24</v>
      </c>
      <c r="B28" s="468" t="s">
        <v>249</v>
      </c>
      <c r="C28" s="469" t="s">
        <v>250</v>
      </c>
      <c r="D28" s="470">
        <f>'Annual Rev &amp; Fees'!L29</f>
        <v>3486073.6599999997</v>
      </c>
      <c r="E28" s="492">
        <v>282765.64</v>
      </c>
      <c r="F28" s="487">
        <v>286550.08</v>
      </c>
      <c r="G28" s="488">
        <v>286550.08</v>
      </c>
      <c r="H28" s="489">
        <v>287180.12</v>
      </c>
      <c r="I28" s="488">
        <v>287180.12</v>
      </c>
      <c r="J28" s="483">
        <v>287180.12</v>
      </c>
      <c r="K28" s="490">
        <v>287180.12</v>
      </c>
      <c r="L28" s="490">
        <v>295695.63</v>
      </c>
      <c r="M28" s="491">
        <v>295695.64</v>
      </c>
      <c r="N28" s="485">
        <v>295695.63</v>
      </c>
      <c r="O28" s="472">
        <v>297200.24</v>
      </c>
      <c r="Q28" s="485">
        <f t="shared" si="0"/>
        <v>3188873.42</v>
      </c>
      <c r="R28" s="485">
        <v>0</v>
      </c>
    </row>
    <row r="29" spans="1:18" x14ac:dyDescent="0.25">
      <c r="A29" s="469">
        <v>25</v>
      </c>
      <c r="B29" s="468" t="s">
        <v>251</v>
      </c>
      <c r="C29" s="469" t="s">
        <v>252</v>
      </c>
      <c r="D29" s="470">
        <f>'Annual Rev &amp; Fees'!L30</f>
        <v>4875049.88</v>
      </c>
      <c r="E29" s="492">
        <v>318686.65000000002</v>
      </c>
      <c r="F29" s="487">
        <v>320269.78000000003</v>
      </c>
      <c r="G29" s="488">
        <v>322019.77</v>
      </c>
      <c r="H29" s="489">
        <v>365620.49</v>
      </c>
      <c r="I29" s="488">
        <v>365620.49</v>
      </c>
      <c r="J29" s="483">
        <v>365620.49</v>
      </c>
      <c r="K29" s="490">
        <v>365620.49</v>
      </c>
      <c r="L29" s="490">
        <v>434928.01</v>
      </c>
      <c r="M29" s="491">
        <v>434928.01</v>
      </c>
      <c r="N29" s="485">
        <v>434928.01</v>
      </c>
      <c r="O29" s="472">
        <v>573403.85</v>
      </c>
      <c r="Q29" s="485">
        <f t="shared" si="0"/>
        <v>4301646.0399999991</v>
      </c>
      <c r="R29" s="485">
        <v>0</v>
      </c>
    </row>
    <row r="30" spans="1:18" x14ac:dyDescent="0.25">
      <c r="A30" s="469">
        <v>26</v>
      </c>
      <c r="B30" s="468" t="s">
        <v>253</v>
      </c>
      <c r="C30" s="469" t="s">
        <v>254</v>
      </c>
      <c r="D30" s="470">
        <f>'Annual Rev &amp; Fees'!L31</f>
        <v>8740822.1400000006</v>
      </c>
      <c r="E30" s="492">
        <v>727291.13</v>
      </c>
      <c r="F30" s="487">
        <v>737684.93</v>
      </c>
      <c r="G30" s="488">
        <v>737684.93</v>
      </c>
      <c r="H30" s="489">
        <v>725549.97</v>
      </c>
      <c r="I30" s="488">
        <v>725549.97</v>
      </c>
      <c r="J30" s="483">
        <v>725549.97</v>
      </c>
      <c r="K30" s="490">
        <v>725549.97</v>
      </c>
      <c r="L30" s="490">
        <v>739014.58</v>
      </c>
      <c r="M30" s="491">
        <v>739014.59</v>
      </c>
      <c r="N30" s="485">
        <v>739014.58</v>
      </c>
      <c r="O30" s="472">
        <v>709458.76</v>
      </c>
      <c r="Q30" s="485">
        <f t="shared" si="0"/>
        <v>8031363.379999999</v>
      </c>
      <c r="R30" s="485">
        <v>0</v>
      </c>
    </row>
    <row r="31" spans="1:18" x14ac:dyDescent="0.25">
      <c r="A31" s="469">
        <v>27</v>
      </c>
      <c r="B31" s="468">
        <v>3441</v>
      </c>
      <c r="C31" s="469" t="s">
        <v>255</v>
      </c>
      <c r="D31" s="470">
        <f>'Annual Rev &amp; Fees'!L32</f>
        <v>4592331.17</v>
      </c>
      <c r="E31" s="492">
        <v>365051.77</v>
      </c>
      <c r="F31" s="487">
        <v>372113.82</v>
      </c>
      <c r="G31" s="488">
        <v>380953.21</v>
      </c>
      <c r="H31" s="489">
        <v>387823.98</v>
      </c>
      <c r="I31" s="488">
        <v>387823.98</v>
      </c>
      <c r="J31" s="483">
        <v>387823.98</v>
      </c>
      <c r="K31" s="490">
        <v>387823.98</v>
      </c>
      <c r="L31" s="490">
        <v>386283.79</v>
      </c>
      <c r="M31" s="491">
        <v>386283.8</v>
      </c>
      <c r="N31" s="485">
        <v>386283.79</v>
      </c>
      <c r="O31" s="472">
        <v>382032.54</v>
      </c>
      <c r="Q31" s="485">
        <f t="shared" si="0"/>
        <v>4210298.6399999997</v>
      </c>
      <c r="R31" s="485">
        <v>0</v>
      </c>
    </row>
    <row r="32" spans="1:18" x14ac:dyDescent="0.25">
      <c r="A32" s="469">
        <v>28</v>
      </c>
      <c r="B32" s="468">
        <v>3924</v>
      </c>
      <c r="C32" s="469" t="s">
        <v>256</v>
      </c>
      <c r="D32" s="470">
        <f>'Annual Rev &amp; Fees'!L33</f>
        <v>3451768.8000000003</v>
      </c>
      <c r="E32" s="492">
        <v>303122.37</v>
      </c>
      <c r="F32" s="487">
        <v>308213.52</v>
      </c>
      <c r="G32" s="488">
        <v>309424.3</v>
      </c>
      <c r="H32" s="489">
        <v>306743.77</v>
      </c>
      <c r="I32" s="488">
        <v>306743.77</v>
      </c>
      <c r="J32" s="483">
        <v>306743.77</v>
      </c>
      <c r="K32" s="490">
        <v>306743.77</v>
      </c>
      <c r="L32" s="490">
        <v>265079.03999999998</v>
      </c>
      <c r="M32" s="491">
        <v>265079.03999999998</v>
      </c>
      <c r="N32" s="485">
        <v>265079.03999999998</v>
      </c>
      <c r="O32" s="472">
        <v>254398.21</v>
      </c>
      <c r="Q32" s="485">
        <f t="shared" si="0"/>
        <v>3197370.6</v>
      </c>
      <c r="R32" s="485">
        <v>0</v>
      </c>
    </row>
    <row r="33" spans="1:18" x14ac:dyDescent="0.25">
      <c r="A33" s="469">
        <v>29</v>
      </c>
      <c r="B33" s="468" t="s">
        <v>257</v>
      </c>
      <c r="C33" s="469" t="s">
        <v>258</v>
      </c>
      <c r="D33" s="470">
        <f>'Annual Rev &amp; Fees'!L34</f>
        <v>1984704.3199999998</v>
      </c>
      <c r="E33" s="492">
        <v>166503.70000000001</v>
      </c>
      <c r="F33" s="487">
        <v>168521.9</v>
      </c>
      <c r="G33" s="488">
        <v>168521.9</v>
      </c>
      <c r="H33" s="489">
        <v>168880.64000000001</v>
      </c>
      <c r="I33" s="488">
        <v>168880.64000000001</v>
      </c>
      <c r="J33" s="483">
        <v>168880.64000000001</v>
      </c>
      <c r="K33" s="490">
        <v>168880.64000000001</v>
      </c>
      <c r="L33" s="490">
        <v>167307.03</v>
      </c>
      <c r="M33" s="491">
        <v>167307.03</v>
      </c>
      <c r="N33" s="485">
        <v>167307.01999999999</v>
      </c>
      <c r="O33" s="472">
        <v>151856.59</v>
      </c>
      <c r="Q33" s="485">
        <f t="shared" si="0"/>
        <v>1832847.7300000002</v>
      </c>
      <c r="R33" s="485">
        <v>0</v>
      </c>
    </row>
    <row r="34" spans="1:18" x14ac:dyDescent="0.25">
      <c r="A34" s="469">
        <v>30</v>
      </c>
      <c r="B34" s="500" t="s">
        <v>259</v>
      </c>
      <c r="C34" s="501" t="s">
        <v>260</v>
      </c>
      <c r="D34" s="502">
        <f>'Annual Rev &amp; Fees'!L35</f>
        <v>0</v>
      </c>
      <c r="E34" s="503"/>
      <c r="F34" s="504">
        <v>0</v>
      </c>
      <c r="G34" s="502"/>
      <c r="H34" s="505"/>
      <c r="I34" s="502"/>
      <c r="J34" s="483"/>
      <c r="K34" s="490"/>
      <c r="L34" s="490"/>
      <c r="M34" s="491"/>
      <c r="N34" s="485"/>
      <c r="O34" s="472"/>
      <c r="Q34" s="485">
        <f t="shared" si="0"/>
        <v>0</v>
      </c>
      <c r="R34" s="485">
        <v>0</v>
      </c>
    </row>
    <row r="35" spans="1:18" x14ac:dyDescent="0.25">
      <c r="A35" s="469">
        <v>31</v>
      </c>
      <c r="B35" s="468" t="s">
        <v>261</v>
      </c>
      <c r="C35" s="469" t="s">
        <v>424</v>
      </c>
      <c r="D35" s="470">
        <f>'Annual Rev &amp; Fees'!L36</f>
        <v>5144041.25</v>
      </c>
      <c r="E35" s="492">
        <v>418200.93</v>
      </c>
      <c r="F35" s="487">
        <v>425546.45</v>
      </c>
      <c r="G35" s="488">
        <v>426358.86</v>
      </c>
      <c r="H35" s="489">
        <v>468192.65</v>
      </c>
      <c r="I35" s="488">
        <v>468192.65</v>
      </c>
      <c r="J35" s="483">
        <v>468192.64</v>
      </c>
      <c r="K35" s="490">
        <v>468192.65</v>
      </c>
      <c r="L35" s="490">
        <v>372294.18</v>
      </c>
      <c r="M35" s="491">
        <v>372294.18</v>
      </c>
      <c r="N35" s="485">
        <v>372294.17</v>
      </c>
      <c r="O35" s="472">
        <v>442140.95</v>
      </c>
      <c r="Q35" s="485">
        <f t="shared" si="0"/>
        <v>4701900.3100000005</v>
      </c>
      <c r="R35" s="485">
        <v>0</v>
      </c>
    </row>
    <row r="36" spans="1:18" x14ac:dyDescent="0.25">
      <c r="A36" s="469">
        <v>32</v>
      </c>
      <c r="B36" s="468" t="s">
        <v>263</v>
      </c>
      <c r="C36" s="469" t="s">
        <v>264</v>
      </c>
      <c r="D36" s="470">
        <f>'Annual Rev &amp; Fees'!L37</f>
        <v>5547351.9900000002</v>
      </c>
      <c r="E36" s="492">
        <v>486040.8</v>
      </c>
      <c r="F36" s="487">
        <v>493503.39</v>
      </c>
      <c r="G36" s="488">
        <v>493503.4</v>
      </c>
      <c r="H36" s="489">
        <v>492923.41</v>
      </c>
      <c r="I36" s="488">
        <v>492923.41</v>
      </c>
      <c r="J36" s="483">
        <v>492923.41</v>
      </c>
      <c r="K36" s="490">
        <v>492923.41</v>
      </c>
      <c r="L36" s="490">
        <v>427320.19</v>
      </c>
      <c r="M36" s="491">
        <v>427320.19</v>
      </c>
      <c r="N36" s="485">
        <v>427320.19</v>
      </c>
      <c r="O36" s="472">
        <v>410325.1</v>
      </c>
      <c r="Q36" s="485">
        <f t="shared" si="0"/>
        <v>5137026.9000000004</v>
      </c>
      <c r="R36" s="485">
        <v>0</v>
      </c>
    </row>
    <row r="37" spans="1:18" x14ac:dyDescent="0.25">
      <c r="A37" s="469">
        <v>33</v>
      </c>
      <c r="B37" s="468">
        <v>4002</v>
      </c>
      <c r="C37" s="469" t="s">
        <v>265</v>
      </c>
      <c r="D37" s="470">
        <f>'Annual Rev &amp; Fees'!L38</f>
        <v>7656750.3299999991</v>
      </c>
      <c r="E37" s="492">
        <v>707326.89</v>
      </c>
      <c r="F37" s="487">
        <v>715174.9</v>
      </c>
      <c r="G37" s="488">
        <v>715174.91</v>
      </c>
      <c r="H37" s="489">
        <v>708965.29</v>
      </c>
      <c r="I37" s="488">
        <v>708965.29</v>
      </c>
      <c r="J37" s="483">
        <v>708965.29</v>
      </c>
      <c r="K37" s="490">
        <v>708965.29</v>
      </c>
      <c r="L37" s="490">
        <v>565017.44999999995</v>
      </c>
      <c r="M37" s="491">
        <v>565017.44999999995</v>
      </c>
      <c r="N37" s="485">
        <v>565017.43999999994</v>
      </c>
      <c r="O37" s="472">
        <v>494080.06</v>
      </c>
      <c r="Q37" s="485">
        <f t="shared" si="0"/>
        <v>7162670.2600000007</v>
      </c>
      <c r="R37" s="485">
        <v>0</v>
      </c>
    </row>
    <row r="38" spans="1:18" x14ac:dyDescent="0.25">
      <c r="A38" s="469">
        <v>34</v>
      </c>
      <c r="B38" s="468">
        <v>4012</v>
      </c>
      <c r="C38" s="469" t="s">
        <v>266</v>
      </c>
      <c r="D38" s="470">
        <f>'Annual Rev &amp; Fees'!L39</f>
        <v>4463781.8000000007</v>
      </c>
      <c r="E38" s="492">
        <v>401311.12</v>
      </c>
      <c r="F38" s="487">
        <v>409405.4</v>
      </c>
      <c r="G38" s="488">
        <v>417398.36</v>
      </c>
      <c r="H38" s="489">
        <v>416469.55</v>
      </c>
      <c r="I38" s="488">
        <v>416469.55</v>
      </c>
      <c r="J38" s="483">
        <v>416469.55</v>
      </c>
      <c r="K38" s="490">
        <v>416469.55</v>
      </c>
      <c r="L38" s="490">
        <v>330917.68</v>
      </c>
      <c r="M38" s="491">
        <v>330917.68</v>
      </c>
      <c r="N38" s="485">
        <v>330917.68</v>
      </c>
      <c r="O38" s="472">
        <v>288517.84000000003</v>
      </c>
      <c r="Q38" s="485">
        <f t="shared" si="0"/>
        <v>4175263.96</v>
      </c>
      <c r="R38" s="485">
        <v>0</v>
      </c>
    </row>
    <row r="39" spans="1:18" x14ac:dyDescent="0.25">
      <c r="A39" s="469">
        <v>35</v>
      </c>
      <c r="B39" s="468">
        <v>4013</v>
      </c>
      <c r="C39" s="469" t="s">
        <v>267</v>
      </c>
      <c r="D39" s="470">
        <f>'Annual Rev &amp; Fees'!L40</f>
        <v>8964787.6100000013</v>
      </c>
      <c r="E39" s="492">
        <v>667648.91</v>
      </c>
      <c r="F39" s="487">
        <v>677472.72</v>
      </c>
      <c r="G39" s="488">
        <v>795258.27</v>
      </c>
      <c r="H39" s="489">
        <v>786596.81</v>
      </c>
      <c r="I39" s="488">
        <v>786596.81</v>
      </c>
      <c r="J39" s="483">
        <v>786596.81</v>
      </c>
      <c r="K39" s="490">
        <v>786596.81</v>
      </c>
      <c r="L39" s="490">
        <v>764388.1</v>
      </c>
      <c r="M39" s="491">
        <v>764388.1</v>
      </c>
      <c r="N39" s="485">
        <v>764388.1</v>
      </c>
      <c r="O39" s="472">
        <v>692428.09</v>
      </c>
      <c r="Q39" s="485">
        <f t="shared" si="0"/>
        <v>8272359.5299999993</v>
      </c>
      <c r="R39" s="485">
        <v>0</v>
      </c>
    </row>
    <row r="40" spans="1:18" x14ac:dyDescent="0.25">
      <c r="A40" s="469">
        <v>36</v>
      </c>
      <c r="B40" s="468">
        <v>4020</v>
      </c>
      <c r="C40" s="469" t="s">
        <v>268</v>
      </c>
      <c r="D40" s="470">
        <f>'Annual Rev &amp; Fees'!L41</f>
        <v>10829598.299999999</v>
      </c>
      <c r="E40" s="492">
        <v>892802.19</v>
      </c>
      <c r="F40" s="487">
        <v>906770.45</v>
      </c>
      <c r="G40" s="488">
        <v>906770.45</v>
      </c>
      <c r="H40" s="489">
        <v>899763.33</v>
      </c>
      <c r="I40" s="488">
        <v>899763.33</v>
      </c>
      <c r="J40" s="483">
        <v>899763.33</v>
      </c>
      <c r="K40" s="490">
        <v>899763.33</v>
      </c>
      <c r="L40" s="490">
        <v>920811.93</v>
      </c>
      <c r="M40" s="491">
        <v>920811.93</v>
      </c>
      <c r="N40" s="485">
        <v>920811.93</v>
      </c>
      <c r="O40" s="472">
        <v>880883.05</v>
      </c>
      <c r="Q40" s="485">
        <f t="shared" si="0"/>
        <v>9948715.25</v>
      </c>
      <c r="R40" s="485">
        <v>0</v>
      </c>
    </row>
    <row r="41" spans="1:18" x14ac:dyDescent="0.25">
      <c r="A41" s="469">
        <v>37</v>
      </c>
      <c r="B41" s="468">
        <v>4030</v>
      </c>
      <c r="C41" s="469" t="s">
        <v>269</v>
      </c>
      <c r="D41" s="470">
        <f>'Annual Rev &amp; Fees'!L42</f>
        <v>2075950.22</v>
      </c>
      <c r="E41" s="492">
        <v>216879.02</v>
      </c>
      <c r="F41" s="487">
        <v>218407.85</v>
      </c>
      <c r="G41" s="488">
        <v>218407.85</v>
      </c>
      <c r="H41" s="489">
        <v>217485.59</v>
      </c>
      <c r="I41" s="488">
        <v>217485.59</v>
      </c>
      <c r="J41" s="483">
        <v>217485.59</v>
      </c>
      <c r="K41" s="490">
        <v>217485.59</v>
      </c>
      <c r="L41" s="490">
        <v>116754.84</v>
      </c>
      <c r="M41" s="491">
        <v>116754.84</v>
      </c>
      <c r="N41" s="485">
        <v>116754.84</v>
      </c>
      <c r="O41" s="472">
        <v>101024.31</v>
      </c>
      <c r="Q41" s="485">
        <f t="shared" si="0"/>
        <v>1974925.9100000004</v>
      </c>
      <c r="R41" s="485">
        <v>0</v>
      </c>
    </row>
    <row r="42" spans="1:18" x14ac:dyDescent="0.25">
      <c r="A42" s="469">
        <v>38</v>
      </c>
      <c r="B42" s="468">
        <v>4031</v>
      </c>
      <c r="C42" s="469" t="s">
        <v>270</v>
      </c>
      <c r="D42" s="470">
        <f>'Annual Rev &amp; Fees'!L43</f>
        <v>3395037.95</v>
      </c>
      <c r="E42" s="492">
        <v>322483.34000000003</v>
      </c>
      <c r="F42" s="487">
        <v>326575.68</v>
      </c>
      <c r="G42" s="488">
        <v>326575.68</v>
      </c>
      <c r="H42" s="489">
        <v>319995.15999999997</v>
      </c>
      <c r="I42" s="488">
        <v>319995.15999999997</v>
      </c>
      <c r="J42" s="483">
        <v>319995.15999999997</v>
      </c>
      <c r="K42" s="490">
        <v>319995.15999999997</v>
      </c>
      <c r="L42" s="490">
        <v>232569.01</v>
      </c>
      <c r="M42" s="491">
        <v>232569.02</v>
      </c>
      <c r="N42" s="485">
        <v>232569.01</v>
      </c>
      <c r="O42" s="472">
        <v>220857.79</v>
      </c>
      <c r="Q42" s="485">
        <f t="shared" si="0"/>
        <v>3174180.17</v>
      </c>
      <c r="R42" s="485">
        <v>0</v>
      </c>
    </row>
    <row r="43" spans="1:18" x14ac:dyDescent="0.25">
      <c r="A43" s="469">
        <v>39</v>
      </c>
      <c r="B43" s="468">
        <v>4041</v>
      </c>
      <c r="C43" s="469" t="s">
        <v>271</v>
      </c>
      <c r="D43" s="470">
        <f>'Annual Rev &amp; Fees'!L44</f>
        <v>786983.38</v>
      </c>
      <c r="E43" s="492">
        <v>63488.77</v>
      </c>
      <c r="F43" s="487">
        <v>64770.19</v>
      </c>
      <c r="G43" s="488">
        <v>64770.19</v>
      </c>
      <c r="H43" s="489">
        <v>64613.31</v>
      </c>
      <c r="I43" s="488">
        <v>64613.31</v>
      </c>
      <c r="J43" s="483">
        <v>64613.31</v>
      </c>
      <c r="K43" s="490">
        <v>64613.31</v>
      </c>
      <c r="L43" s="490">
        <v>67347.960000000006</v>
      </c>
      <c r="M43" s="491">
        <v>67347.97</v>
      </c>
      <c r="N43" s="485">
        <v>67347.960000000006</v>
      </c>
      <c r="O43" s="472">
        <v>66728.55</v>
      </c>
      <c r="Q43" s="485">
        <f t="shared" si="0"/>
        <v>720254.83000000007</v>
      </c>
      <c r="R43" s="485">
        <v>0</v>
      </c>
    </row>
    <row r="44" spans="1:18" x14ac:dyDescent="0.25">
      <c r="A44" s="469">
        <v>40</v>
      </c>
      <c r="B44" s="468">
        <v>4050</v>
      </c>
      <c r="C44" s="469" t="s">
        <v>272</v>
      </c>
      <c r="D44" s="470">
        <f>'Annual Rev &amp; Fees'!L45</f>
        <v>5465256.6300000008</v>
      </c>
      <c r="E44" s="492">
        <v>512294.34</v>
      </c>
      <c r="F44" s="487">
        <v>519597.92</v>
      </c>
      <c r="G44" s="488">
        <v>519597.92</v>
      </c>
      <c r="H44" s="489">
        <v>511250.04</v>
      </c>
      <c r="I44" s="488">
        <v>511250.04</v>
      </c>
      <c r="J44" s="483">
        <v>511250.04</v>
      </c>
      <c r="K44" s="490">
        <v>511250.04</v>
      </c>
      <c r="L44" s="490">
        <v>380953.57</v>
      </c>
      <c r="M44" s="491">
        <v>380953.57</v>
      </c>
      <c r="N44" s="485">
        <v>380953.57</v>
      </c>
      <c r="O44" s="472">
        <v>362952.79</v>
      </c>
      <c r="Q44" s="485">
        <f t="shared" si="0"/>
        <v>5102303.84</v>
      </c>
      <c r="R44" s="485">
        <v>0</v>
      </c>
    </row>
    <row r="45" spans="1:18" x14ac:dyDescent="0.25">
      <c r="A45" s="469">
        <v>41</v>
      </c>
      <c r="B45" s="468">
        <v>4051</v>
      </c>
      <c r="C45" s="469" t="s">
        <v>273</v>
      </c>
      <c r="D45" s="470">
        <f>'Annual Rev &amp; Fees'!L46</f>
        <v>5386189.1999999993</v>
      </c>
      <c r="E45" s="492">
        <v>541173.16</v>
      </c>
      <c r="F45" s="487">
        <v>548429.27</v>
      </c>
      <c r="G45" s="488">
        <v>548429.27</v>
      </c>
      <c r="H45" s="489">
        <v>533809.19999999995</v>
      </c>
      <c r="I45" s="488">
        <v>533809.19999999995</v>
      </c>
      <c r="J45" s="483">
        <v>533809.19999999995</v>
      </c>
      <c r="K45" s="490">
        <v>533809.19999999995</v>
      </c>
      <c r="L45" s="490">
        <v>334065.61</v>
      </c>
      <c r="M45" s="491">
        <v>334065.61</v>
      </c>
      <c r="N45" s="485">
        <v>334065.59999999998</v>
      </c>
      <c r="O45" s="472">
        <v>305361.94</v>
      </c>
      <c r="Q45" s="485">
        <f t="shared" si="0"/>
        <v>5080827.2600000007</v>
      </c>
      <c r="R45" s="485">
        <v>0</v>
      </c>
    </row>
    <row r="46" spans="1:18" x14ac:dyDescent="0.25">
      <c r="A46" s="469">
        <v>42</v>
      </c>
      <c r="B46" s="468">
        <v>4061</v>
      </c>
      <c r="C46" s="469" t="s">
        <v>274</v>
      </c>
      <c r="D46" s="470">
        <f>'Annual Rev &amp; Fees'!L47</f>
        <v>7988970.2999999998</v>
      </c>
      <c r="E46" s="492">
        <v>686342</v>
      </c>
      <c r="F46" s="487">
        <v>697323.13</v>
      </c>
      <c r="G46" s="488">
        <v>697323.13</v>
      </c>
      <c r="H46" s="489">
        <v>697798.89</v>
      </c>
      <c r="I46" s="488">
        <v>697798.89</v>
      </c>
      <c r="J46" s="483">
        <v>697798.89</v>
      </c>
      <c r="K46" s="490">
        <v>697798.89</v>
      </c>
      <c r="L46" s="490">
        <v>646776.42000000004</v>
      </c>
      <c r="M46" s="491">
        <v>646776.42000000004</v>
      </c>
      <c r="N46" s="485">
        <v>646776.42000000004</v>
      </c>
      <c r="O46" s="472">
        <v>588228.61</v>
      </c>
      <c r="Q46" s="485">
        <f t="shared" si="0"/>
        <v>7400741.6900000004</v>
      </c>
      <c r="R46" s="485">
        <v>0</v>
      </c>
    </row>
    <row r="47" spans="1:18" x14ac:dyDescent="0.25">
      <c r="A47" s="469">
        <v>43</v>
      </c>
      <c r="B47" s="468">
        <v>4080</v>
      </c>
      <c r="C47" s="469" t="s">
        <v>275</v>
      </c>
      <c r="D47" s="506">
        <f>'Annual Rev &amp; Fees'!L48</f>
        <v>0</v>
      </c>
      <c r="E47" s="507">
        <v>166059.87</v>
      </c>
      <c r="F47" s="534">
        <v>-166059.87</v>
      </c>
      <c r="G47" s="488"/>
      <c r="H47" s="489"/>
      <c r="I47" s="488"/>
      <c r="J47" s="483"/>
      <c r="K47" s="490"/>
      <c r="L47" s="490"/>
      <c r="M47" s="491"/>
      <c r="N47" s="485"/>
      <c r="O47" s="472"/>
      <c r="Q47" s="485">
        <f t="shared" si="0"/>
        <v>0</v>
      </c>
      <c r="R47" s="485">
        <v>0</v>
      </c>
    </row>
    <row r="48" spans="1:18" x14ac:dyDescent="0.25">
      <c r="A48" s="469">
        <v>44</v>
      </c>
      <c r="B48" s="468">
        <v>4081</v>
      </c>
      <c r="C48" s="469" t="s">
        <v>276</v>
      </c>
      <c r="D48" s="470">
        <f>'Annual Rev &amp; Fees'!L49</f>
        <v>983602.26</v>
      </c>
      <c r="E48" s="492">
        <v>83555.86</v>
      </c>
      <c r="F48" s="487">
        <v>84667.61</v>
      </c>
      <c r="G48" s="488">
        <v>84667.61</v>
      </c>
      <c r="H48" s="489">
        <v>86139.09</v>
      </c>
      <c r="I48" s="488">
        <v>86139.09</v>
      </c>
      <c r="J48" s="483">
        <v>86139.09</v>
      </c>
      <c r="K48" s="490">
        <v>86139.09</v>
      </c>
      <c r="L48" s="490">
        <v>71664.039999999994</v>
      </c>
      <c r="M48" s="491">
        <v>71664.05</v>
      </c>
      <c r="N48" s="485">
        <v>71664.039999999994</v>
      </c>
      <c r="O48" s="472">
        <v>85581.35</v>
      </c>
      <c r="Q48" s="485">
        <f t="shared" si="0"/>
        <v>898020.92</v>
      </c>
      <c r="R48" s="485">
        <v>0</v>
      </c>
    </row>
    <row r="49" spans="1:18" x14ac:dyDescent="0.25">
      <c r="A49" s="469">
        <v>45</v>
      </c>
      <c r="B49" s="468">
        <v>4090</v>
      </c>
      <c r="C49" s="469" t="s">
        <v>277</v>
      </c>
      <c r="D49" s="470">
        <f>'Annual Rev &amp; Fees'!L50</f>
        <v>2561975.9</v>
      </c>
      <c r="E49" s="492">
        <v>182095.15</v>
      </c>
      <c r="F49" s="487">
        <v>185341.43</v>
      </c>
      <c r="G49" s="488">
        <v>185341.43</v>
      </c>
      <c r="H49" s="489">
        <v>209719.73</v>
      </c>
      <c r="I49" s="488">
        <v>209719.73</v>
      </c>
      <c r="J49" s="483">
        <v>209719.73</v>
      </c>
      <c r="K49" s="490">
        <v>209719.73</v>
      </c>
      <c r="L49" s="490">
        <v>222677.99</v>
      </c>
      <c r="M49" s="491">
        <v>222677.99</v>
      </c>
      <c r="N49" s="485">
        <v>222677.99</v>
      </c>
      <c r="O49" s="472">
        <v>251142.5</v>
      </c>
      <c r="Q49" s="485">
        <f>SUM(E49:P49)</f>
        <v>2310833.4</v>
      </c>
      <c r="R49" s="485">
        <v>0</v>
      </c>
    </row>
    <row r="50" spans="1:18" x14ac:dyDescent="0.25">
      <c r="A50" s="469">
        <v>46</v>
      </c>
      <c r="B50" s="468">
        <v>4091</v>
      </c>
      <c r="C50" s="469" t="s">
        <v>278</v>
      </c>
      <c r="D50" s="470">
        <f>'Annual Rev &amp; Fees'!L51</f>
        <v>3466353.95</v>
      </c>
      <c r="E50" s="492">
        <v>285991.09999999998</v>
      </c>
      <c r="F50" s="487">
        <v>288895.8</v>
      </c>
      <c r="G50" s="488">
        <v>288895.8</v>
      </c>
      <c r="H50" s="489">
        <v>283969.88</v>
      </c>
      <c r="I50" s="488">
        <v>283969.88</v>
      </c>
      <c r="J50" s="483">
        <v>283969.88</v>
      </c>
      <c r="K50" s="490">
        <v>283969.88</v>
      </c>
      <c r="L50" s="490">
        <v>287966.34999999998</v>
      </c>
      <c r="M50" s="491">
        <v>287966.34999999998</v>
      </c>
      <c r="N50" s="485">
        <v>287966.34999999998</v>
      </c>
      <c r="O50" s="472">
        <v>301396.34000000003</v>
      </c>
      <c r="Q50" s="485">
        <f t="shared" si="0"/>
        <v>3164957.61</v>
      </c>
      <c r="R50" s="485">
        <v>0</v>
      </c>
    </row>
    <row r="51" spans="1:18" x14ac:dyDescent="0.25">
      <c r="A51" s="469">
        <v>47</v>
      </c>
      <c r="B51" s="468">
        <v>4100</v>
      </c>
      <c r="C51" s="469" t="s">
        <v>279</v>
      </c>
      <c r="D51" s="470">
        <f>'Annual Rev &amp; Fees'!L52</f>
        <v>3950989.1700000004</v>
      </c>
      <c r="E51" s="492">
        <v>312807.54399999999</v>
      </c>
      <c r="F51" s="487">
        <v>321124.13</v>
      </c>
      <c r="G51" s="488">
        <v>321124.13</v>
      </c>
      <c r="H51" s="489">
        <v>321124.13</v>
      </c>
      <c r="I51" s="488">
        <v>321189.65000000002</v>
      </c>
      <c r="J51" s="483">
        <v>322316.15000000002</v>
      </c>
      <c r="K51" s="490">
        <v>322228.78999999998</v>
      </c>
      <c r="L51" s="490">
        <v>325673.27</v>
      </c>
      <c r="M51" s="491">
        <v>325673.27</v>
      </c>
      <c r="N51" s="485">
        <v>325673.27</v>
      </c>
      <c r="O51" s="472">
        <v>366027.42</v>
      </c>
      <c r="Q51" s="485">
        <f t="shared" si="0"/>
        <v>3584961.7539999997</v>
      </c>
      <c r="R51" s="485">
        <v>0</v>
      </c>
    </row>
    <row r="52" spans="1:18" x14ac:dyDescent="0.25">
      <c r="A52" s="469">
        <v>48</v>
      </c>
      <c r="B52" s="500">
        <v>4102</v>
      </c>
      <c r="C52" s="501" t="s">
        <v>280</v>
      </c>
      <c r="D52" s="502">
        <f>'Annual Rev &amp; Fees'!L53</f>
        <v>1530227.9399999997</v>
      </c>
      <c r="E52" s="503">
        <v>95722.880000000005</v>
      </c>
      <c r="F52" s="504">
        <v>97565.26</v>
      </c>
      <c r="G52" s="502">
        <v>129838.42</v>
      </c>
      <c r="H52" s="505">
        <v>129838.42</v>
      </c>
      <c r="I52" s="502">
        <v>129838.42</v>
      </c>
      <c r="J52" s="483">
        <v>129838.41</v>
      </c>
      <c r="K52" s="490">
        <v>129838.42</v>
      </c>
      <c r="L52" s="490">
        <v>144631.73000000001</v>
      </c>
      <c r="M52" s="491">
        <v>144631.73000000001</v>
      </c>
      <c r="N52" s="485">
        <v>144631.72</v>
      </c>
      <c r="O52" s="472">
        <v>126926.27</v>
      </c>
      <c r="Q52" s="485">
        <f t="shared" si="0"/>
        <v>1403301.6800000002</v>
      </c>
      <c r="R52" s="485">
        <v>0</v>
      </c>
    </row>
    <row r="53" spans="1:18" x14ac:dyDescent="0.25">
      <c r="A53" s="469">
        <v>49</v>
      </c>
      <c r="B53" s="468">
        <v>4103</v>
      </c>
      <c r="C53" s="469" t="s">
        <v>281</v>
      </c>
      <c r="D53" s="470">
        <f>'Annual Rev &amp; Fees'!L54</f>
        <v>8303736.540000001</v>
      </c>
      <c r="E53" s="492">
        <v>660664.68999999994</v>
      </c>
      <c r="F53" s="487">
        <v>670046.88</v>
      </c>
      <c r="G53" s="488">
        <v>702200.36</v>
      </c>
      <c r="H53" s="489">
        <v>698845.87</v>
      </c>
      <c r="I53" s="488">
        <v>698845.87</v>
      </c>
      <c r="J53" s="487">
        <v>698845.86</v>
      </c>
      <c r="K53" s="490">
        <v>698845.87</v>
      </c>
      <c r="L53" s="490">
        <v>706227.5</v>
      </c>
      <c r="M53" s="491">
        <v>706227.5</v>
      </c>
      <c r="N53" s="485">
        <v>706227.5</v>
      </c>
      <c r="O53" s="491">
        <v>678379.32</v>
      </c>
      <c r="P53" s="491"/>
      <c r="Q53" s="485">
        <f t="shared" si="0"/>
        <v>7625357.2199999997</v>
      </c>
      <c r="R53" s="485">
        <v>0</v>
      </c>
    </row>
    <row r="54" spans="1:18" x14ac:dyDescent="0.25">
      <c r="A54" s="469">
        <v>50</v>
      </c>
      <c r="B54" s="468">
        <v>4111</v>
      </c>
      <c r="C54" s="469" t="s">
        <v>282</v>
      </c>
      <c r="D54" s="470">
        <f>'Annual Rev &amp; Fees'!L55</f>
        <v>2601662.33</v>
      </c>
      <c r="E54" s="492">
        <v>200228.99</v>
      </c>
      <c r="F54" s="487">
        <v>202649.33</v>
      </c>
      <c r="G54" s="488">
        <v>205064.94</v>
      </c>
      <c r="H54" s="489">
        <v>205425.31</v>
      </c>
      <c r="I54" s="488">
        <v>205425.31</v>
      </c>
      <c r="J54" s="487">
        <v>205425.31</v>
      </c>
      <c r="K54" s="490">
        <v>205425.31</v>
      </c>
      <c r="L54" s="490">
        <v>233981.52</v>
      </c>
      <c r="M54" s="491">
        <v>233981.52</v>
      </c>
      <c r="N54" s="485">
        <v>233981.52</v>
      </c>
      <c r="O54" s="472">
        <v>235036.64</v>
      </c>
      <c r="Q54" s="485">
        <f t="shared" si="0"/>
        <v>2366625.7000000002</v>
      </c>
      <c r="R54" s="485">
        <v>0</v>
      </c>
    </row>
    <row r="55" spans="1:18" x14ac:dyDescent="0.25">
      <c r="A55" s="469">
        <v>51</v>
      </c>
      <c r="B55" s="468">
        <v>4131</v>
      </c>
      <c r="C55" s="469" t="s">
        <v>283</v>
      </c>
      <c r="D55" s="470">
        <f>'Annual Rev &amp; Fees'!L56</f>
        <v>965950.47000000009</v>
      </c>
      <c r="E55" s="492">
        <v>66112.399999999994</v>
      </c>
      <c r="F55" s="487">
        <v>67065.63</v>
      </c>
      <c r="G55" s="488">
        <v>67991.27</v>
      </c>
      <c r="H55" s="489">
        <v>67799.25</v>
      </c>
      <c r="I55" s="488">
        <v>67799.25</v>
      </c>
      <c r="J55" s="487">
        <v>67799.240000000005</v>
      </c>
      <c r="K55" s="490">
        <v>67799.25</v>
      </c>
      <c r="L55" s="490">
        <v>105550.12</v>
      </c>
      <c r="M55" s="491">
        <v>105550.12</v>
      </c>
      <c r="N55" s="485">
        <v>105550.12</v>
      </c>
      <c r="O55" s="472">
        <v>88466.91</v>
      </c>
      <c r="Q55" s="485">
        <f t="shared" si="0"/>
        <v>877483.55999999994</v>
      </c>
      <c r="R55" s="485">
        <v>0</v>
      </c>
    </row>
    <row r="56" spans="1:18" x14ac:dyDescent="0.25">
      <c r="E56" s="486"/>
      <c r="J56" s="472"/>
      <c r="L56" s="472"/>
      <c r="R56" s="485">
        <f t="shared" ref="R56" si="1">SUM(E56:E56)</f>
        <v>0</v>
      </c>
    </row>
    <row r="57" spans="1:18" x14ac:dyDescent="0.25">
      <c r="D57" s="470">
        <f t="shared" ref="D57:I57" si="2">SUM(D5:D56)</f>
        <v>209379250.28999996</v>
      </c>
      <c r="E57" s="486">
        <f t="shared" si="2"/>
        <v>16906713.023999993</v>
      </c>
      <c r="F57" s="486">
        <f t="shared" si="2"/>
        <v>16825408.719999999</v>
      </c>
      <c r="G57" s="470">
        <f t="shared" si="2"/>
        <v>17480699.379999999</v>
      </c>
      <c r="H57" s="470">
        <f t="shared" si="2"/>
        <v>17767778.950000003</v>
      </c>
      <c r="I57" s="470">
        <f t="shared" si="2"/>
        <v>17751394.610000003</v>
      </c>
      <c r="J57" s="508">
        <f>SUM(J5:J56)</f>
        <v>17758036.229999997</v>
      </c>
      <c r="K57" s="508">
        <f>SUM(K5:K56)</f>
        <v>17759251.090000004</v>
      </c>
      <c r="L57" s="509">
        <f t="shared" ref="L57:P57" si="3">SUM(L5:L56)</f>
        <v>17405641.269999996</v>
      </c>
      <c r="M57" s="470">
        <f>SUM(M5:M56)</f>
        <v>17405641.379999995</v>
      </c>
      <c r="N57" s="470">
        <f t="shared" si="3"/>
        <v>17405641.189999998</v>
      </c>
      <c r="O57" s="470">
        <f t="shared" si="3"/>
        <v>17456522.309999995</v>
      </c>
      <c r="P57" s="509">
        <f t="shared" si="3"/>
        <v>0</v>
      </c>
      <c r="Q57" s="470">
        <f>SUM(Q5:Q56)</f>
        <v>191922728.15400001</v>
      </c>
      <c r="R57" s="485">
        <f>SUM(E57:E57)</f>
        <v>16906713.023999993</v>
      </c>
    </row>
    <row r="59" spans="1:18" x14ac:dyDescent="0.25">
      <c r="B59" s="534">
        <v>166059.87</v>
      </c>
      <c r="C59" s="469" t="s">
        <v>425</v>
      </c>
      <c r="I59" s="510" t="s">
        <v>199</v>
      </c>
      <c r="J59" s="486">
        <f>'Annual Rev &amp; Fees'!L58</f>
        <v>209379250.28999996</v>
      </c>
      <c r="L59" s="511"/>
    </row>
    <row r="60" spans="1:18" x14ac:dyDescent="0.25">
      <c r="I60" s="510" t="s">
        <v>426</v>
      </c>
      <c r="J60" s="688">
        <f>D57-E57-F57-G57-H57-I57-J57-K57-L57-M57-N57</f>
        <v>34913044.445999965</v>
      </c>
      <c r="L60" s="511"/>
    </row>
    <row r="61" spans="1:18" x14ac:dyDescent="0.25">
      <c r="I61" s="510" t="s">
        <v>427</v>
      </c>
      <c r="J61" s="687">
        <f>J60/Consolidated!I157</f>
        <v>17456522.222999983</v>
      </c>
      <c r="K61" s="513"/>
      <c r="L61" s="511"/>
    </row>
    <row r="62" spans="1:18" x14ac:dyDescent="0.25">
      <c r="I62" s="510" t="s">
        <v>428</v>
      </c>
      <c r="J62" s="688">
        <f>O57</f>
        <v>17456522.309999995</v>
      </c>
      <c r="L62" s="511"/>
    </row>
    <row r="63" spans="1:18" x14ac:dyDescent="0.25">
      <c r="J63" s="512">
        <f>J61-J62</f>
        <v>-8.7000012397766113E-2</v>
      </c>
      <c r="K63" s="471" t="s">
        <v>429</v>
      </c>
      <c r="L63" s="511"/>
    </row>
    <row r="64" spans="1:18" x14ac:dyDescent="0.25">
      <c r="J64" s="511"/>
      <c r="L64" s="511"/>
    </row>
    <row r="65" spans="1:18" x14ac:dyDescent="0.25">
      <c r="D65" s="498"/>
      <c r="J65" s="511"/>
      <c r="L65" s="511"/>
    </row>
    <row r="69" spans="1:18" x14ac:dyDescent="0.25">
      <c r="N69" s="473" t="s">
        <v>430</v>
      </c>
    </row>
    <row r="71" spans="1:18" ht="45" x14ac:dyDescent="0.25">
      <c r="A71" s="475" t="s">
        <v>52</v>
      </c>
      <c r="B71" s="476" t="s">
        <v>52</v>
      </c>
      <c r="C71" s="475" t="s">
        <v>52</v>
      </c>
      <c r="D71" s="477" t="s">
        <v>199</v>
      </c>
      <c r="E71" s="477" t="s">
        <v>411</v>
      </c>
      <c r="F71" s="476" t="s">
        <v>412</v>
      </c>
      <c r="G71" s="476" t="s">
        <v>413</v>
      </c>
      <c r="H71" s="476" t="s">
        <v>414</v>
      </c>
      <c r="I71" s="476" t="s">
        <v>415</v>
      </c>
      <c r="J71" s="476" t="s">
        <v>416</v>
      </c>
      <c r="K71" s="478" t="s">
        <v>417</v>
      </c>
      <c r="L71" s="476" t="s">
        <v>418</v>
      </c>
      <c r="M71" s="476" t="s">
        <v>419</v>
      </c>
      <c r="N71" s="476" t="s">
        <v>420</v>
      </c>
      <c r="O71" s="476" t="s">
        <v>421</v>
      </c>
      <c r="P71" s="479" t="s">
        <v>422</v>
      </c>
      <c r="Q71" s="476" t="s">
        <v>125</v>
      </c>
      <c r="R71" s="480" t="s">
        <v>423</v>
      </c>
    </row>
    <row r="72" spans="1:18" x14ac:dyDescent="0.25">
      <c r="A72" s="469">
        <v>1</v>
      </c>
      <c r="B72" s="481" t="s">
        <v>207</v>
      </c>
      <c r="C72" s="469" t="s">
        <v>208</v>
      </c>
      <c r="D72" s="482">
        <v>298028.77999999997</v>
      </c>
      <c r="E72" s="482">
        <v>24451.48</v>
      </c>
      <c r="F72" s="526">
        <v>24870.66</v>
      </c>
      <c r="G72" s="526">
        <v>24870.66</v>
      </c>
      <c r="H72" s="483">
        <v>24538.62</v>
      </c>
      <c r="I72" s="483">
        <v>24538.63</v>
      </c>
      <c r="J72" s="483">
        <v>24538.62</v>
      </c>
      <c r="K72" s="484">
        <v>24538.63</v>
      </c>
      <c r="L72" s="484">
        <v>4207.2299999999996</v>
      </c>
      <c r="M72" s="483">
        <v>4207.2299999999996</v>
      </c>
      <c r="N72" s="483">
        <v>4207.24</v>
      </c>
      <c r="O72" s="483"/>
      <c r="P72" s="479"/>
      <c r="Q72" s="514">
        <f>SUM(E72:P72)</f>
        <v>184969.00000000003</v>
      </c>
      <c r="R72" s="485">
        <f>SUM(E72:P72)</f>
        <v>184969.00000000003</v>
      </c>
    </row>
    <row r="73" spans="1:18" x14ac:dyDescent="0.25">
      <c r="A73" s="469">
        <v>2</v>
      </c>
      <c r="B73" s="481" t="s">
        <v>547</v>
      </c>
      <c r="C73" s="469" t="s">
        <v>548</v>
      </c>
      <c r="D73" s="482"/>
      <c r="E73" s="482"/>
      <c r="F73" s="526"/>
      <c r="G73" s="526"/>
      <c r="H73" s="483">
        <v>43342.64</v>
      </c>
      <c r="I73" s="483">
        <v>43342.64</v>
      </c>
      <c r="J73" s="483">
        <v>43342.64</v>
      </c>
      <c r="K73" s="484">
        <v>43342.64</v>
      </c>
      <c r="L73" s="484">
        <v>96450.38</v>
      </c>
      <c r="M73" s="483">
        <v>96450.39</v>
      </c>
      <c r="N73" s="483">
        <v>96450.38</v>
      </c>
      <c r="O73" s="483"/>
      <c r="P73" s="479"/>
      <c r="Q73" s="514">
        <f>SUM(E73:P73)</f>
        <v>462721.71</v>
      </c>
      <c r="R73" s="485">
        <f t="shared" ref="R73:R122" si="4">SUM(E73:P73)</f>
        <v>462721.71</v>
      </c>
    </row>
    <row r="74" spans="1:18" x14ac:dyDescent="0.25">
      <c r="A74" s="469">
        <v>3</v>
      </c>
      <c r="B74" s="481" t="s">
        <v>209</v>
      </c>
      <c r="C74" s="469" t="s">
        <v>210</v>
      </c>
      <c r="D74" s="482">
        <v>267259.57</v>
      </c>
      <c r="E74" s="482">
        <v>22293.06</v>
      </c>
      <c r="F74" s="526">
        <v>22269.68</v>
      </c>
      <c r="G74" s="526">
        <v>22269.68</v>
      </c>
      <c r="H74" s="483">
        <v>26670.77</v>
      </c>
      <c r="I74" s="483">
        <v>26670.78</v>
      </c>
      <c r="J74" s="483">
        <v>26737.89</v>
      </c>
      <c r="K74" s="484">
        <v>28707.39</v>
      </c>
      <c r="L74" s="484">
        <v>134387.78</v>
      </c>
      <c r="M74" s="483">
        <v>134387.78</v>
      </c>
      <c r="N74" s="483">
        <v>134387.78</v>
      </c>
      <c r="O74" s="483"/>
      <c r="P74" s="479"/>
      <c r="Q74" s="514">
        <f>SUM(E74:P74)</f>
        <v>578782.59000000008</v>
      </c>
      <c r="R74" s="485">
        <f t="shared" si="4"/>
        <v>578782.59000000008</v>
      </c>
    </row>
    <row r="75" spans="1:18" x14ac:dyDescent="0.25">
      <c r="A75" s="469">
        <v>4</v>
      </c>
      <c r="B75" s="468" t="s">
        <v>211</v>
      </c>
      <c r="C75" s="469" t="s">
        <v>212</v>
      </c>
      <c r="D75" s="470">
        <v>5905730.7300000004</v>
      </c>
      <c r="E75" s="486">
        <v>485398.34</v>
      </c>
      <c r="F75" s="488">
        <v>492757.49</v>
      </c>
      <c r="G75" s="488">
        <v>662254.39</v>
      </c>
      <c r="H75" s="488">
        <v>675822.09</v>
      </c>
      <c r="I75" s="487">
        <v>659372.19999999995</v>
      </c>
      <c r="J75" s="487">
        <v>659372.19999999995</v>
      </c>
      <c r="K75" s="490">
        <v>659372.19999999995</v>
      </c>
      <c r="L75" s="491">
        <v>654512.44999999995</v>
      </c>
      <c r="M75" s="491">
        <v>654512.44999999995</v>
      </c>
      <c r="N75" s="491">
        <v>654512.44999999995</v>
      </c>
      <c r="O75" s="472"/>
      <c r="Q75" s="514">
        <f>SUM(E75:P75)</f>
        <v>6257886.2600000007</v>
      </c>
      <c r="R75" s="485">
        <f t="shared" si="4"/>
        <v>6257886.2600000007</v>
      </c>
    </row>
    <row r="76" spans="1:18" x14ac:dyDescent="0.25">
      <c r="A76" s="469">
        <v>5</v>
      </c>
      <c r="B76" s="468" t="s">
        <v>213</v>
      </c>
      <c r="C76" s="469" t="s">
        <v>214</v>
      </c>
      <c r="D76" s="470">
        <v>9687740.0200000014</v>
      </c>
      <c r="E76" s="492">
        <v>795164.86</v>
      </c>
      <c r="F76" s="488">
        <v>808415.92</v>
      </c>
      <c r="G76" s="488">
        <v>876352.53</v>
      </c>
      <c r="H76" s="488">
        <v>860836.4</v>
      </c>
      <c r="I76" s="487">
        <v>860836.4</v>
      </c>
      <c r="J76" s="487">
        <v>860836.4</v>
      </c>
      <c r="K76" s="490">
        <v>860836.4</v>
      </c>
      <c r="L76" s="491">
        <v>896456.63</v>
      </c>
      <c r="M76" s="491">
        <v>896456.63</v>
      </c>
      <c r="N76" s="491">
        <v>896456.62</v>
      </c>
      <c r="O76" s="472"/>
      <c r="Q76" s="514">
        <f>SUM(E76:P76)</f>
        <v>8612648.790000001</v>
      </c>
      <c r="R76" s="485">
        <f t="shared" si="4"/>
        <v>8612648.790000001</v>
      </c>
    </row>
    <row r="77" spans="1:18" x14ac:dyDescent="0.25">
      <c r="A77" s="469">
        <v>6</v>
      </c>
      <c r="B77" s="468" t="s">
        <v>215</v>
      </c>
      <c r="C77" s="469" t="s">
        <v>216</v>
      </c>
      <c r="D77" s="470">
        <v>1350384.3499999999</v>
      </c>
      <c r="E77" s="492">
        <v>112200.54</v>
      </c>
      <c r="F77" s="488">
        <v>112562.16</v>
      </c>
      <c r="G77" s="488">
        <v>112694.39999999999</v>
      </c>
      <c r="H77" s="488">
        <v>109553.39</v>
      </c>
      <c r="I77" s="487">
        <v>109553.39</v>
      </c>
      <c r="J77" s="487">
        <v>109705.04</v>
      </c>
      <c r="K77" s="490">
        <v>109705.05</v>
      </c>
      <c r="L77" s="491">
        <v>112560.37</v>
      </c>
      <c r="M77" s="491">
        <v>112560.37</v>
      </c>
      <c r="N77" s="491">
        <v>112560.37</v>
      </c>
      <c r="O77" s="472"/>
      <c r="Q77" s="514">
        <f t="shared" ref="Q77:Q122" si="5">SUM(E77:P77)</f>
        <v>1113655.08</v>
      </c>
      <c r="R77" s="485">
        <f t="shared" si="4"/>
        <v>1113655.08</v>
      </c>
    </row>
    <row r="78" spans="1:18" x14ac:dyDescent="0.25">
      <c r="A78" s="469">
        <v>7</v>
      </c>
      <c r="B78" s="468" t="s">
        <v>217</v>
      </c>
      <c r="C78" s="469" t="s">
        <v>313</v>
      </c>
      <c r="D78" s="498">
        <v>1583711.73</v>
      </c>
      <c r="E78" s="492">
        <v>128465.38</v>
      </c>
      <c r="F78" s="488">
        <v>132295.12</v>
      </c>
      <c r="G78" s="488">
        <v>132295.12</v>
      </c>
      <c r="H78" s="488">
        <v>136643.49</v>
      </c>
      <c r="I78" s="487">
        <v>136643.49</v>
      </c>
      <c r="J78" s="487">
        <v>137042.07</v>
      </c>
      <c r="K78" s="490">
        <v>136859.32</v>
      </c>
      <c r="L78" s="491">
        <v>99580.83</v>
      </c>
      <c r="M78" s="491">
        <v>99580.83</v>
      </c>
      <c r="N78" s="491">
        <v>99580.83</v>
      </c>
      <c r="O78" s="472"/>
      <c r="Q78" s="514">
        <f t="shared" si="5"/>
        <v>1238986.48</v>
      </c>
      <c r="R78" s="485">
        <f t="shared" si="4"/>
        <v>1238986.48</v>
      </c>
    </row>
    <row r="79" spans="1:18" x14ac:dyDescent="0.25">
      <c r="A79" s="469">
        <v>8</v>
      </c>
      <c r="B79" s="468" t="s">
        <v>219</v>
      </c>
      <c r="C79" s="469" t="s">
        <v>220</v>
      </c>
      <c r="D79" s="470">
        <v>5346468.25</v>
      </c>
      <c r="E79" s="492">
        <v>440248.86</v>
      </c>
      <c r="F79" s="488">
        <v>446019.94</v>
      </c>
      <c r="G79" s="488">
        <v>446019.95</v>
      </c>
      <c r="H79" s="488">
        <v>454340.22</v>
      </c>
      <c r="I79" s="487">
        <v>454340.22</v>
      </c>
      <c r="J79" s="487">
        <v>455853.95</v>
      </c>
      <c r="K79" s="490">
        <v>455853.95</v>
      </c>
      <c r="L79" s="491">
        <v>477676.86</v>
      </c>
      <c r="M79" s="491">
        <v>477676.86</v>
      </c>
      <c r="N79" s="491">
        <v>477676.86</v>
      </c>
      <c r="O79" s="472"/>
      <c r="Q79" s="514">
        <f t="shared" si="5"/>
        <v>4585707.67</v>
      </c>
      <c r="R79" s="485">
        <f t="shared" si="4"/>
        <v>4585707.67</v>
      </c>
    </row>
    <row r="80" spans="1:18" x14ac:dyDescent="0.25">
      <c r="A80" s="469">
        <v>9</v>
      </c>
      <c r="B80" s="468" t="s">
        <v>221</v>
      </c>
      <c r="C80" s="469" t="s">
        <v>222</v>
      </c>
      <c r="D80" s="470">
        <v>5255370.76</v>
      </c>
      <c r="E80" s="492">
        <v>433777.9</v>
      </c>
      <c r="F80" s="488">
        <v>438326.62</v>
      </c>
      <c r="G80" s="488">
        <v>438326.62</v>
      </c>
      <c r="H80" s="488">
        <v>441316.79</v>
      </c>
      <c r="I80" s="487">
        <v>441316.79</v>
      </c>
      <c r="J80" s="487">
        <v>441316.79</v>
      </c>
      <c r="K80" s="490">
        <v>441316.79</v>
      </c>
      <c r="L80" s="491">
        <v>401410.35</v>
      </c>
      <c r="M80" s="491">
        <v>401410.35</v>
      </c>
      <c r="N80" s="491">
        <v>401410.34</v>
      </c>
      <c r="O80" s="472"/>
      <c r="Q80" s="514">
        <f t="shared" si="5"/>
        <v>4279929.3400000008</v>
      </c>
      <c r="R80" s="485">
        <f t="shared" si="4"/>
        <v>4279929.3400000008</v>
      </c>
    </row>
    <row r="81" spans="1:18" x14ac:dyDescent="0.25">
      <c r="A81" s="469">
        <v>10</v>
      </c>
      <c r="B81" s="468" t="s">
        <v>223</v>
      </c>
      <c r="C81" s="469" t="s">
        <v>224</v>
      </c>
      <c r="D81" s="470">
        <v>6152950.2399999993</v>
      </c>
      <c r="E81" s="492">
        <v>505265.93</v>
      </c>
      <c r="F81" s="488">
        <v>513425.85</v>
      </c>
      <c r="G81" s="488">
        <v>513425.85</v>
      </c>
      <c r="H81" s="488">
        <v>511868.89</v>
      </c>
      <c r="I81" s="487">
        <v>511868.89</v>
      </c>
      <c r="J81" s="487">
        <v>511868.89</v>
      </c>
      <c r="K81" s="490">
        <v>511868.9</v>
      </c>
      <c r="L81" s="491">
        <v>655584.5</v>
      </c>
      <c r="M81" s="491">
        <v>655584.5</v>
      </c>
      <c r="N81" s="491">
        <v>655584.5</v>
      </c>
      <c r="O81" s="472"/>
      <c r="Q81" s="514">
        <f t="shared" si="5"/>
        <v>5546346.7000000002</v>
      </c>
      <c r="R81" s="485">
        <f t="shared" si="4"/>
        <v>5546346.7000000002</v>
      </c>
    </row>
    <row r="82" spans="1:18" x14ac:dyDescent="0.25">
      <c r="A82" s="469">
        <v>11</v>
      </c>
      <c r="B82" s="468" t="s">
        <v>225</v>
      </c>
      <c r="C82" s="469" t="s">
        <v>226</v>
      </c>
      <c r="D82" s="470">
        <v>10423112.100000001</v>
      </c>
      <c r="E82" s="492">
        <v>858865.25</v>
      </c>
      <c r="F82" s="488">
        <v>869504.11</v>
      </c>
      <c r="G82" s="488">
        <v>869504.11</v>
      </c>
      <c r="H82" s="488">
        <v>890806.34</v>
      </c>
      <c r="I82" s="487">
        <v>890806.34</v>
      </c>
      <c r="J82" s="487">
        <v>892399.18</v>
      </c>
      <c r="K82" s="490">
        <v>892467.27</v>
      </c>
      <c r="L82" s="491">
        <v>1008874.41</v>
      </c>
      <c r="M82" s="491">
        <v>1008874.41</v>
      </c>
      <c r="N82" s="491">
        <v>1008874.4</v>
      </c>
      <c r="O82" s="472"/>
      <c r="Q82" s="514">
        <f t="shared" si="5"/>
        <v>9190975.8200000003</v>
      </c>
      <c r="R82" s="485">
        <f t="shared" si="4"/>
        <v>9190975.8200000003</v>
      </c>
    </row>
    <row r="83" spans="1:18" x14ac:dyDescent="0.25">
      <c r="A83" s="469">
        <v>12</v>
      </c>
      <c r="B83" s="468" t="s">
        <v>227</v>
      </c>
      <c r="C83" s="469" t="s">
        <v>228</v>
      </c>
      <c r="D83" s="470">
        <v>5952516.4199999999</v>
      </c>
      <c r="E83" s="492">
        <v>484859.99</v>
      </c>
      <c r="F83" s="488">
        <v>497059.68</v>
      </c>
      <c r="G83" s="488">
        <v>497059.68</v>
      </c>
      <c r="H83" s="488">
        <v>504701.18</v>
      </c>
      <c r="I83" s="487">
        <v>504701.18</v>
      </c>
      <c r="J83" s="487">
        <v>506490.84</v>
      </c>
      <c r="K83" s="490">
        <v>505938.1</v>
      </c>
      <c r="L83" s="491">
        <v>613167.34</v>
      </c>
      <c r="M83" s="491">
        <v>613167.34</v>
      </c>
      <c r="N83" s="491">
        <v>613167.32999999996</v>
      </c>
      <c r="O83" s="472"/>
      <c r="Q83" s="514">
        <f t="shared" si="5"/>
        <v>5340312.66</v>
      </c>
      <c r="R83" s="485">
        <f t="shared" si="4"/>
        <v>5340312.66</v>
      </c>
    </row>
    <row r="84" spans="1:18" x14ac:dyDescent="0.25">
      <c r="A84" s="469">
        <v>13</v>
      </c>
      <c r="B84" s="468" t="s">
        <v>229</v>
      </c>
      <c r="C84" s="469" t="s">
        <v>230</v>
      </c>
      <c r="D84" s="470">
        <v>1095429.95</v>
      </c>
      <c r="E84" s="492">
        <v>90419.86</v>
      </c>
      <c r="F84" s="488">
        <v>91364.55</v>
      </c>
      <c r="G84" s="488">
        <v>91364.55</v>
      </c>
      <c r="H84" s="488">
        <v>93532.75</v>
      </c>
      <c r="I84" s="487">
        <v>93532.75</v>
      </c>
      <c r="J84" s="487">
        <v>93541.68</v>
      </c>
      <c r="K84" s="490">
        <v>93541.68</v>
      </c>
      <c r="L84" s="491">
        <v>91480.28</v>
      </c>
      <c r="M84" s="491">
        <v>91480.28</v>
      </c>
      <c r="N84" s="491">
        <v>91480.28</v>
      </c>
      <c r="O84" s="472"/>
      <c r="Q84" s="514">
        <f t="shared" si="5"/>
        <v>921738.66000000015</v>
      </c>
      <c r="R84" s="485">
        <f t="shared" si="4"/>
        <v>921738.66000000015</v>
      </c>
    </row>
    <row r="85" spans="1:18" x14ac:dyDescent="0.25">
      <c r="A85" s="469">
        <v>14</v>
      </c>
      <c r="B85" s="468">
        <v>3362</v>
      </c>
      <c r="C85" s="469" t="s">
        <v>309</v>
      </c>
      <c r="E85" s="492"/>
      <c r="F85" s="488"/>
      <c r="G85" s="488"/>
      <c r="H85" s="488">
        <v>152593</v>
      </c>
      <c r="I85" s="487">
        <v>152593</v>
      </c>
      <c r="J85" s="487">
        <v>152593</v>
      </c>
      <c r="K85" s="490">
        <v>152593</v>
      </c>
      <c r="L85" s="491">
        <v>154690.62</v>
      </c>
      <c r="M85" s="491">
        <v>154690.63</v>
      </c>
      <c r="N85" s="491">
        <v>154690.62</v>
      </c>
      <c r="O85" s="472"/>
      <c r="Q85" s="514">
        <f t="shared" si="5"/>
        <v>1074443.8700000001</v>
      </c>
      <c r="R85" s="485">
        <f t="shared" si="4"/>
        <v>1074443.8700000001</v>
      </c>
    </row>
    <row r="86" spans="1:18" x14ac:dyDescent="0.25">
      <c r="A86" s="469">
        <v>15</v>
      </c>
      <c r="B86" s="468" t="s">
        <v>231</v>
      </c>
      <c r="C86" s="469" t="s">
        <v>232</v>
      </c>
      <c r="D86" s="470">
        <v>9142489.2800000012</v>
      </c>
      <c r="E86" s="492">
        <v>750894</v>
      </c>
      <c r="F86" s="488">
        <v>762872.3</v>
      </c>
      <c r="G86" s="488">
        <v>762872.3</v>
      </c>
      <c r="H86" s="488">
        <v>765891.06</v>
      </c>
      <c r="I86" s="487">
        <v>765891.07</v>
      </c>
      <c r="J86" s="487">
        <v>765891.06</v>
      </c>
      <c r="K86" s="490">
        <v>765891.07</v>
      </c>
      <c r="L86" s="491">
        <v>771145.22</v>
      </c>
      <c r="M86" s="491">
        <v>771145.23</v>
      </c>
      <c r="N86" s="491">
        <v>771145.22</v>
      </c>
      <c r="O86" s="472"/>
      <c r="Q86" s="514">
        <f t="shared" si="5"/>
        <v>7653638.5300000003</v>
      </c>
      <c r="R86" s="485">
        <f t="shared" si="4"/>
        <v>7653638.5300000003</v>
      </c>
    </row>
    <row r="87" spans="1:18" x14ac:dyDescent="0.25">
      <c r="A87" s="469">
        <v>16</v>
      </c>
      <c r="B87" s="468" t="s">
        <v>233</v>
      </c>
      <c r="C87" s="469" t="s">
        <v>234</v>
      </c>
      <c r="D87" s="470">
        <v>2427071.44</v>
      </c>
      <c r="E87" s="492">
        <v>199480.37</v>
      </c>
      <c r="F87" s="488">
        <v>202508.28</v>
      </c>
      <c r="G87" s="488">
        <v>202508.28</v>
      </c>
      <c r="H87" s="488">
        <v>198960.42</v>
      </c>
      <c r="I87" s="487">
        <v>198960.42</v>
      </c>
      <c r="J87" s="487">
        <v>198960.42</v>
      </c>
      <c r="K87" s="490">
        <v>198960.42</v>
      </c>
      <c r="L87" s="491">
        <v>200075</v>
      </c>
      <c r="M87" s="491">
        <v>200075</v>
      </c>
      <c r="N87" s="491">
        <v>200075</v>
      </c>
      <c r="O87" s="472"/>
      <c r="Q87" s="514">
        <f t="shared" si="5"/>
        <v>2000563.61</v>
      </c>
      <c r="R87" s="485">
        <f t="shared" si="4"/>
        <v>2000563.61</v>
      </c>
    </row>
    <row r="88" spans="1:18" x14ac:dyDescent="0.25">
      <c r="A88" s="469">
        <v>17</v>
      </c>
      <c r="B88" s="468" t="s">
        <v>235</v>
      </c>
      <c r="C88" s="469" t="s">
        <v>236</v>
      </c>
      <c r="D88" s="498">
        <v>0</v>
      </c>
      <c r="E88" s="492"/>
      <c r="F88" s="488">
        <v>0</v>
      </c>
      <c r="G88" s="488"/>
      <c r="H88" s="488"/>
      <c r="I88" s="487"/>
      <c r="J88" s="487"/>
      <c r="K88" s="490"/>
      <c r="L88" s="491"/>
      <c r="M88" s="491"/>
      <c r="N88" s="491"/>
      <c r="O88" s="472"/>
      <c r="Q88" s="514">
        <f t="shared" si="5"/>
        <v>0</v>
      </c>
      <c r="R88" s="485">
        <f t="shared" si="4"/>
        <v>0</v>
      </c>
    </row>
    <row r="89" spans="1:18" x14ac:dyDescent="0.25">
      <c r="A89" s="469">
        <v>18</v>
      </c>
      <c r="B89" s="468" t="s">
        <v>237</v>
      </c>
      <c r="C89" s="469" t="s">
        <v>238</v>
      </c>
      <c r="D89" s="470">
        <v>1653077.94</v>
      </c>
      <c r="E89" s="492">
        <v>136646.84</v>
      </c>
      <c r="F89" s="488">
        <v>137857.37</v>
      </c>
      <c r="G89" s="488">
        <v>137857.37</v>
      </c>
      <c r="H89" s="488">
        <v>136608.79999999999</v>
      </c>
      <c r="I89" s="487">
        <v>136608.79999999999</v>
      </c>
      <c r="J89" s="487">
        <v>136608.79</v>
      </c>
      <c r="K89" s="490">
        <v>136608.79999999999</v>
      </c>
      <c r="L89" s="491">
        <v>143972.29</v>
      </c>
      <c r="M89" s="491">
        <v>143972.29</v>
      </c>
      <c r="N89" s="491">
        <v>143972.29</v>
      </c>
      <c r="O89" s="472"/>
      <c r="Q89" s="514">
        <f t="shared" si="5"/>
        <v>1390713.6400000001</v>
      </c>
      <c r="R89" s="485">
        <f t="shared" si="4"/>
        <v>1390713.6400000001</v>
      </c>
    </row>
    <row r="90" spans="1:18" x14ac:dyDescent="0.25">
      <c r="A90" s="469">
        <v>19</v>
      </c>
      <c r="B90" s="468" t="s">
        <v>239</v>
      </c>
      <c r="C90" s="469" t="s">
        <v>240</v>
      </c>
      <c r="D90" s="470">
        <v>4417918.6399999997</v>
      </c>
      <c r="E90" s="492">
        <v>363962.87</v>
      </c>
      <c r="F90" s="488">
        <v>368541.43</v>
      </c>
      <c r="G90" s="488">
        <v>368541.43</v>
      </c>
      <c r="H90" s="488">
        <v>366702.21</v>
      </c>
      <c r="I90" s="487">
        <v>366702.21</v>
      </c>
      <c r="J90" s="487">
        <v>366702.21</v>
      </c>
      <c r="K90" s="490">
        <v>366702.22</v>
      </c>
      <c r="L90" s="491">
        <v>420003.16</v>
      </c>
      <c r="M90" s="491">
        <v>420003.16</v>
      </c>
      <c r="N90" s="491">
        <v>420003.16</v>
      </c>
      <c r="O90" s="472"/>
      <c r="Q90" s="514">
        <f t="shared" si="5"/>
        <v>3827864.0600000005</v>
      </c>
      <c r="R90" s="485">
        <f t="shared" si="4"/>
        <v>3827864.0600000005</v>
      </c>
    </row>
    <row r="91" spans="1:18" x14ac:dyDescent="0.25">
      <c r="A91" s="469">
        <v>20</v>
      </c>
      <c r="B91" s="468" t="s">
        <v>241</v>
      </c>
      <c r="C91" s="469" t="s">
        <v>242</v>
      </c>
      <c r="D91" s="470">
        <v>5867214.7299999995</v>
      </c>
      <c r="E91" s="492">
        <v>481353.82</v>
      </c>
      <c r="F91" s="488">
        <v>489623.72</v>
      </c>
      <c r="G91" s="488">
        <v>533385.66</v>
      </c>
      <c r="H91" s="488">
        <v>524600.61</v>
      </c>
      <c r="I91" s="487">
        <v>524600.61</v>
      </c>
      <c r="J91" s="487">
        <v>524600.6</v>
      </c>
      <c r="K91" s="490">
        <v>524600.61</v>
      </c>
      <c r="L91" s="491">
        <v>547659.96</v>
      </c>
      <c r="M91" s="491">
        <v>547659.97</v>
      </c>
      <c r="N91" s="491">
        <v>547659.96</v>
      </c>
      <c r="O91" s="472"/>
      <c r="Q91" s="514">
        <f t="shared" si="5"/>
        <v>5245745.5199999996</v>
      </c>
      <c r="R91" s="485">
        <f t="shared" si="4"/>
        <v>5245745.5199999996</v>
      </c>
    </row>
    <row r="92" spans="1:18" x14ac:dyDescent="0.25">
      <c r="A92" s="469">
        <v>21</v>
      </c>
      <c r="B92" s="468" t="s">
        <v>243</v>
      </c>
      <c r="C92" s="469" t="s">
        <v>244</v>
      </c>
      <c r="D92" s="470">
        <v>919769.33000000007</v>
      </c>
      <c r="E92" s="492">
        <v>75370.149999999994</v>
      </c>
      <c r="F92" s="488">
        <v>76763.56</v>
      </c>
      <c r="G92" s="488">
        <v>76763.56</v>
      </c>
      <c r="H92" s="488">
        <v>78174.02</v>
      </c>
      <c r="I92" s="487">
        <v>78174.02</v>
      </c>
      <c r="J92" s="487">
        <v>78174.02</v>
      </c>
      <c r="K92" s="490">
        <v>78174.02</v>
      </c>
      <c r="L92" s="491">
        <v>61462.22</v>
      </c>
      <c r="M92" s="491">
        <v>61462.22</v>
      </c>
      <c r="N92" s="491">
        <v>61462.22</v>
      </c>
      <c r="O92" s="472"/>
      <c r="Q92" s="514">
        <f t="shared" si="5"/>
        <v>725980.00999999989</v>
      </c>
      <c r="R92" s="485">
        <f t="shared" si="4"/>
        <v>725980.00999999989</v>
      </c>
    </row>
    <row r="93" spans="1:18" x14ac:dyDescent="0.25">
      <c r="A93" s="469">
        <v>22</v>
      </c>
      <c r="B93" s="468" t="s">
        <v>245</v>
      </c>
      <c r="C93" s="469" t="s">
        <v>246</v>
      </c>
      <c r="D93" s="470">
        <v>1132579.8100000003</v>
      </c>
      <c r="E93" s="492">
        <v>93540.76</v>
      </c>
      <c r="F93" s="488">
        <v>94458.1</v>
      </c>
      <c r="G93" s="488">
        <v>94458.1</v>
      </c>
      <c r="H93" s="488">
        <v>100055.2</v>
      </c>
      <c r="I93" s="487">
        <v>100055.2</v>
      </c>
      <c r="J93" s="487">
        <v>100047.91</v>
      </c>
      <c r="K93" s="490">
        <v>100047.91</v>
      </c>
      <c r="L93" s="491">
        <v>89165.9</v>
      </c>
      <c r="M93" s="491">
        <v>89165.91</v>
      </c>
      <c r="N93" s="491">
        <v>89165.9</v>
      </c>
      <c r="O93" s="472"/>
      <c r="Q93" s="514">
        <f t="shared" si="5"/>
        <v>950160.89000000013</v>
      </c>
      <c r="R93" s="485">
        <f t="shared" si="4"/>
        <v>950160.89000000013</v>
      </c>
    </row>
    <row r="94" spans="1:18" x14ac:dyDescent="0.25">
      <c r="A94" s="469">
        <v>23</v>
      </c>
      <c r="B94" s="468" t="s">
        <v>247</v>
      </c>
      <c r="C94" s="469" t="s">
        <v>248</v>
      </c>
      <c r="D94" s="470">
        <v>3550532.1600000006</v>
      </c>
      <c r="E94" s="492">
        <v>291401.55</v>
      </c>
      <c r="F94" s="488">
        <v>296284.59999999998</v>
      </c>
      <c r="G94" s="488">
        <v>298028.7</v>
      </c>
      <c r="H94" s="488">
        <v>307696.18</v>
      </c>
      <c r="I94" s="487">
        <v>307696.18</v>
      </c>
      <c r="J94" s="487">
        <v>307696.17</v>
      </c>
      <c r="K94" s="490">
        <v>307696.18</v>
      </c>
      <c r="L94" s="491">
        <v>225219.95</v>
      </c>
      <c r="M94" s="491">
        <v>225219.95</v>
      </c>
      <c r="N94" s="491">
        <v>225219.95</v>
      </c>
      <c r="O94" s="472"/>
      <c r="Q94" s="514">
        <f t="shared" si="5"/>
        <v>2792159.41</v>
      </c>
      <c r="R94" s="485">
        <f t="shared" si="4"/>
        <v>2792159.41</v>
      </c>
    </row>
    <row r="95" spans="1:18" x14ac:dyDescent="0.25">
      <c r="A95" s="469">
        <v>24</v>
      </c>
      <c r="B95" s="468" t="s">
        <v>249</v>
      </c>
      <c r="C95" s="469" t="s">
        <v>250</v>
      </c>
      <c r="D95" s="470">
        <v>3434816.54</v>
      </c>
      <c r="E95" s="492">
        <v>282765.64</v>
      </c>
      <c r="F95" s="488">
        <v>286550.08</v>
      </c>
      <c r="G95" s="488">
        <v>286550.08</v>
      </c>
      <c r="H95" s="488">
        <v>287180.12</v>
      </c>
      <c r="I95" s="487">
        <v>287180.12</v>
      </c>
      <c r="J95" s="487">
        <v>287180.12</v>
      </c>
      <c r="K95" s="490">
        <v>287180.12</v>
      </c>
      <c r="L95" s="491">
        <v>295695.63</v>
      </c>
      <c r="M95" s="491">
        <v>295695.64</v>
      </c>
      <c r="N95" s="491">
        <v>295695.63</v>
      </c>
      <c r="O95" s="472"/>
      <c r="Q95" s="514">
        <f t="shared" si="5"/>
        <v>2891673.18</v>
      </c>
      <c r="R95" s="485">
        <f t="shared" si="4"/>
        <v>2891673.18</v>
      </c>
    </row>
    <row r="96" spans="1:18" x14ac:dyDescent="0.25">
      <c r="A96" s="469">
        <v>25</v>
      </c>
      <c r="B96" s="468" t="s">
        <v>251</v>
      </c>
      <c r="C96" s="469" t="s">
        <v>252</v>
      </c>
      <c r="D96" s="470">
        <v>3841654.26</v>
      </c>
      <c r="E96" s="492">
        <v>318686.65000000002</v>
      </c>
      <c r="F96" s="488">
        <v>320269.78000000003</v>
      </c>
      <c r="G96" s="488">
        <v>322019.77</v>
      </c>
      <c r="H96" s="488">
        <v>365620.49</v>
      </c>
      <c r="I96" s="487">
        <v>365620.49</v>
      </c>
      <c r="J96" s="487">
        <v>365620.49</v>
      </c>
      <c r="K96" s="490">
        <v>365620.49</v>
      </c>
      <c r="L96" s="491">
        <v>434928.01</v>
      </c>
      <c r="M96" s="491">
        <v>434928.01</v>
      </c>
      <c r="N96" s="491">
        <v>434928.01</v>
      </c>
      <c r="O96" s="472"/>
      <c r="Q96" s="514">
        <f t="shared" si="5"/>
        <v>3728242.1899999995</v>
      </c>
      <c r="R96" s="485">
        <f t="shared" si="4"/>
        <v>3728242.1899999995</v>
      </c>
    </row>
    <row r="97" spans="1:18" x14ac:dyDescent="0.25">
      <c r="A97" s="469">
        <v>26</v>
      </c>
      <c r="B97" s="468" t="s">
        <v>253</v>
      </c>
      <c r="C97" s="469" t="s">
        <v>254</v>
      </c>
      <c r="D97" s="470">
        <v>8841825.3200000003</v>
      </c>
      <c r="E97" s="492">
        <v>727291.13</v>
      </c>
      <c r="F97" s="488">
        <v>737684.93</v>
      </c>
      <c r="G97" s="488">
        <v>737684.93</v>
      </c>
      <c r="H97" s="488">
        <v>725549.97</v>
      </c>
      <c r="I97" s="487">
        <v>725549.97</v>
      </c>
      <c r="J97" s="487">
        <v>725549.97</v>
      </c>
      <c r="K97" s="490">
        <v>725549.97</v>
      </c>
      <c r="L97" s="491">
        <v>739014.58</v>
      </c>
      <c r="M97" s="491">
        <v>739014.59</v>
      </c>
      <c r="N97" s="491">
        <v>739014.58</v>
      </c>
      <c r="O97" s="472"/>
      <c r="Q97" s="514">
        <f t="shared" si="5"/>
        <v>7321904.6199999992</v>
      </c>
      <c r="R97" s="485">
        <f t="shared" si="4"/>
        <v>7321904.6199999992</v>
      </c>
    </row>
    <row r="98" spans="1:18" x14ac:dyDescent="0.25">
      <c r="A98" s="469">
        <v>27</v>
      </c>
      <c r="B98" s="468">
        <v>3441</v>
      </c>
      <c r="C98" s="469" t="s">
        <v>255</v>
      </c>
      <c r="D98" s="470">
        <v>4458303.79</v>
      </c>
      <c r="E98" s="492">
        <v>365051.77</v>
      </c>
      <c r="F98" s="488">
        <v>372113.82</v>
      </c>
      <c r="G98" s="488">
        <v>380953.21</v>
      </c>
      <c r="H98" s="488">
        <v>387823.98</v>
      </c>
      <c r="I98" s="487">
        <v>387823.98</v>
      </c>
      <c r="J98" s="487">
        <v>387823.98</v>
      </c>
      <c r="K98" s="490">
        <v>387823.98</v>
      </c>
      <c r="L98" s="491">
        <v>386283.79</v>
      </c>
      <c r="M98" s="491">
        <v>386283.8</v>
      </c>
      <c r="N98" s="491">
        <v>386283.79</v>
      </c>
      <c r="O98" s="472"/>
      <c r="Q98" s="514">
        <f t="shared" si="5"/>
        <v>3828266.1</v>
      </c>
      <c r="R98" s="485">
        <f t="shared" si="4"/>
        <v>3828266.1</v>
      </c>
    </row>
    <row r="99" spans="1:18" x14ac:dyDescent="0.25">
      <c r="A99" s="469">
        <v>28</v>
      </c>
      <c r="B99" s="468">
        <v>3924</v>
      </c>
      <c r="C99" s="469" t="s">
        <v>256</v>
      </c>
      <c r="D99" s="470">
        <v>3693471.08</v>
      </c>
      <c r="E99" s="492">
        <v>303122.37</v>
      </c>
      <c r="F99" s="488">
        <v>308213.52</v>
      </c>
      <c r="G99" s="488">
        <v>309424.3</v>
      </c>
      <c r="H99" s="488">
        <v>306743.77</v>
      </c>
      <c r="I99" s="487">
        <v>306743.77</v>
      </c>
      <c r="J99" s="487">
        <v>306743.77</v>
      </c>
      <c r="K99" s="490">
        <v>306743.77</v>
      </c>
      <c r="L99" s="491">
        <v>265079.03999999998</v>
      </c>
      <c r="M99" s="491">
        <v>265079.03999999998</v>
      </c>
      <c r="N99" s="491">
        <v>265079.03999999998</v>
      </c>
      <c r="O99" s="472"/>
      <c r="Q99" s="514">
        <f t="shared" si="5"/>
        <v>2942972.39</v>
      </c>
      <c r="R99" s="485">
        <f t="shared" si="4"/>
        <v>2942972.39</v>
      </c>
    </row>
    <row r="100" spans="1:18" x14ac:dyDescent="0.25">
      <c r="A100" s="469">
        <v>29</v>
      </c>
      <c r="B100" s="468" t="s">
        <v>257</v>
      </c>
      <c r="C100" s="469" t="s">
        <v>258</v>
      </c>
      <c r="D100" s="470">
        <v>2020244.56</v>
      </c>
      <c r="E100" s="492">
        <v>166503.70000000001</v>
      </c>
      <c r="F100" s="488">
        <v>168521.9</v>
      </c>
      <c r="G100" s="488">
        <v>168521.9</v>
      </c>
      <c r="H100" s="488">
        <v>168880.64000000001</v>
      </c>
      <c r="I100" s="487">
        <v>168880.64000000001</v>
      </c>
      <c r="J100" s="487">
        <v>168880.64000000001</v>
      </c>
      <c r="K100" s="490">
        <v>168880.64000000001</v>
      </c>
      <c r="L100" s="491">
        <v>167307.03</v>
      </c>
      <c r="M100" s="491">
        <v>167307.03</v>
      </c>
      <c r="N100" s="491">
        <v>167307.01999999999</v>
      </c>
      <c r="O100" s="472"/>
      <c r="Q100" s="514">
        <f t="shared" si="5"/>
        <v>1680991.1400000001</v>
      </c>
      <c r="R100" s="485">
        <f t="shared" si="4"/>
        <v>1680991.1400000001</v>
      </c>
    </row>
    <row r="101" spans="1:18" x14ac:dyDescent="0.25">
      <c r="A101" s="469">
        <v>30</v>
      </c>
      <c r="B101" s="468" t="s">
        <v>259</v>
      </c>
      <c r="C101" s="469" t="s">
        <v>260</v>
      </c>
      <c r="D101" s="502">
        <v>0</v>
      </c>
      <c r="E101" s="503"/>
      <c r="F101" s="488">
        <v>0</v>
      </c>
      <c r="G101" s="488"/>
      <c r="H101" s="488"/>
      <c r="I101" s="487"/>
      <c r="J101" s="487"/>
      <c r="K101" s="490"/>
      <c r="L101" s="491"/>
      <c r="M101" s="491"/>
      <c r="N101" s="491"/>
      <c r="O101" s="472"/>
      <c r="Q101" s="514">
        <f t="shared" si="5"/>
        <v>0</v>
      </c>
      <c r="R101" s="485">
        <f t="shared" si="4"/>
        <v>0</v>
      </c>
    </row>
    <row r="102" spans="1:18" x14ac:dyDescent="0.25">
      <c r="A102" s="469">
        <v>31</v>
      </c>
      <c r="B102" s="468" t="s">
        <v>261</v>
      </c>
      <c r="C102" s="469" t="s">
        <v>424</v>
      </c>
      <c r="D102" s="470">
        <v>5099211.84</v>
      </c>
      <c r="E102" s="492">
        <v>418200.93</v>
      </c>
      <c r="F102" s="488">
        <v>425546.45</v>
      </c>
      <c r="G102" s="488">
        <v>426358.86</v>
      </c>
      <c r="H102" s="488">
        <v>468192.65</v>
      </c>
      <c r="I102" s="487">
        <v>468192.65</v>
      </c>
      <c r="J102" s="487">
        <v>468192.64</v>
      </c>
      <c r="K102" s="490">
        <v>468192.65</v>
      </c>
      <c r="L102" s="491">
        <v>372294.18</v>
      </c>
      <c r="M102" s="491">
        <v>372294.18</v>
      </c>
      <c r="N102" s="491">
        <v>372294.17</v>
      </c>
      <c r="O102" s="472"/>
      <c r="Q102" s="514">
        <f>SUM(E102:P102)</f>
        <v>4259759.3600000003</v>
      </c>
      <c r="R102" s="485">
        <f t="shared" si="4"/>
        <v>4259759.3600000003</v>
      </c>
    </row>
    <row r="103" spans="1:18" x14ac:dyDescent="0.25">
      <c r="A103" s="469">
        <v>32</v>
      </c>
      <c r="B103" s="468" t="s">
        <v>263</v>
      </c>
      <c r="C103" s="469" t="s">
        <v>264</v>
      </c>
      <c r="D103" s="470">
        <v>5914578.1399999997</v>
      </c>
      <c r="E103" s="492">
        <v>486040.8</v>
      </c>
      <c r="F103" s="488">
        <v>493503.39</v>
      </c>
      <c r="G103" s="488">
        <v>493503.4</v>
      </c>
      <c r="H103" s="488">
        <v>492923.41</v>
      </c>
      <c r="I103" s="487">
        <v>492923.41</v>
      </c>
      <c r="J103" s="487">
        <v>492923.41</v>
      </c>
      <c r="K103" s="490">
        <v>492923.41</v>
      </c>
      <c r="L103" s="491">
        <v>427320.19</v>
      </c>
      <c r="M103" s="491">
        <v>427320.19</v>
      </c>
      <c r="N103" s="491">
        <v>427320.19</v>
      </c>
      <c r="O103" s="472"/>
      <c r="Q103" s="514">
        <f t="shared" si="5"/>
        <v>4726701.8000000007</v>
      </c>
      <c r="R103" s="485">
        <f t="shared" si="4"/>
        <v>4726701.8000000007</v>
      </c>
    </row>
    <row r="104" spans="1:18" x14ac:dyDescent="0.25">
      <c r="A104" s="469">
        <v>33</v>
      </c>
      <c r="B104" s="468">
        <v>4002</v>
      </c>
      <c r="C104" s="469" t="s">
        <v>265</v>
      </c>
      <c r="D104" s="470">
        <v>8574250.8399999999</v>
      </c>
      <c r="E104" s="492">
        <v>707326.89</v>
      </c>
      <c r="F104" s="488">
        <v>715174.9</v>
      </c>
      <c r="G104" s="488">
        <v>715174.91</v>
      </c>
      <c r="H104" s="488">
        <v>708965.29</v>
      </c>
      <c r="I104" s="487">
        <v>708965.29</v>
      </c>
      <c r="J104" s="487">
        <v>708965.29</v>
      </c>
      <c r="K104" s="490">
        <v>708965.29</v>
      </c>
      <c r="L104" s="491">
        <v>565017.44999999995</v>
      </c>
      <c r="M104" s="491">
        <v>565017.44999999995</v>
      </c>
      <c r="N104" s="491">
        <v>565017.43999999994</v>
      </c>
      <c r="O104" s="472"/>
      <c r="Q104" s="514">
        <f t="shared" si="5"/>
        <v>6668590.2000000011</v>
      </c>
      <c r="R104" s="485">
        <f t="shared" si="4"/>
        <v>6668590.2000000011</v>
      </c>
    </row>
    <row r="105" spans="1:18" x14ac:dyDescent="0.25">
      <c r="A105" s="469">
        <v>34</v>
      </c>
      <c r="B105" s="468">
        <v>4012</v>
      </c>
      <c r="C105" s="469" t="s">
        <v>266</v>
      </c>
      <c r="D105" s="470">
        <v>4904770.5200000005</v>
      </c>
      <c r="E105" s="492">
        <v>401311.12</v>
      </c>
      <c r="F105" s="488">
        <v>409405.4</v>
      </c>
      <c r="G105" s="488">
        <v>417398.36</v>
      </c>
      <c r="H105" s="488">
        <v>416469.55</v>
      </c>
      <c r="I105" s="487">
        <v>416469.55</v>
      </c>
      <c r="J105" s="487">
        <v>416469.55</v>
      </c>
      <c r="K105" s="490">
        <v>416469.55</v>
      </c>
      <c r="L105" s="491">
        <v>330917.68</v>
      </c>
      <c r="M105" s="491">
        <v>330917.68</v>
      </c>
      <c r="N105" s="491">
        <v>330917.68</v>
      </c>
      <c r="O105" s="472"/>
      <c r="Q105" s="514">
        <f t="shared" si="5"/>
        <v>3886746.12</v>
      </c>
      <c r="R105" s="485">
        <f t="shared" si="4"/>
        <v>3886746.12</v>
      </c>
    </row>
    <row r="106" spans="1:18" x14ac:dyDescent="0.25">
      <c r="A106" s="469">
        <v>35</v>
      </c>
      <c r="B106" s="468">
        <v>4013</v>
      </c>
      <c r="C106" s="469" t="s">
        <v>267</v>
      </c>
      <c r="D106" s="470">
        <v>8119848.8800000008</v>
      </c>
      <c r="E106" s="492">
        <v>667648.91</v>
      </c>
      <c r="F106" s="488">
        <v>677472.72</v>
      </c>
      <c r="G106" s="488">
        <v>795258.27</v>
      </c>
      <c r="H106" s="488">
        <v>786596.81</v>
      </c>
      <c r="I106" s="487">
        <v>786596.81</v>
      </c>
      <c r="J106" s="487">
        <v>786596.81</v>
      </c>
      <c r="K106" s="490">
        <v>786596.81</v>
      </c>
      <c r="L106" s="491">
        <v>764388.1</v>
      </c>
      <c r="M106" s="491">
        <v>764388.1</v>
      </c>
      <c r="N106" s="491">
        <v>764388.1</v>
      </c>
      <c r="O106" s="472"/>
      <c r="Q106" s="514">
        <f t="shared" si="5"/>
        <v>7579931.4399999995</v>
      </c>
      <c r="R106" s="485">
        <f t="shared" si="4"/>
        <v>7579931.4399999995</v>
      </c>
    </row>
    <row r="107" spans="1:18" x14ac:dyDescent="0.25">
      <c r="A107" s="469">
        <v>36</v>
      </c>
      <c r="B107" s="468">
        <v>4020</v>
      </c>
      <c r="C107" s="469" t="s">
        <v>268</v>
      </c>
      <c r="D107" s="470">
        <v>10867277.120000001</v>
      </c>
      <c r="E107" s="492">
        <v>892802.19</v>
      </c>
      <c r="F107" s="488">
        <v>906770.45</v>
      </c>
      <c r="G107" s="488">
        <v>906770.45</v>
      </c>
      <c r="H107" s="488">
        <v>899763.33</v>
      </c>
      <c r="I107" s="487">
        <v>899763.33</v>
      </c>
      <c r="J107" s="487">
        <v>899763.33</v>
      </c>
      <c r="K107" s="490">
        <v>899763.33</v>
      </c>
      <c r="L107" s="491">
        <v>920811.93</v>
      </c>
      <c r="M107" s="491">
        <v>920811.93</v>
      </c>
      <c r="N107" s="491">
        <v>920811.93</v>
      </c>
      <c r="O107" s="472"/>
      <c r="Q107" s="514">
        <f t="shared" si="5"/>
        <v>9067832.1999999993</v>
      </c>
      <c r="R107" s="485">
        <f t="shared" si="4"/>
        <v>9067832.1999999993</v>
      </c>
    </row>
    <row r="108" spans="1:18" x14ac:dyDescent="0.25">
      <c r="A108" s="469">
        <v>37</v>
      </c>
      <c r="B108" s="468">
        <v>4030</v>
      </c>
      <c r="C108" s="469" t="s">
        <v>269</v>
      </c>
      <c r="D108" s="470">
        <v>2619365.38</v>
      </c>
      <c r="E108" s="492">
        <v>216879.02</v>
      </c>
      <c r="F108" s="488">
        <v>218407.85</v>
      </c>
      <c r="G108" s="488">
        <v>218407.85</v>
      </c>
      <c r="H108" s="488">
        <v>217485.59</v>
      </c>
      <c r="I108" s="487">
        <v>217485.59</v>
      </c>
      <c r="J108" s="487">
        <v>217485.59</v>
      </c>
      <c r="K108" s="490">
        <v>217485.59</v>
      </c>
      <c r="L108" s="491">
        <v>116754.84</v>
      </c>
      <c r="M108" s="491">
        <v>116754.84</v>
      </c>
      <c r="N108" s="491">
        <v>116754.84</v>
      </c>
      <c r="O108" s="472"/>
      <c r="Q108" s="514">
        <f t="shared" si="5"/>
        <v>1873901.6000000003</v>
      </c>
      <c r="R108" s="485">
        <f t="shared" si="4"/>
        <v>1873901.6000000003</v>
      </c>
    </row>
    <row r="109" spans="1:18" x14ac:dyDescent="0.25">
      <c r="A109" s="469">
        <v>38</v>
      </c>
      <c r="B109" s="468">
        <v>4031</v>
      </c>
      <c r="C109" s="469" t="s">
        <v>270</v>
      </c>
      <c r="D109" s="470">
        <v>3914815.85</v>
      </c>
      <c r="E109" s="492">
        <v>322483.34000000003</v>
      </c>
      <c r="F109" s="488">
        <v>326575.68</v>
      </c>
      <c r="G109" s="488">
        <v>326575.68</v>
      </c>
      <c r="H109" s="488">
        <v>319995.15999999997</v>
      </c>
      <c r="I109" s="487">
        <v>319995.15999999997</v>
      </c>
      <c r="J109" s="487">
        <v>319995.15999999997</v>
      </c>
      <c r="K109" s="490">
        <v>319995.15999999997</v>
      </c>
      <c r="L109" s="491">
        <v>232569.01</v>
      </c>
      <c r="M109" s="491">
        <v>232569.02</v>
      </c>
      <c r="N109" s="491">
        <v>232569.01</v>
      </c>
      <c r="O109" s="472"/>
      <c r="Q109" s="514">
        <f t="shared" si="5"/>
        <v>2953322.38</v>
      </c>
      <c r="R109" s="485">
        <f t="shared" si="4"/>
        <v>2953322.38</v>
      </c>
    </row>
    <row r="110" spans="1:18" x14ac:dyDescent="0.25">
      <c r="A110" s="469">
        <v>39</v>
      </c>
      <c r="B110" s="468">
        <v>4041</v>
      </c>
      <c r="C110" s="469" t="s">
        <v>271</v>
      </c>
      <c r="D110" s="470">
        <v>775960.87</v>
      </c>
      <c r="E110" s="492">
        <v>63488.77</v>
      </c>
      <c r="F110" s="488">
        <v>64770.19</v>
      </c>
      <c r="G110" s="488">
        <v>64770.19</v>
      </c>
      <c r="H110" s="488">
        <v>64613.31</v>
      </c>
      <c r="I110" s="487">
        <v>64613.31</v>
      </c>
      <c r="J110" s="487">
        <v>64613.31</v>
      </c>
      <c r="K110" s="490">
        <v>64613.31</v>
      </c>
      <c r="L110" s="491">
        <v>67347.960000000006</v>
      </c>
      <c r="M110" s="491">
        <v>67347.97</v>
      </c>
      <c r="N110" s="491">
        <v>67347.960000000006</v>
      </c>
      <c r="O110" s="472"/>
      <c r="Q110" s="514">
        <f t="shared" si="5"/>
        <v>653526.28</v>
      </c>
      <c r="R110" s="485">
        <f t="shared" si="4"/>
        <v>653526.28</v>
      </c>
    </row>
    <row r="111" spans="1:18" x14ac:dyDescent="0.25">
      <c r="A111" s="469">
        <v>40</v>
      </c>
      <c r="B111" s="468">
        <v>4050</v>
      </c>
      <c r="C111" s="469" t="s">
        <v>272</v>
      </c>
      <c r="D111" s="470">
        <v>6227871.4299999988</v>
      </c>
      <c r="E111" s="492">
        <v>512294.34</v>
      </c>
      <c r="F111" s="488">
        <v>519597.92</v>
      </c>
      <c r="G111" s="488">
        <v>519597.92</v>
      </c>
      <c r="H111" s="488">
        <v>511250.04</v>
      </c>
      <c r="I111" s="487">
        <v>511250.04</v>
      </c>
      <c r="J111" s="487">
        <v>511250.04</v>
      </c>
      <c r="K111" s="490">
        <v>511250.04</v>
      </c>
      <c r="L111" s="491">
        <v>380953.57</v>
      </c>
      <c r="M111" s="491">
        <v>380953.57</v>
      </c>
      <c r="N111" s="491">
        <v>380953.57</v>
      </c>
      <c r="O111" s="472"/>
      <c r="Q111" s="514">
        <f t="shared" si="5"/>
        <v>4739351.05</v>
      </c>
      <c r="R111" s="485">
        <f t="shared" si="4"/>
        <v>4739351.05</v>
      </c>
    </row>
    <row r="112" spans="1:18" x14ac:dyDescent="0.25">
      <c r="A112" s="469">
        <v>41</v>
      </c>
      <c r="B112" s="468">
        <v>4051</v>
      </c>
      <c r="C112" s="469" t="s">
        <v>273</v>
      </c>
      <c r="D112" s="470">
        <v>6573895.1500000013</v>
      </c>
      <c r="E112" s="492">
        <v>541173.16</v>
      </c>
      <c r="F112" s="488">
        <v>548429.27</v>
      </c>
      <c r="G112" s="488">
        <v>548429.27</v>
      </c>
      <c r="H112" s="488">
        <v>533809.19999999995</v>
      </c>
      <c r="I112" s="487">
        <v>533809.19999999995</v>
      </c>
      <c r="J112" s="487">
        <v>533809.19999999995</v>
      </c>
      <c r="K112" s="490">
        <v>533809.19999999995</v>
      </c>
      <c r="L112" s="491">
        <v>334065.61</v>
      </c>
      <c r="M112" s="491">
        <v>334065.61</v>
      </c>
      <c r="N112" s="491">
        <v>334065.59999999998</v>
      </c>
      <c r="O112" s="472"/>
      <c r="Q112" s="514">
        <f t="shared" si="5"/>
        <v>4775465.32</v>
      </c>
      <c r="R112" s="485">
        <f t="shared" si="4"/>
        <v>4775465.32</v>
      </c>
    </row>
    <row r="113" spans="1:18" x14ac:dyDescent="0.25">
      <c r="A113" s="469">
        <v>42</v>
      </c>
      <c r="B113" s="468">
        <v>4061</v>
      </c>
      <c r="C113" s="469" t="s">
        <v>274</v>
      </c>
      <c r="D113" s="470">
        <v>8356896.4500000002</v>
      </c>
      <c r="E113" s="492">
        <v>686342</v>
      </c>
      <c r="F113" s="488">
        <v>697323.13</v>
      </c>
      <c r="G113" s="488">
        <v>697323.13</v>
      </c>
      <c r="H113" s="488">
        <v>697798.89</v>
      </c>
      <c r="I113" s="487">
        <v>697798.89</v>
      </c>
      <c r="J113" s="487">
        <v>697798.89</v>
      </c>
      <c r="K113" s="490">
        <v>697798.89</v>
      </c>
      <c r="L113" s="491">
        <v>646776.42000000004</v>
      </c>
      <c r="M113" s="491">
        <v>646776.42000000004</v>
      </c>
      <c r="N113" s="491">
        <v>646776.42000000004</v>
      </c>
      <c r="O113" s="472"/>
      <c r="Q113" s="514">
        <f t="shared" si="5"/>
        <v>6812513.0800000001</v>
      </c>
      <c r="R113" s="485">
        <f t="shared" si="4"/>
        <v>6812513.0800000001</v>
      </c>
    </row>
    <row r="114" spans="1:18" x14ac:dyDescent="0.25">
      <c r="A114" s="469">
        <v>43</v>
      </c>
      <c r="B114" s="468">
        <v>4080</v>
      </c>
      <c r="C114" s="469" t="s">
        <v>275</v>
      </c>
      <c r="D114" s="470">
        <v>166059.87</v>
      </c>
      <c r="E114" s="503">
        <v>166059.87</v>
      </c>
      <c r="F114" s="488">
        <v>0</v>
      </c>
      <c r="G114" s="488"/>
      <c r="H114" s="488"/>
      <c r="I114" s="487"/>
      <c r="J114" s="487"/>
      <c r="K114" s="490"/>
      <c r="L114" s="491"/>
      <c r="M114" s="491"/>
      <c r="N114" s="491"/>
      <c r="O114" s="472"/>
      <c r="Q114" s="514">
        <f>SUM(E114:P114)</f>
        <v>166059.87</v>
      </c>
      <c r="R114" s="485">
        <f t="shared" si="4"/>
        <v>166059.87</v>
      </c>
    </row>
    <row r="115" spans="1:18" x14ac:dyDescent="0.25">
      <c r="A115" s="469">
        <v>44</v>
      </c>
      <c r="B115" s="468">
        <v>4081</v>
      </c>
      <c r="C115" s="469" t="s">
        <v>276</v>
      </c>
      <c r="D115" s="470">
        <v>1014899.57</v>
      </c>
      <c r="E115" s="492">
        <v>83555.86</v>
      </c>
      <c r="F115" s="488">
        <v>84667.61</v>
      </c>
      <c r="G115" s="488">
        <v>84667.61</v>
      </c>
      <c r="H115" s="488">
        <v>86139.09</v>
      </c>
      <c r="I115" s="487">
        <v>86139.09</v>
      </c>
      <c r="J115" s="487">
        <v>86139.09</v>
      </c>
      <c r="K115" s="490">
        <v>86139.09</v>
      </c>
      <c r="L115" s="491">
        <v>71664.039999999994</v>
      </c>
      <c r="M115" s="491">
        <v>71664.05</v>
      </c>
      <c r="N115" s="491">
        <v>71664.039999999994</v>
      </c>
      <c r="O115" s="472"/>
      <c r="Q115" s="514">
        <f t="shared" si="5"/>
        <v>812439.57000000007</v>
      </c>
      <c r="R115" s="485">
        <f t="shared" si="4"/>
        <v>812439.57000000007</v>
      </c>
    </row>
    <row r="116" spans="1:18" x14ac:dyDescent="0.25">
      <c r="A116" s="469">
        <v>45</v>
      </c>
      <c r="B116" s="468">
        <v>4090</v>
      </c>
      <c r="C116" s="469" t="s">
        <v>277</v>
      </c>
      <c r="D116" s="470">
        <v>2220850.8499999996</v>
      </c>
      <c r="E116" s="492">
        <v>182095.15</v>
      </c>
      <c r="F116" s="488">
        <v>185341.43</v>
      </c>
      <c r="G116" s="488">
        <v>185341.43</v>
      </c>
      <c r="H116" s="488">
        <v>209719.73</v>
      </c>
      <c r="I116" s="487">
        <v>209719.73</v>
      </c>
      <c r="J116" s="487">
        <v>209719.73</v>
      </c>
      <c r="K116" s="490">
        <v>209719.73</v>
      </c>
      <c r="L116" s="491">
        <v>222677.99</v>
      </c>
      <c r="M116" s="491">
        <v>222677.99</v>
      </c>
      <c r="N116" s="491">
        <v>222677.99</v>
      </c>
      <c r="O116" s="472"/>
      <c r="Q116" s="514">
        <f t="shared" si="5"/>
        <v>2059690.9</v>
      </c>
      <c r="R116" s="485">
        <f t="shared" si="4"/>
        <v>2059690.9</v>
      </c>
    </row>
    <row r="117" spans="1:18" x14ac:dyDescent="0.25">
      <c r="A117" s="469">
        <v>46</v>
      </c>
      <c r="B117" s="468">
        <v>4091</v>
      </c>
      <c r="C117" s="469" t="s">
        <v>278</v>
      </c>
      <c r="D117" s="470">
        <v>3463844.94</v>
      </c>
      <c r="E117" s="492">
        <v>285991.09999999998</v>
      </c>
      <c r="F117" s="488">
        <v>288895.8</v>
      </c>
      <c r="G117" s="488">
        <v>288895.8</v>
      </c>
      <c r="H117" s="488">
        <v>283969.88</v>
      </c>
      <c r="I117" s="487">
        <v>283969.88</v>
      </c>
      <c r="J117" s="487">
        <v>283969.88</v>
      </c>
      <c r="K117" s="490">
        <v>283969.88</v>
      </c>
      <c r="L117" s="491">
        <v>287966.34999999998</v>
      </c>
      <c r="M117" s="491">
        <v>287966.34999999998</v>
      </c>
      <c r="N117" s="491">
        <v>287966.34999999998</v>
      </c>
      <c r="O117" s="472"/>
      <c r="Q117" s="514">
        <f t="shared" si="5"/>
        <v>2863561.27</v>
      </c>
      <c r="R117" s="485">
        <f t="shared" si="4"/>
        <v>2863561.27</v>
      </c>
    </row>
    <row r="118" spans="1:18" x14ac:dyDescent="0.25">
      <c r="A118" s="469">
        <v>47</v>
      </c>
      <c r="B118" s="468">
        <v>4100</v>
      </c>
      <c r="C118" s="469" t="s">
        <v>279</v>
      </c>
      <c r="D118" s="470">
        <v>3845172.95</v>
      </c>
      <c r="E118" s="492">
        <v>312807.54399999999</v>
      </c>
      <c r="F118" s="488">
        <v>321124.13</v>
      </c>
      <c r="G118" s="488">
        <v>321124.13</v>
      </c>
      <c r="H118" s="488">
        <f>275467.04+45657.09</f>
        <v>321124.13</v>
      </c>
      <c r="I118" s="487">
        <v>321189.65000000002</v>
      </c>
      <c r="J118" s="487">
        <v>322316.15000000002</v>
      </c>
      <c r="K118" s="490">
        <v>322228.78999999998</v>
      </c>
      <c r="L118" s="491">
        <v>325673.27</v>
      </c>
      <c r="M118" s="491">
        <v>325673.27</v>
      </c>
      <c r="N118" s="491">
        <v>325673.27</v>
      </c>
      <c r="O118" s="472"/>
      <c r="Q118" s="514">
        <f t="shared" si="5"/>
        <v>3218934.3339999998</v>
      </c>
      <c r="R118" s="485">
        <f t="shared" si="4"/>
        <v>3218934.3339999998</v>
      </c>
    </row>
    <row r="119" spans="1:18" x14ac:dyDescent="0.25">
      <c r="A119" s="469">
        <v>48</v>
      </c>
      <c r="B119" s="468">
        <v>4102</v>
      </c>
      <c r="C119" s="469" t="s">
        <v>280</v>
      </c>
      <c r="D119" s="502">
        <v>1168940.7700000003</v>
      </c>
      <c r="E119" s="503">
        <v>95722.880000000005</v>
      </c>
      <c r="F119" s="488">
        <v>97565.26</v>
      </c>
      <c r="G119" s="488">
        <v>129838.42</v>
      </c>
      <c r="H119" s="488">
        <v>129838.42</v>
      </c>
      <c r="I119" s="487">
        <v>129838.42</v>
      </c>
      <c r="J119" s="487">
        <v>129838.41</v>
      </c>
      <c r="K119" s="490">
        <v>129838.42</v>
      </c>
      <c r="L119" s="491">
        <v>144631.73000000001</v>
      </c>
      <c r="M119" s="491">
        <v>144631.73000000001</v>
      </c>
      <c r="N119" s="491">
        <v>144631.72</v>
      </c>
      <c r="O119" s="472">
        <v>0</v>
      </c>
      <c r="P119" s="472">
        <v>0</v>
      </c>
      <c r="Q119" s="514">
        <f t="shared" si="5"/>
        <v>1276375.4100000001</v>
      </c>
      <c r="R119" s="485">
        <f t="shared" si="4"/>
        <v>1276375.4100000001</v>
      </c>
    </row>
    <row r="120" spans="1:18" x14ac:dyDescent="0.25">
      <c r="A120" s="469">
        <v>49</v>
      </c>
      <c r="B120" s="468">
        <v>4103</v>
      </c>
      <c r="C120" s="469" t="s">
        <v>281</v>
      </c>
      <c r="D120" s="470">
        <v>8031180.3499999996</v>
      </c>
      <c r="E120" s="492">
        <v>660664.68999999994</v>
      </c>
      <c r="F120" s="488">
        <v>670046.88</v>
      </c>
      <c r="G120" s="488">
        <v>702200.36</v>
      </c>
      <c r="H120" s="488">
        <v>698845.87</v>
      </c>
      <c r="I120" s="487">
        <v>698845.87</v>
      </c>
      <c r="J120" s="487">
        <v>698845.86</v>
      </c>
      <c r="K120" s="490">
        <v>698845.87</v>
      </c>
      <c r="L120" s="491">
        <v>706227.5</v>
      </c>
      <c r="M120" s="491">
        <v>706227.5</v>
      </c>
      <c r="N120" s="491">
        <v>706227.5</v>
      </c>
      <c r="O120" s="472"/>
      <c r="Q120" s="485">
        <f t="shared" si="5"/>
        <v>6946977.8999999994</v>
      </c>
      <c r="R120" s="485">
        <f t="shared" si="4"/>
        <v>6946977.8999999994</v>
      </c>
    </row>
    <row r="121" spans="1:18" x14ac:dyDescent="0.25">
      <c r="A121" s="469">
        <v>50</v>
      </c>
      <c r="B121" s="468">
        <v>4111</v>
      </c>
      <c r="C121" s="469" t="s">
        <v>282</v>
      </c>
      <c r="D121" s="470">
        <v>2429371.5800000005</v>
      </c>
      <c r="E121" s="492">
        <v>200228.99</v>
      </c>
      <c r="F121" s="488">
        <v>202649.33</v>
      </c>
      <c r="G121" s="488">
        <v>205064.94</v>
      </c>
      <c r="H121" s="488">
        <v>205425.31</v>
      </c>
      <c r="I121" s="487">
        <v>205425.31</v>
      </c>
      <c r="J121" s="487">
        <v>205425.31</v>
      </c>
      <c r="K121" s="490">
        <v>205425.31</v>
      </c>
      <c r="L121" s="491">
        <v>233981.52</v>
      </c>
      <c r="M121" s="491">
        <v>233981.52</v>
      </c>
      <c r="N121" s="491">
        <v>233981.52</v>
      </c>
      <c r="O121" s="472"/>
      <c r="Q121" s="485">
        <f t="shared" si="5"/>
        <v>2131589.06</v>
      </c>
      <c r="R121" s="485">
        <f t="shared" si="4"/>
        <v>2131589.06</v>
      </c>
    </row>
    <row r="122" spans="1:18" x14ac:dyDescent="0.25">
      <c r="A122" s="469">
        <v>51</v>
      </c>
      <c r="B122" s="468">
        <v>4131</v>
      </c>
      <c r="C122" s="469" t="s">
        <v>283</v>
      </c>
      <c r="D122" s="470">
        <v>803834.34000000008</v>
      </c>
      <c r="E122" s="492">
        <v>66112.399999999994</v>
      </c>
      <c r="F122" s="488">
        <v>67065.63</v>
      </c>
      <c r="G122" s="488">
        <v>67991.27</v>
      </c>
      <c r="H122" s="488">
        <v>67799.25</v>
      </c>
      <c r="I122" s="487">
        <v>67799.25</v>
      </c>
      <c r="J122" s="487">
        <v>67799.240000000005</v>
      </c>
      <c r="K122" s="490">
        <v>67799.25</v>
      </c>
      <c r="L122" s="491">
        <v>105550.12</v>
      </c>
      <c r="M122" s="491">
        <v>105550.12</v>
      </c>
      <c r="N122" s="491">
        <v>105550.12</v>
      </c>
      <c r="O122" s="472"/>
      <c r="Q122" s="485">
        <f t="shared" si="5"/>
        <v>789016.64999999991</v>
      </c>
      <c r="R122" s="485">
        <f t="shared" si="4"/>
        <v>789016.64999999991</v>
      </c>
    </row>
    <row r="123" spans="1:18" x14ac:dyDescent="0.25">
      <c r="E123" s="486"/>
    </row>
    <row r="124" spans="1:18" x14ac:dyDescent="0.25">
      <c r="E124" s="486"/>
    </row>
    <row r="125" spans="1:18" x14ac:dyDescent="0.25">
      <c r="E125" s="486"/>
    </row>
    <row r="126" spans="1:18" x14ac:dyDescent="0.25">
      <c r="D126" s="470">
        <f>SUM(D72:D123)</f>
        <v>203812569.47000003</v>
      </c>
      <c r="E126" s="470">
        <f>SUM(E72:E123)</f>
        <v>16906713.023999993</v>
      </c>
      <c r="F126" s="470">
        <f>SUM(F75:F123)</f>
        <v>16944328.249999996</v>
      </c>
      <c r="G126" s="470">
        <f>SUM(G72:G123)</f>
        <v>17480699.379999999</v>
      </c>
      <c r="H126" s="470">
        <f>SUM(H72:H123)</f>
        <v>17767778.950000003</v>
      </c>
      <c r="I126" s="470">
        <f>SUM(I72:I123)</f>
        <v>17751394.610000003</v>
      </c>
      <c r="J126" s="470">
        <f t="shared" ref="J126:K126" si="6">SUM(J75:J123)</f>
        <v>17663417.080000002</v>
      </c>
      <c r="K126" s="508">
        <f t="shared" si="6"/>
        <v>17662662.43</v>
      </c>
      <c r="L126" s="470">
        <f>SUM(L72:L123)</f>
        <v>17405641.269999996</v>
      </c>
      <c r="M126" s="470">
        <f>SUM(M72:M123)</f>
        <v>17405641.379999995</v>
      </c>
      <c r="N126" s="470">
        <f>SUM(N72:N123)</f>
        <v>17405641.189999998</v>
      </c>
      <c r="O126" s="470">
        <f t="shared" ref="O126:P126" si="7">SUM(O72:O123)</f>
        <v>0</v>
      </c>
      <c r="P126" s="509">
        <f t="shared" si="7"/>
        <v>0</v>
      </c>
      <c r="Q126" s="470">
        <f>SUM(Q72:Q123)</f>
        <v>174632265.71400005</v>
      </c>
      <c r="R126" s="470">
        <f>SUM(R72:R123)</f>
        <v>174632265.71400005</v>
      </c>
    </row>
    <row r="128" spans="1:18" x14ac:dyDescent="0.25">
      <c r="E128" s="502">
        <f>E57-E126</f>
        <v>0</v>
      </c>
    </row>
    <row r="129" spans="5:5" x14ac:dyDescent="0.25">
      <c r="E129" s="486"/>
    </row>
  </sheetData>
  <pageMargins left="0.7" right="0.7" top="0.75" bottom="0.75" header="0.3" footer="0.3"/>
  <pageSetup scale="44" fitToHeight="0" orientation="landscape" r:id="rId1"/>
  <ignoredErrors>
    <ignoredError sqref="Q73:Q122 Q5:Q7 Q8:Q46 Q48:Q55 R72:R122" formulaRange="1"/>
  </ignoredError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408B8-2729-432C-8529-62A97B1A604B}">
  <dimension ref="A1:Z180"/>
  <sheetViews>
    <sheetView topLeftCell="A87" zoomScaleNormal="100" workbookViewId="0">
      <selection activeCell="A96" sqref="A96:B96"/>
    </sheetView>
  </sheetViews>
  <sheetFormatPr defaultColWidth="9.140625" defaultRowHeight="15.75" x14ac:dyDescent="0.25"/>
  <cols>
    <col min="1" max="1" width="10.28515625" style="367" customWidth="1"/>
    <col min="2" max="2" width="30.28515625" style="319" bestFit="1" customWidth="1"/>
    <col min="3" max="3" width="14" style="319" customWidth="1"/>
    <col min="4" max="4" width="11.5703125" style="319" customWidth="1"/>
    <col min="5" max="5" width="14" style="319" customWidth="1"/>
    <col min="6" max="6" width="18.140625" style="319" customWidth="1"/>
    <col min="7" max="7" width="7.42578125" style="319" customWidth="1"/>
    <col min="8" max="8" width="15.7109375" style="319" customWidth="1"/>
    <col min="9" max="9" width="23.7109375" style="319" customWidth="1"/>
    <col min="10" max="10" width="12.7109375" style="319" bestFit="1" customWidth="1"/>
    <col min="11" max="11" width="16.85546875" style="319" bestFit="1" customWidth="1"/>
    <col min="12" max="12" width="15.7109375" style="319" bestFit="1" customWidth="1"/>
    <col min="13" max="16384" width="9.140625" style="319"/>
  </cols>
  <sheetData>
    <row r="1" spans="1:12" ht="16.5" thickBot="1" x14ac:dyDescent="0.3">
      <c r="A1" s="318"/>
      <c r="B1" s="787" t="s">
        <v>0</v>
      </c>
      <c r="C1" s="788"/>
      <c r="D1" s="788"/>
      <c r="E1" s="788"/>
      <c r="F1" s="788"/>
      <c r="G1" s="788"/>
      <c r="H1" s="788"/>
      <c r="I1" s="788"/>
      <c r="K1" s="319" t="s">
        <v>578</v>
      </c>
    </row>
    <row r="2" spans="1:12" ht="21" x14ac:dyDescent="0.35">
      <c r="A2" s="320" t="s">
        <v>329</v>
      </c>
      <c r="B2" s="321"/>
      <c r="C2" s="321"/>
      <c r="D2" s="321"/>
      <c r="E2" s="321"/>
      <c r="F2" s="321"/>
      <c r="G2" s="321"/>
      <c r="H2" s="321"/>
      <c r="I2" s="321"/>
    </row>
    <row r="3" spans="1:12" x14ac:dyDescent="0.25">
      <c r="A3" s="793" t="s">
        <v>569</v>
      </c>
      <c r="B3" s="793"/>
      <c r="C3" s="793"/>
      <c r="D3" s="793"/>
      <c r="E3" s="793"/>
      <c r="F3" s="793"/>
      <c r="G3" s="793"/>
      <c r="H3" s="793"/>
      <c r="I3" s="793"/>
      <c r="J3" s="793"/>
    </row>
    <row r="4" spans="1:12" x14ac:dyDescent="0.25">
      <c r="A4" s="789" t="s">
        <v>2</v>
      </c>
      <c r="B4" s="789"/>
      <c r="C4" s="790" t="s">
        <v>179</v>
      </c>
      <c r="D4" s="790"/>
      <c r="E4" s="790"/>
      <c r="F4" s="323"/>
      <c r="G4" s="324"/>
      <c r="H4" s="721">
        <v>46143</v>
      </c>
      <c r="I4" s="324"/>
    </row>
    <row r="5" spans="1:12" ht="12" customHeight="1" thickBot="1" x14ac:dyDescent="0.3">
      <c r="A5" s="325"/>
      <c r="B5" s="325"/>
      <c r="C5" s="326"/>
      <c r="D5" s="326"/>
      <c r="E5" s="326"/>
      <c r="F5" s="327"/>
      <c r="G5" s="327"/>
      <c r="H5" s="327"/>
      <c r="I5" s="327"/>
    </row>
    <row r="6" spans="1:12" ht="12" customHeight="1" x14ac:dyDescent="0.25">
      <c r="A6" s="328"/>
      <c r="B6" s="328"/>
      <c r="C6" s="329"/>
      <c r="D6" s="329"/>
      <c r="E6" s="329"/>
      <c r="F6" s="324"/>
      <c r="G6" s="324"/>
      <c r="H6" s="324"/>
      <c r="I6" s="324"/>
    </row>
    <row r="7" spans="1:12" x14ac:dyDescent="0.25">
      <c r="A7" s="319" t="s">
        <v>3</v>
      </c>
      <c r="B7" s="661"/>
      <c r="C7" s="661"/>
      <c r="D7" s="661"/>
      <c r="E7" s="661"/>
      <c r="F7" s="661"/>
      <c r="G7" s="661"/>
      <c r="H7" s="661"/>
      <c r="I7" s="661"/>
    </row>
    <row r="8" spans="1:12" x14ac:dyDescent="0.25">
      <c r="A8" s="330"/>
      <c r="B8" s="331" t="s">
        <v>330</v>
      </c>
      <c r="C8" s="332">
        <v>5372.6</v>
      </c>
      <c r="D8" s="333"/>
      <c r="E8" s="334"/>
      <c r="F8" s="330"/>
      <c r="G8" s="331" t="s">
        <v>331</v>
      </c>
      <c r="H8" s="335">
        <v>1.0355000000000001</v>
      </c>
      <c r="I8" s="336"/>
    </row>
    <row r="9" spans="1:12" x14ac:dyDescent="0.25">
      <c r="A9" s="330"/>
      <c r="B9" s="331"/>
      <c r="C9" s="332"/>
      <c r="D9" s="333"/>
      <c r="E9" s="334"/>
      <c r="F9" s="330"/>
      <c r="G9" s="331" t="s">
        <v>332</v>
      </c>
      <c r="H9" s="335">
        <v>1</v>
      </c>
      <c r="I9" s="336"/>
    </row>
    <row r="10" spans="1:12" x14ac:dyDescent="0.25">
      <c r="A10" s="337"/>
      <c r="B10" s="337"/>
      <c r="C10" s="338"/>
      <c r="D10" s="338"/>
      <c r="E10" s="338"/>
      <c r="F10" s="339"/>
      <c r="G10" s="339"/>
      <c r="H10" s="340"/>
      <c r="I10" s="341" t="s">
        <v>7</v>
      </c>
    </row>
    <row r="11" spans="1:12" x14ac:dyDescent="0.25">
      <c r="A11" s="337"/>
      <c r="B11" s="337"/>
      <c r="C11" s="342" t="s">
        <v>565</v>
      </c>
      <c r="D11" s="399" t="s">
        <v>566</v>
      </c>
      <c r="E11" s="343" t="s">
        <v>125</v>
      </c>
      <c r="F11" s="791" t="s">
        <v>8</v>
      </c>
      <c r="G11" s="791"/>
      <c r="H11" s="340" t="s">
        <v>9</v>
      </c>
      <c r="I11" s="344" t="s">
        <v>10</v>
      </c>
    </row>
    <row r="12" spans="1:12" x14ac:dyDescent="0.25">
      <c r="A12" s="781" t="s">
        <v>8</v>
      </c>
      <c r="B12" s="781"/>
      <c r="C12" s="345" t="s">
        <v>54</v>
      </c>
      <c r="D12" s="345" t="s">
        <v>54</v>
      </c>
      <c r="E12" s="346" t="s">
        <v>54</v>
      </c>
      <c r="F12" s="792" t="s">
        <v>12</v>
      </c>
      <c r="G12" s="792"/>
      <c r="H12" s="347" t="s">
        <v>13</v>
      </c>
      <c r="I12" s="348" t="s">
        <v>14</v>
      </c>
    </row>
    <row r="13" spans="1:12" x14ac:dyDescent="0.25">
      <c r="A13" s="785" t="s">
        <v>15</v>
      </c>
      <c r="B13" s="785"/>
      <c r="C13" s="349"/>
      <c r="D13" s="349"/>
      <c r="E13" s="350" t="s">
        <v>16</v>
      </c>
      <c r="F13" s="786" t="s">
        <v>17</v>
      </c>
      <c r="G13" s="786"/>
      <c r="H13" s="351" t="s">
        <v>18</v>
      </c>
      <c r="I13" s="352" t="s">
        <v>19</v>
      </c>
    </row>
    <row r="14" spans="1:12" x14ac:dyDescent="0.25">
      <c r="A14" s="782" t="s">
        <v>20</v>
      </c>
      <c r="B14" s="782"/>
      <c r="C14" s="353">
        <f>SUM('0040:4131'!C12)</f>
        <v>1961.5199999999998</v>
      </c>
      <c r="D14" s="353">
        <f>SUM('0040:4131'!D12)</f>
        <v>1892.4100000000003</v>
      </c>
      <c r="E14" s="360">
        <f>SUM('0040:4131'!E12)</f>
        <v>3853.93</v>
      </c>
      <c r="F14" s="779">
        <v>1.1080000000000001</v>
      </c>
      <c r="G14" s="779"/>
      <c r="H14" s="355">
        <f>SUM('0040:4131'!I12)</f>
        <v>4270.1543000000001</v>
      </c>
      <c r="I14" s="528">
        <f>SUM('0040:4131'!J12)</f>
        <v>23756266</v>
      </c>
      <c r="L14" s="420"/>
    </row>
    <row r="15" spans="1:12" x14ac:dyDescent="0.25">
      <c r="A15" s="759" t="s">
        <v>21</v>
      </c>
      <c r="B15" s="759"/>
      <c r="C15" s="357">
        <f>SUM('0040:4131'!C13)</f>
        <v>307.91999999999996</v>
      </c>
      <c r="D15" s="357">
        <f>SUM('0040:4131'!D13)</f>
        <v>334.33</v>
      </c>
      <c r="E15" s="354">
        <f>SUM('0040:4131'!E13)</f>
        <v>642.25</v>
      </c>
      <c r="F15" s="779">
        <v>1.1080000000000001</v>
      </c>
      <c r="G15" s="779"/>
      <c r="H15" s="355">
        <f>SUM('0040:4131'!I13)</f>
        <v>711.61310000000003</v>
      </c>
      <c r="I15" s="528">
        <f>SUM('0040:4131'!J13)</f>
        <v>3958936.5900000008</v>
      </c>
      <c r="L15" s="420"/>
    </row>
    <row r="16" spans="1:12" x14ac:dyDescent="0.25">
      <c r="A16" s="759" t="s">
        <v>22</v>
      </c>
      <c r="B16" s="759"/>
      <c r="C16" s="357">
        <f>SUM('0040:4131'!C14)</f>
        <v>3270.7799999999997</v>
      </c>
      <c r="D16" s="357">
        <f>SUM('0040:4131'!D14)</f>
        <v>3223.3500000000004</v>
      </c>
      <c r="E16" s="354">
        <f>SUM('0040:4131'!E14)</f>
        <v>6494.1299999999974</v>
      </c>
      <c r="F16" s="779">
        <v>1</v>
      </c>
      <c r="G16" s="779"/>
      <c r="H16" s="355">
        <f>SUM('0040:4131'!I14)</f>
        <v>6494.1299999999974</v>
      </c>
      <c r="I16" s="528">
        <f>SUM('0040:4131'!J14)</f>
        <v>36128970.699999996</v>
      </c>
      <c r="L16" s="420"/>
    </row>
    <row r="17" spans="1:12" x14ac:dyDescent="0.25">
      <c r="A17" s="759" t="s">
        <v>23</v>
      </c>
      <c r="B17" s="759"/>
      <c r="C17" s="357">
        <f>SUM('0040:4131'!C15)</f>
        <v>645.82999999999993</v>
      </c>
      <c r="D17" s="357">
        <f>SUM('0040:4131'!D15)</f>
        <v>633.12999999999988</v>
      </c>
      <c r="E17" s="354">
        <f>SUM('0040:4131'!E15)</f>
        <v>1278.96</v>
      </c>
      <c r="F17" s="779">
        <v>1</v>
      </c>
      <c r="G17" s="779"/>
      <c r="H17" s="355">
        <f>SUM('0040:4131'!I15)</f>
        <v>1278.96</v>
      </c>
      <c r="I17" s="528">
        <f>SUM('0040:4131'!J15)</f>
        <v>7115273.0900000017</v>
      </c>
      <c r="L17" s="420"/>
    </row>
    <row r="18" spans="1:12" x14ac:dyDescent="0.25">
      <c r="A18" s="759" t="s">
        <v>24</v>
      </c>
      <c r="B18" s="759"/>
      <c r="C18" s="357">
        <f>SUM('0040:4131'!C16)</f>
        <v>2170.3500000000004</v>
      </c>
      <c r="D18" s="357">
        <f>SUM('0040:4131'!D16)</f>
        <v>2195.3199999999997</v>
      </c>
      <c r="E18" s="354">
        <f>SUM('0040:4131'!E16)</f>
        <v>4365.67</v>
      </c>
      <c r="F18" s="779">
        <v>0.97199999999999998</v>
      </c>
      <c r="G18" s="779"/>
      <c r="H18" s="355">
        <f>SUM('0040:4131'!I16)</f>
        <v>4243.4314000000004</v>
      </c>
      <c r="I18" s="528">
        <f>SUM('0040:4131'!J16)</f>
        <v>23607597.75</v>
      </c>
      <c r="L18" s="420"/>
    </row>
    <row r="19" spans="1:12" x14ac:dyDescent="0.25">
      <c r="A19" s="759" t="s">
        <v>25</v>
      </c>
      <c r="B19" s="759"/>
      <c r="C19" s="357">
        <f>SUM('0040:4131'!C17)</f>
        <v>655.13000000000011</v>
      </c>
      <c r="D19" s="357">
        <f>SUM('0040:4131'!D17)</f>
        <v>669.00000000000011</v>
      </c>
      <c r="E19" s="354">
        <f>SUM('0040:4131'!E17)</f>
        <v>1324.1300000000003</v>
      </c>
      <c r="F19" s="779">
        <v>0.97199999999999998</v>
      </c>
      <c r="G19" s="779"/>
      <c r="H19" s="355">
        <f>SUM('0040:4131'!I17)</f>
        <v>1287.0543999999995</v>
      </c>
      <c r="I19" s="528">
        <f>SUM('0040:4131'!J17)</f>
        <v>7160304.8899999987</v>
      </c>
      <c r="L19" s="420"/>
    </row>
    <row r="20" spans="1:12" x14ac:dyDescent="0.25">
      <c r="A20" s="759" t="s">
        <v>333</v>
      </c>
      <c r="B20" s="759"/>
      <c r="C20" s="357">
        <f>SUM('0040:4131'!C18)</f>
        <v>77.98</v>
      </c>
      <c r="D20" s="357">
        <f>SUM('0040:4131'!D18)</f>
        <v>64.02000000000001</v>
      </c>
      <c r="E20" s="354">
        <f>SUM('0040:4131'!E18)</f>
        <v>142</v>
      </c>
      <c r="F20" s="779">
        <v>3.609</v>
      </c>
      <c r="G20" s="779"/>
      <c r="H20" s="355">
        <f>SUM('0040:4131'!I18)</f>
        <v>512.47800000000007</v>
      </c>
      <c r="I20" s="528">
        <f>SUM('0040:4131'!J18)</f>
        <v>2851082.84</v>
      </c>
      <c r="L20" s="420"/>
    </row>
    <row r="21" spans="1:12" x14ac:dyDescent="0.25">
      <c r="A21" s="759" t="s">
        <v>334</v>
      </c>
      <c r="B21" s="759"/>
      <c r="C21" s="357">
        <f>SUM('0040:4131'!C19)</f>
        <v>0</v>
      </c>
      <c r="D21" s="357">
        <f>SUM('0040:4131'!D19)</f>
        <v>0</v>
      </c>
      <c r="E21" s="354">
        <f>SUM('0040:4131'!E19)</f>
        <v>0</v>
      </c>
      <c r="F21" s="779">
        <v>3.609</v>
      </c>
      <c r="G21" s="779"/>
      <c r="H21" s="355">
        <f>SUM('0040:4131'!I19)</f>
        <v>0</v>
      </c>
      <c r="I21" s="528">
        <f>SUM('0040:4131'!J19)</f>
        <v>0</v>
      </c>
      <c r="L21" s="420"/>
    </row>
    <row r="22" spans="1:12" x14ac:dyDescent="0.25">
      <c r="A22" s="759" t="s">
        <v>335</v>
      </c>
      <c r="B22" s="759"/>
      <c r="C22" s="357">
        <f>SUM('0040:4131'!C20)</f>
        <v>163.84</v>
      </c>
      <c r="D22" s="357">
        <f>SUM('0040:4131'!D20)</f>
        <v>158.82999999999998</v>
      </c>
      <c r="E22" s="354">
        <f>SUM('0040:4131'!E20)</f>
        <v>322.67</v>
      </c>
      <c r="F22" s="779">
        <v>3.609</v>
      </c>
      <c r="G22" s="779"/>
      <c r="H22" s="355">
        <f>SUM('0040:4131'!I20)</f>
        <v>1164.5160000000001</v>
      </c>
      <c r="I22" s="528">
        <f>SUM('0040:4131'!J20)</f>
        <v>6478583.6500000004</v>
      </c>
      <c r="L22" s="420"/>
    </row>
    <row r="23" spans="1:12" x14ac:dyDescent="0.25">
      <c r="A23" s="759" t="s">
        <v>336</v>
      </c>
      <c r="B23" s="759"/>
      <c r="C23" s="357">
        <f>SUM('0040:4131'!C21)</f>
        <v>51.5</v>
      </c>
      <c r="D23" s="357">
        <f>SUM('0040:4131'!D21)</f>
        <v>69.5</v>
      </c>
      <c r="E23" s="354">
        <f>SUM('0040:4131'!E21)</f>
        <v>121</v>
      </c>
      <c r="F23" s="779">
        <v>6.0640000000000001</v>
      </c>
      <c r="G23" s="779"/>
      <c r="H23" s="355">
        <f>SUM('0040:4131'!I21)</f>
        <v>733.74399999999991</v>
      </c>
      <c r="I23" s="528">
        <f>SUM('0040:4131'!J21)</f>
        <v>4082058.0300000003</v>
      </c>
      <c r="L23" s="420"/>
    </row>
    <row r="24" spans="1:12" x14ac:dyDescent="0.25">
      <c r="A24" s="759" t="s">
        <v>337</v>
      </c>
      <c r="B24" s="759"/>
      <c r="C24" s="357">
        <f>SUM('0040:4131'!C22)</f>
        <v>0</v>
      </c>
      <c r="D24" s="357">
        <f>SUM('0040:4131'!D22)</f>
        <v>0</v>
      </c>
      <c r="E24" s="354">
        <f>SUM('0040:4131'!E22)</f>
        <v>0</v>
      </c>
      <c r="F24" s="779">
        <v>6.0640000000000001</v>
      </c>
      <c r="G24" s="779"/>
      <c r="H24" s="355">
        <f>SUM('0040:4131'!I22)</f>
        <v>0</v>
      </c>
      <c r="I24" s="528">
        <f>SUM('0040:4131'!J22)</f>
        <v>0</v>
      </c>
      <c r="L24" s="420"/>
    </row>
    <row r="25" spans="1:12" x14ac:dyDescent="0.25">
      <c r="A25" s="759" t="s">
        <v>338</v>
      </c>
      <c r="B25" s="759"/>
      <c r="C25" s="357">
        <f>SUM('0040:4131'!C23)</f>
        <v>102.91</v>
      </c>
      <c r="D25" s="357">
        <f>SUM('0040:4131'!D23)</f>
        <v>112.52</v>
      </c>
      <c r="E25" s="354">
        <f>SUM('0040:4131'!E23)</f>
        <v>215.42999999999998</v>
      </c>
      <c r="F25" s="779">
        <v>6.0640000000000001</v>
      </c>
      <c r="G25" s="779"/>
      <c r="H25" s="355">
        <f>SUM('0040:4131'!I23)</f>
        <v>1306.3674999999998</v>
      </c>
      <c r="I25" s="528">
        <f>SUM('0040:4131'!J23)</f>
        <v>7267749.9900000002</v>
      </c>
      <c r="L25" s="420"/>
    </row>
    <row r="26" spans="1:12" x14ac:dyDescent="0.25">
      <c r="A26" s="759" t="s">
        <v>339</v>
      </c>
      <c r="B26" s="759"/>
      <c r="C26" s="357">
        <f>SUM('0040:4131'!C24)</f>
        <v>191.26000000000002</v>
      </c>
      <c r="D26" s="357">
        <f>SUM('0040:4131'!D24)</f>
        <v>192.29999999999998</v>
      </c>
      <c r="E26" s="354">
        <f>SUM('0040:4131'!E24)</f>
        <v>383.56</v>
      </c>
      <c r="F26" s="779">
        <v>1.165</v>
      </c>
      <c r="G26" s="779"/>
      <c r="H26" s="355">
        <f>SUM('0040:4131'!I24)</f>
        <v>446.8476</v>
      </c>
      <c r="I26" s="528">
        <f>SUM('0040:4131'!J24)</f>
        <v>2485959.4400000004</v>
      </c>
      <c r="L26" s="420"/>
    </row>
    <row r="27" spans="1:12" x14ac:dyDescent="0.25">
      <c r="A27" s="759" t="s">
        <v>340</v>
      </c>
      <c r="B27" s="759"/>
      <c r="C27" s="357">
        <f>SUM('0040:4131'!C25)</f>
        <v>619.62</v>
      </c>
      <c r="D27" s="357">
        <f>SUM('0040:4131'!D25)</f>
        <v>614.74000000000012</v>
      </c>
      <c r="E27" s="354">
        <f>SUM('0040:4131'!E25)</f>
        <v>1234.3600000000004</v>
      </c>
      <c r="F27" s="779">
        <v>1.165</v>
      </c>
      <c r="G27" s="779"/>
      <c r="H27" s="355">
        <f>SUM('0040:4131'!I25)</f>
        <v>1438.0300999999999</v>
      </c>
      <c r="I27" s="528">
        <f>SUM('0040:4131'!J25)</f>
        <v>8000232.1000000006</v>
      </c>
      <c r="L27" s="420"/>
    </row>
    <row r="28" spans="1:12" x14ac:dyDescent="0.25">
      <c r="A28" s="759" t="s">
        <v>341</v>
      </c>
      <c r="B28" s="759"/>
      <c r="C28" s="357">
        <f>SUM('0040:4131'!C26)</f>
        <v>180.52</v>
      </c>
      <c r="D28" s="357">
        <f>SUM('0040:4131'!D26)</f>
        <v>189.15000000000003</v>
      </c>
      <c r="E28" s="354">
        <f>SUM('0040:4131'!E26)</f>
        <v>369.66999999999996</v>
      </c>
      <c r="F28" s="779">
        <v>1.165</v>
      </c>
      <c r="G28" s="779"/>
      <c r="H28" s="355">
        <f>SUM('0040:4131'!I26)</f>
        <v>430.66580000000005</v>
      </c>
      <c r="I28" s="528">
        <f>SUM('0040:4131'!J26)</f>
        <v>2395934.79</v>
      </c>
      <c r="L28" s="420"/>
    </row>
    <row r="29" spans="1:12" x14ac:dyDescent="0.25">
      <c r="A29" s="759" t="s">
        <v>342</v>
      </c>
      <c r="B29" s="759"/>
      <c r="C29" s="357">
        <f>SUM('0040:4131'!C27)</f>
        <v>310.24</v>
      </c>
      <c r="D29" s="357">
        <f>SUM('0040:4131'!D27)</f>
        <v>298.26000000000005</v>
      </c>
      <c r="E29" s="354">
        <f>SUM('0040:4131'!E27)</f>
        <v>608.49999999999989</v>
      </c>
      <c r="F29" s="779">
        <v>1.081</v>
      </c>
      <c r="G29" s="779"/>
      <c r="H29" s="355">
        <f>SUM('0040:4131'!I27)</f>
        <v>657.78869999999995</v>
      </c>
      <c r="I29" s="528">
        <f>SUM('0040:4131'!J27)</f>
        <v>3659493.850000001</v>
      </c>
      <c r="L29" s="420"/>
    </row>
    <row r="30" spans="1:12" x14ac:dyDescent="0.25">
      <c r="A30" s="780" t="s">
        <v>343</v>
      </c>
      <c r="B30" s="760"/>
      <c r="C30" s="359">
        <f>SUM(C14:C29)</f>
        <v>10709.4</v>
      </c>
      <c r="D30" s="359">
        <f>SUM(D14:D29)</f>
        <v>10646.86</v>
      </c>
      <c r="E30" s="360">
        <f>SUM(E14:E29)</f>
        <v>21356.259999999995</v>
      </c>
      <c r="F30" s="784"/>
      <c r="G30" s="784"/>
      <c r="H30" s="361">
        <f>SUM('0040:4131'!I28)</f>
        <v>24975.780899999991</v>
      </c>
      <c r="I30" s="529">
        <f>SUM('0040:4131'!J28)</f>
        <v>138948443.70999998</v>
      </c>
      <c r="K30" s="683">
        <v>138948443.70999998</v>
      </c>
    </row>
    <row r="31" spans="1:12" x14ac:dyDescent="0.25">
      <c r="A31" s="322" t="s">
        <v>344</v>
      </c>
      <c r="B31" s="362"/>
      <c r="C31" s="357">
        <f>SUM('0040:4131'!C29)</f>
        <v>0</v>
      </c>
      <c r="D31" s="357">
        <f>SUM('0040:4131'!D29)</f>
        <v>0</v>
      </c>
      <c r="E31" s="354">
        <f>IF(D$30=0,C31*2,C31+D31)</f>
        <v>0</v>
      </c>
      <c r="F31" s="779">
        <v>0</v>
      </c>
      <c r="G31" s="779"/>
      <c r="H31" s="528">
        <f t="shared" ref="H31" si="0">ROUND(E31*F31,4)</f>
        <v>0</v>
      </c>
      <c r="I31" s="356"/>
    </row>
    <row r="32" spans="1:12" x14ac:dyDescent="0.25">
      <c r="A32" s="780" t="s">
        <v>345</v>
      </c>
      <c r="B32" s="760"/>
      <c r="C32" s="363">
        <f>SUM(C30:C31)</f>
        <v>10709.4</v>
      </c>
      <c r="D32" s="363">
        <f>SUM(D30:D31)</f>
        <v>10646.86</v>
      </c>
      <c r="E32" s="363">
        <f>SUM(E30:E31)</f>
        <v>21356.259999999995</v>
      </c>
      <c r="F32" s="364"/>
      <c r="G32" s="364"/>
      <c r="H32" s="355"/>
      <c r="I32" s="528">
        <f>SUM('0040:4131'!J30)</f>
        <v>0</v>
      </c>
      <c r="K32" s="420"/>
    </row>
    <row r="33" spans="1:9" x14ac:dyDescent="0.25">
      <c r="A33" s="365"/>
      <c r="B33" s="365"/>
      <c r="C33" s="356"/>
      <c r="D33" s="356"/>
      <c r="E33" s="356"/>
      <c r="F33" s="364"/>
      <c r="G33" s="364"/>
      <c r="H33" s="355"/>
      <c r="I33" s="356"/>
    </row>
    <row r="34" spans="1:9" x14ac:dyDescent="0.25">
      <c r="A34" s="366" t="s">
        <v>37</v>
      </c>
      <c r="B34" s="365"/>
      <c r="C34" s="356"/>
      <c r="D34" s="356"/>
      <c r="E34" s="356"/>
      <c r="F34" s="364"/>
      <c r="G34" s="364"/>
      <c r="H34" s="355"/>
      <c r="I34" s="356"/>
    </row>
    <row r="35" spans="1:9" hidden="1" x14ac:dyDescent="0.25">
      <c r="A35" s="366"/>
      <c r="B35" s="365"/>
      <c r="C35" s="356"/>
      <c r="D35" s="356"/>
      <c r="E35" s="356"/>
      <c r="F35" s="364"/>
      <c r="G35" s="364"/>
      <c r="H35" s="355"/>
      <c r="I35" s="356"/>
    </row>
    <row r="36" spans="1:9" hidden="1" x14ac:dyDescent="0.25">
      <c r="A36" s="319"/>
      <c r="B36" s="367"/>
      <c r="C36" s="367"/>
      <c r="D36" s="367"/>
      <c r="E36" s="367"/>
      <c r="F36" s="367"/>
      <c r="G36" s="367"/>
      <c r="H36" s="367"/>
      <c r="I36" s="368" t="s">
        <v>346</v>
      </c>
    </row>
    <row r="37" spans="1:9" hidden="1" x14ac:dyDescent="0.25">
      <c r="A37" s="365"/>
      <c r="B37" s="365"/>
      <c r="C37" s="342" t="str">
        <f>C11</f>
        <v>Oct 2025</v>
      </c>
      <c r="D37" s="342" t="str">
        <f>D11</f>
        <v>Feb 2026</v>
      </c>
      <c r="E37" s="343" t="s">
        <v>125</v>
      </c>
      <c r="F37" s="364"/>
      <c r="G37" s="364"/>
      <c r="H37" s="369"/>
      <c r="I37" s="370" t="s">
        <v>10</v>
      </c>
    </row>
    <row r="38" spans="1:9" hidden="1" x14ac:dyDescent="0.25">
      <c r="A38" s="781" t="s">
        <v>347</v>
      </c>
      <c r="B38" s="781"/>
      <c r="C38" s="371" t="s">
        <v>54</v>
      </c>
      <c r="D38" s="371" t="s">
        <v>54</v>
      </c>
      <c r="E38" s="346" t="s">
        <v>54</v>
      </c>
      <c r="F38" s="372"/>
      <c r="G38" s="372"/>
      <c r="H38" s="372"/>
      <c r="I38" s="373" t="s">
        <v>348</v>
      </c>
    </row>
    <row r="39" spans="1:9" hidden="1" x14ac:dyDescent="0.25">
      <c r="A39" s="782" t="s">
        <v>93</v>
      </c>
      <c r="B39" s="782"/>
      <c r="C39" s="374">
        <v>0</v>
      </c>
      <c r="D39" s="374">
        <v>0</v>
      </c>
      <c r="E39" s="360">
        <f>+C39+D39</f>
        <v>0</v>
      </c>
      <c r="F39" s="375"/>
      <c r="G39" s="375"/>
      <c r="H39" s="375"/>
      <c r="I39" s="359"/>
    </row>
    <row r="40" spans="1:9" hidden="1" x14ac:dyDescent="0.25">
      <c r="A40" s="759" t="s">
        <v>94</v>
      </c>
      <c r="B40" s="759"/>
      <c r="C40" s="376">
        <v>0</v>
      </c>
      <c r="D40" s="376">
        <v>0</v>
      </c>
      <c r="E40" s="354">
        <f t="shared" ref="E40:E44" si="1">+C40+D40</f>
        <v>0</v>
      </c>
      <c r="F40" s="377"/>
      <c r="G40" s="377"/>
      <c r="H40" s="377"/>
      <c r="I40" s="356"/>
    </row>
    <row r="41" spans="1:9" hidden="1" x14ac:dyDescent="0.25">
      <c r="A41" s="783" t="s">
        <v>95</v>
      </c>
      <c r="B41" s="783"/>
      <c r="C41" s="376">
        <v>0</v>
      </c>
      <c r="D41" s="376">
        <v>0</v>
      </c>
      <c r="E41" s="354">
        <f t="shared" si="1"/>
        <v>0</v>
      </c>
      <c r="F41" s="377"/>
      <c r="G41" s="377"/>
      <c r="H41" s="377"/>
      <c r="I41" s="356"/>
    </row>
    <row r="42" spans="1:9" hidden="1" x14ac:dyDescent="0.25">
      <c r="A42" s="759" t="s">
        <v>96</v>
      </c>
      <c r="B42" s="759"/>
      <c r="C42" s="376">
        <v>0</v>
      </c>
      <c r="D42" s="376">
        <v>0</v>
      </c>
      <c r="E42" s="354">
        <f t="shared" si="1"/>
        <v>0</v>
      </c>
      <c r="F42" s="377"/>
      <c r="G42" s="377"/>
      <c r="H42" s="377"/>
      <c r="I42" s="356"/>
    </row>
    <row r="43" spans="1:9" hidden="1" x14ac:dyDescent="0.25">
      <c r="A43" s="759" t="s">
        <v>97</v>
      </c>
      <c r="B43" s="759"/>
      <c r="C43" s="376">
        <v>0</v>
      </c>
      <c r="D43" s="376">
        <v>0</v>
      </c>
      <c r="E43" s="354">
        <f t="shared" si="1"/>
        <v>0</v>
      </c>
      <c r="F43" s="377"/>
      <c r="G43" s="377"/>
      <c r="H43" s="377"/>
      <c r="I43" s="356"/>
    </row>
    <row r="44" spans="1:9" hidden="1" x14ac:dyDescent="0.25">
      <c r="A44" s="759" t="s">
        <v>41</v>
      </c>
      <c r="B44" s="759"/>
      <c r="C44" s="378">
        <v>0</v>
      </c>
      <c r="D44" s="378">
        <v>0</v>
      </c>
      <c r="E44" s="379">
        <f t="shared" si="1"/>
        <v>0</v>
      </c>
      <c r="F44" s="377"/>
      <c r="G44" s="377"/>
      <c r="H44" s="377"/>
      <c r="I44" s="380"/>
    </row>
    <row r="45" spans="1:9" hidden="1" x14ac:dyDescent="0.25">
      <c r="A45" s="319"/>
      <c r="B45" s="381" t="s">
        <v>349</v>
      </c>
      <c r="C45" s="363">
        <f>SUM(C39:C44)</f>
        <v>0</v>
      </c>
      <c r="D45" s="363">
        <f>SUM(D39:D44)</f>
        <v>0</v>
      </c>
      <c r="E45" s="363">
        <f>SUM(E39:E44)</f>
        <v>0</v>
      </c>
      <c r="F45" s="382"/>
      <c r="G45" s="383"/>
      <c r="H45" s="384" t="s">
        <v>350</v>
      </c>
      <c r="I45" s="363">
        <f>SUM(I39:I44)</f>
        <v>0</v>
      </c>
    </row>
    <row r="46" spans="1:9" hidden="1" x14ac:dyDescent="0.25">
      <c r="A46" s="319"/>
      <c r="B46" s="381"/>
      <c r="C46" s="356"/>
      <c r="D46" s="356"/>
      <c r="E46" s="359"/>
      <c r="F46" s="382"/>
      <c r="G46" s="383"/>
      <c r="H46" s="384"/>
      <c r="I46" s="356"/>
    </row>
    <row r="47" spans="1:9" ht="16.5" hidden="1" thickBot="1" x14ac:dyDescent="0.3">
      <c r="A47" s="319"/>
      <c r="B47" s="381" t="s">
        <v>351</v>
      </c>
      <c r="E47" s="385">
        <f>H30+E45</f>
        <v>24975.780899999991</v>
      </c>
      <c r="F47" s="386"/>
      <c r="G47" s="383"/>
      <c r="H47" s="384" t="s">
        <v>352</v>
      </c>
      <c r="I47" s="380">
        <f>SUM(I45,I32)</f>
        <v>0</v>
      </c>
    </row>
    <row r="48" spans="1:9" x14ac:dyDescent="0.25">
      <c r="A48" s="365"/>
      <c r="B48" s="365"/>
      <c r="C48" s="365"/>
      <c r="D48" s="365"/>
      <c r="E48" s="365"/>
      <c r="F48" s="386"/>
      <c r="G48" s="364"/>
      <c r="H48" s="364"/>
      <c r="I48" s="356"/>
    </row>
    <row r="49" spans="1:11" x14ac:dyDescent="0.25">
      <c r="A49" s="365"/>
      <c r="B49" s="365"/>
      <c r="C49" s="365"/>
      <c r="D49" s="365"/>
      <c r="E49" s="365"/>
      <c r="F49" s="386"/>
      <c r="G49" s="364"/>
      <c r="H49" s="364"/>
      <c r="I49" s="356"/>
    </row>
    <row r="50" spans="1:11" x14ac:dyDescent="0.25">
      <c r="A50" s="322" t="s">
        <v>353</v>
      </c>
      <c r="B50" s="365"/>
      <c r="C50" s="365"/>
      <c r="D50" s="365"/>
      <c r="E50" s="365"/>
      <c r="F50" s="386"/>
      <c r="G50" s="364"/>
      <c r="H50" s="364"/>
      <c r="I50" s="356"/>
    </row>
    <row r="51" spans="1:11" s="388" customFormat="1" ht="9" customHeight="1" x14ac:dyDescent="0.25">
      <c r="A51" s="387" t="s">
        <v>354</v>
      </c>
      <c r="F51" s="389"/>
      <c r="G51" s="390"/>
      <c r="H51" s="390"/>
      <c r="I51" s="391"/>
    </row>
    <row r="52" spans="1:11" s="388" customFormat="1" ht="11.25" customHeight="1" x14ac:dyDescent="0.25">
      <c r="A52" s="392" t="s">
        <v>355</v>
      </c>
      <c r="F52" s="389"/>
      <c r="G52" s="390"/>
      <c r="H52" s="390"/>
      <c r="I52" s="391"/>
    </row>
    <row r="53" spans="1:11" x14ac:dyDescent="0.25">
      <c r="A53" s="393"/>
      <c r="B53" s="319" t="s">
        <v>356</v>
      </c>
      <c r="C53" s="365"/>
      <c r="D53" s="365"/>
      <c r="E53" s="394" t="s">
        <v>357</v>
      </c>
      <c r="F53" s="528">
        <f>SUM('0040:4131'!G36)</f>
        <v>138187490.73999998</v>
      </c>
      <c r="G53" s="396" t="s">
        <v>81</v>
      </c>
      <c r="H53" s="397">
        <v>6.6699999999999995E-2</v>
      </c>
      <c r="I53" s="530">
        <f>SUM('0040:4131'!J36)</f>
        <v>9217105.620000001</v>
      </c>
      <c r="K53" s="398">
        <f>F53*H53</f>
        <v>9217105.6323579978</v>
      </c>
    </row>
    <row r="54" spans="1:11" x14ac:dyDescent="0.25">
      <c r="A54" s="365"/>
      <c r="B54" s="322" t="s">
        <v>358</v>
      </c>
      <c r="C54" s="365"/>
      <c r="D54" s="365"/>
      <c r="E54" s="394" t="s">
        <v>357</v>
      </c>
      <c r="F54" s="528">
        <f>SUM('0040:4131'!G37)</f>
        <v>138187490.73999998</v>
      </c>
      <c r="G54" s="396" t="s">
        <v>81</v>
      </c>
      <c r="H54" s="397">
        <v>5.4000000000000003E-3</v>
      </c>
      <c r="I54" s="530">
        <f>SUM('0040:4131'!J37)</f>
        <v>746212.41999999993</v>
      </c>
      <c r="K54" s="398">
        <f>F54*0.0054</f>
        <v>746212.44999599992</v>
      </c>
    </row>
    <row r="55" spans="1:11" x14ac:dyDescent="0.25">
      <c r="A55" s="365"/>
      <c r="B55" s="322" t="s">
        <v>359</v>
      </c>
      <c r="C55" s="365"/>
      <c r="D55" s="365"/>
      <c r="E55" s="394"/>
      <c r="F55" s="395"/>
      <c r="G55" s="396"/>
      <c r="H55" s="397"/>
      <c r="I55" s="363">
        <f>SUM(I53:I54)</f>
        <v>9963318.040000001</v>
      </c>
    </row>
    <row r="56" spans="1:11" x14ac:dyDescent="0.25">
      <c r="A56" s="365"/>
      <c r="B56" s="365"/>
      <c r="C56" s="365"/>
      <c r="D56" s="365"/>
      <c r="E56" s="365"/>
      <c r="F56" s="386"/>
      <c r="G56" s="364"/>
      <c r="H56" s="364"/>
      <c r="I56" s="356"/>
    </row>
    <row r="57" spans="1:11" x14ac:dyDescent="0.25">
      <c r="A57" s="365"/>
      <c r="B57" s="365"/>
      <c r="C57" s="342" t="str">
        <f>C11</f>
        <v>Oct 2025</v>
      </c>
      <c r="D57" s="399" t="str">
        <f t="shared" ref="D57:D58" si="2">D11</f>
        <v>Feb 2026</v>
      </c>
      <c r="E57" s="343" t="s">
        <v>125</v>
      </c>
      <c r="F57" s="400" t="s">
        <v>360</v>
      </c>
      <c r="G57" s="396" t="s">
        <v>361</v>
      </c>
      <c r="H57" s="401" t="s">
        <v>362</v>
      </c>
      <c r="I57" s="356"/>
    </row>
    <row r="58" spans="1:11" x14ac:dyDescent="0.25">
      <c r="A58" s="402" t="s">
        <v>53</v>
      </c>
      <c r="B58" s="402"/>
      <c r="C58" s="371" t="str">
        <f t="shared" ref="C58" si="3">C12</f>
        <v>FTE</v>
      </c>
      <c r="D58" s="371" t="str">
        <f t="shared" si="2"/>
        <v>FTE</v>
      </c>
      <c r="E58" s="346" t="s">
        <v>54</v>
      </c>
      <c r="F58" s="403" t="s">
        <v>363</v>
      </c>
      <c r="G58" s="404" t="s">
        <v>363</v>
      </c>
      <c r="H58" s="405" t="s">
        <v>364</v>
      </c>
      <c r="I58" s="402"/>
    </row>
    <row r="59" spans="1:11" ht="15.75" customHeight="1" x14ac:dyDescent="0.25">
      <c r="A59" s="777" t="s">
        <v>365</v>
      </c>
      <c r="B59" s="777"/>
      <c r="C59" s="357">
        <f>SUM('0040:4131'!C41)</f>
        <v>248.32999999999998</v>
      </c>
      <c r="D59" s="357">
        <f>SUM('0040:4131'!D41)</f>
        <v>0</v>
      </c>
      <c r="E59" s="354">
        <f>SUM('0040:4131'!E41)</f>
        <v>496.65999999999997</v>
      </c>
      <c r="F59" s="406" t="s">
        <v>59</v>
      </c>
      <c r="G59" s="406">
        <v>251</v>
      </c>
      <c r="H59" s="407">
        <v>1047</v>
      </c>
      <c r="I59" s="354">
        <f>SUM('0040:4131'!J41)</f>
        <v>520003.02</v>
      </c>
    </row>
    <row r="60" spans="1:11" x14ac:dyDescent="0.25">
      <c r="A60" s="778"/>
      <c r="B60" s="778"/>
      <c r="C60" s="357">
        <f>SUM('0040:4131'!C42)</f>
        <v>47.5</v>
      </c>
      <c r="D60" s="357">
        <f>SUM('0040:4131'!D42)</f>
        <v>0</v>
      </c>
      <c r="E60" s="354">
        <f>SUM('0040:4131'!E42)</f>
        <v>95</v>
      </c>
      <c r="F60" s="406" t="s">
        <v>59</v>
      </c>
      <c r="G60" s="406">
        <v>252</v>
      </c>
      <c r="H60" s="407">
        <v>3380</v>
      </c>
      <c r="I60" s="354">
        <f>SUM('0040:4131'!J42)</f>
        <v>321100</v>
      </c>
    </row>
    <row r="61" spans="1:11" x14ac:dyDescent="0.25">
      <c r="A61" s="778"/>
      <c r="B61" s="778"/>
      <c r="C61" s="357">
        <f>SUM('0040:4131'!C43)</f>
        <v>11.67</v>
      </c>
      <c r="D61" s="357">
        <f>SUM('0040:4131'!D43)</f>
        <v>0</v>
      </c>
      <c r="E61" s="354">
        <f>SUM('0040:4131'!E43)</f>
        <v>23.34</v>
      </c>
      <c r="F61" s="406" t="s">
        <v>59</v>
      </c>
      <c r="G61" s="406">
        <v>253</v>
      </c>
      <c r="H61" s="407">
        <v>6896</v>
      </c>
      <c r="I61" s="354">
        <f>SUM('0040:4131'!J43)</f>
        <v>160952.64000000001</v>
      </c>
    </row>
    <row r="62" spans="1:11" x14ac:dyDescent="0.25">
      <c r="A62" s="778"/>
      <c r="B62" s="778"/>
      <c r="C62" s="357">
        <f>SUM('0040:4131'!C44)</f>
        <v>561.48</v>
      </c>
      <c r="D62" s="357">
        <f>SUM('0040:4131'!D44)</f>
        <v>0</v>
      </c>
      <c r="E62" s="354">
        <f>SUM('0040:4131'!E44)</f>
        <v>1122.96</v>
      </c>
      <c r="F62" s="408" t="s">
        <v>60</v>
      </c>
      <c r="G62" s="406">
        <v>251</v>
      </c>
      <c r="H62" s="407">
        <v>1173</v>
      </c>
      <c r="I62" s="354">
        <f>SUM('0040:4131'!J44)</f>
        <v>1317232.0799999996</v>
      </c>
    </row>
    <row r="63" spans="1:11" x14ac:dyDescent="0.25">
      <c r="A63" s="778"/>
      <c r="B63" s="778"/>
      <c r="C63" s="357">
        <f>SUM('0040:4131'!C45)</f>
        <v>70.38</v>
      </c>
      <c r="D63" s="357">
        <f>SUM('0040:4131'!D45)</f>
        <v>0</v>
      </c>
      <c r="E63" s="354">
        <f>SUM('0040:4131'!E45)</f>
        <v>140.76</v>
      </c>
      <c r="F63" s="408" t="s">
        <v>60</v>
      </c>
      <c r="G63" s="406">
        <v>252</v>
      </c>
      <c r="H63" s="407">
        <v>3506</v>
      </c>
      <c r="I63" s="354">
        <f>SUM('0040:4131'!J45)</f>
        <v>493504.56</v>
      </c>
    </row>
    <row r="64" spans="1:11" x14ac:dyDescent="0.25">
      <c r="A64" s="778"/>
      <c r="B64" s="778"/>
      <c r="C64" s="357">
        <f>SUM('0040:4131'!C46)</f>
        <v>14.01</v>
      </c>
      <c r="D64" s="357">
        <f>SUM('0040:4131'!D46)</f>
        <v>0</v>
      </c>
      <c r="E64" s="354">
        <f>SUM('0040:4131'!E46)</f>
        <v>28.02</v>
      </c>
      <c r="F64" s="408" t="s">
        <v>60</v>
      </c>
      <c r="G64" s="406">
        <v>253</v>
      </c>
      <c r="H64" s="407">
        <v>7023</v>
      </c>
      <c r="I64" s="354">
        <f>SUM('0040:4131'!J46)</f>
        <v>196784.46</v>
      </c>
    </row>
    <row r="65" spans="1:9" x14ac:dyDescent="0.25">
      <c r="A65" s="778"/>
      <c r="B65" s="778"/>
      <c r="C65" s="357">
        <f>SUM('0040:4131'!C47)</f>
        <v>465.38000000000011</v>
      </c>
      <c r="D65" s="357">
        <f>SUM('0040:4131'!D47)</f>
        <v>0</v>
      </c>
      <c r="E65" s="354">
        <f>SUM('0040:4131'!E47)</f>
        <v>930.76000000000022</v>
      </c>
      <c r="F65" s="408" t="s">
        <v>61</v>
      </c>
      <c r="G65" s="406">
        <v>251</v>
      </c>
      <c r="H65" s="407">
        <v>835</v>
      </c>
      <c r="I65" s="354">
        <f>SUM('0040:4131'!J47)</f>
        <v>777184.60000000009</v>
      </c>
    </row>
    <row r="66" spans="1:9" x14ac:dyDescent="0.25">
      <c r="A66" s="778"/>
      <c r="B66" s="778"/>
      <c r="C66" s="357">
        <f>SUM('0040:4131'!C48)</f>
        <v>84.21</v>
      </c>
      <c r="D66" s="357">
        <f>SUM('0040:4131'!D48)</f>
        <v>0</v>
      </c>
      <c r="E66" s="354">
        <f>SUM('0040:4131'!E48)</f>
        <v>168.42</v>
      </c>
      <c r="F66" s="408" t="s">
        <v>61</v>
      </c>
      <c r="G66" s="406">
        <v>252</v>
      </c>
      <c r="H66" s="407">
        <v>3168</v>
      </c>
      <c r="I66" s="354">
        <f>SUM('0040:4131'!J48)</f>
        <v>533554.55999999994</v>
      </c>
    </row>
    <row r="67" spans="1:9" x14ac:dyDescent="0.25">
      <c r="A67" s="778"/>
      <c r="B67" s="778"/>
      <c r="C67" s="357">
        <f>SUM('0040:4131'!C49)</f>
        <v>105.26</v>
      </c>
      <c r="D67" s="357">
        <f>SUM('0040:4131'!D49)</f>
        <v>0</v>
      </c>
      <c r="E67" s="354">
        <f>SUM('0040:4131'!E49)</f>
        <v>210.52</v>
      </c>
      <c r="F67" s="408" t="s">
        <v>61</v>
      </c>
      <c r="G67" s="406">
        <v>253</v>
      </c>
      <c r="H67" s="407">
        <v>6685</v>
      </c>
      <c r="I67" s="354">
        <f>SUM('0040:4131'!J49)</f>
        <v>1407326.2</v>
      </c>
    </row>
    <row r="68" spans="1:9" x14ac:dyDescent="0.25">
      <c r="C68" s="363">
        <f>SUM(C59:C67)</f>
        <v>1608.22</v>
      </c>
      <c r="D68" s="363">
        <f>SUM(D59:D67)</f>
        <v>0</v>
      </c>
      <c r="E68" s="363">
        <f>SUM(E59:E67)</f>
        <v>3216.44</v>
      </c>
      <c r="F68" s="757" t="s">
        <v>63</v>
      </c>
      <c r="G68" s="757"/>
      <c r="H68" s="757"/>
      <c r="I68" s="363">
        <f>SUM(I59:I67)</f>
        <v>5727642.1200000001</v>
      </c>
    </row>
    <row r="69" spans="1:9" x14ac:dyDescent="0.25">
      <c r="A69" s="365"/>
      <c r="B69" s="365"/>
      <c r="C69" s="409"/>
      <c r="D69" s="365"/>
      <c r="E69" s="365"/>
      <c r="F69" s="386"/>
      <c r="G69" s="364"/>
      <c r="H69" s="364"/>
      <c r="I69" s="356"/>
    </row>
    <row r="70" spans="1:9" x14ac:dyDescent="0.25">
      <c r="A70" s="322" t="s">
        <v>366</v>
      </c>
    </row>
    <row r="71" spans="1:9" x14ac:dyDescent="0.25">
      <c r="A71" s="758" t="s">
        <v>367</v>
      </c>
      <c r="B71" s="759"/>
      <c r="C71" s="410">
        <f>SUM('0040:4131'!E53)</f>
        <v>20188.16</v>
      </c>
      <c r="D71" s="766" t="s">
        <v>368</v>
      </c>
      <c r="E71" s="766"/>
      <c r="F71" s="766"/>
      <c r="G71" s="766"/>
      <c r="H71" s="411">
        <v>207782.75</v>
      </c>
      <c r="I71" s="412"/>
    </row>
    <row r="72" spans="1:9" x14ac:dyDescent="0.25">
      <c r="B72" s="367"/>
      <c r="G72" s="413" t="s">
        <v>68</v>
      </c>
      <c r="H72" s="414">
        <f>ROUND(C71/H71,6)</f>
        <v>9.7159999999999996E-2</v>
      </c>
      <c r="I72" s="415"/>
    </row>
    <row r="73" spans="1:9" x14ac:dyDescent="0.25">
      <c r="A73" s="322" t="s">
        <v>369</v>
      </c>
    </row>
    <row r="74" spans="1:9" x14ac:dyDescent="0.25">
      <c r="A74" s="758" t="s">
        <v>370</v>
      </c>
      <c r="B74" s="759"/>
      <c r="C74" s="410">
        <f>SUM('0040:4131'!E56)</f>
        <v>23703.719100000002</v>
      </c>
      <c r="D74" s="766" t="s">
        <v>371</v>
      </c>
      <c r="E74" s="766"/>
      <c r="F74" s="766"/>
      <c r="G74" s="766"/>
      <c r="H74" s="411">
        <v>221179.83999999997</v>
      </c>
      <c r="I74" s="354"/>
    </row>
    <row r="75" spans="1:9" x14ac:dyDescent="0.25">
      <c r="G75" s="413" t="s">
        <v>68</v>
      </c>
      <c r="H75" s="414">
        <f>ROUND(C74/H74,6)</f>
        <v>0.107169</v>
      </c>
      <c r="I75" s="414"/>
    </row>
    <row r="76" spans="1:9" x14ac:dyDescent="0.25">
      <c r="A76" s="416" t="s">
        <v>372</v>
      </c>
      <c r="B76" s="417"/>
      <c r="C76" s="417"/>
      <c r="D76" s="417"/>
      <c r="E76" s="417"/>
      <c r="F76" s="417"/>
      <c r="G76" s="417"/>
      <c r="H76" s="417"/>
      <c r="I76" s="417"/>
    </row>
    <row r="77" spans="1:9" x14ac:dyDescent="0.25">
      <c r="A77" s="758" t="s">
        <v>373</v>
      </c>
      <c r="B77" s="759"/>
      <c r="C77" s="410">
        <f>SUM('0040:4131'!E59)</f>
        <v>20188.16</v>
      </c>
      <c r="D77" s="771" t="s">
        <v>374</v>
      </c>
      <c r="E77" s="771"/>
      <c r="F77" s="771"/>
      <c r="G77" s="771"/>
      <c r="H77" s="411">
        <v>178931.75</v>
      </c>
      <c r="I77" s="412"/>
    </row>
    <row r="78" spans="1:9" x14ac:dyDescent="0.25">
      <c r="B78" s="367"/>
      <c r="G78" s="413" t="s">
        <v>68</v>
      </c>
      <c r="H78" s="414">
        <f>ROUND(C77/H77,6)</f>
        <v>0.112826</v>
      </c>
      <c r="I78" s="415"/>
    </row>
    <row r="79" spans="1:9" x14ac:dyDescent="0.25">
      <c r="A79" s="416" t="s">
        <v>375</v>
      </c>
      <c r="B79" s="417"/>
      <c r="C79" s="417"/>
      <c r="D79" s="417"/>
      <c r="E79" s="417"/>
      <c r="F79" s="417"/>
      <c r="G79" s="417"/>
      <c r="H79" s="417"/>
      <c r="I79" s="417"/>
    </row>
    <row r="80" spans="1:9" x14ac:dyDescent="0.25">
      <c r="A80" s="758" t="s">
        <v>373</v>
      </c>
      <c r="B80" s="759"/>
      <c r="C80" s="410">
        <f>SUM('0040:4131'!E62)</f>
        <v>20188.16</v>
      </c>
      <c r="D80" s="776" t="s">
        <v>376</v>
      </c>
      <c r="E80" s="776"/>
      <c r="F80" s="776"/>
      <c r="G80" s="776"/>
      <c r="H80" s="411">
        <v>207463.82</v>
      </c>
      <c r="I80" s="412"/>
    </row>
    <row r="81" spans="1:25" x14ac:dyDescent="0.25">
      <c r="B81" s="367"/>
      <c r="G81" s="413" t="s">
        <v>68</v>
      </c>
      <c r="H81" s="414">
        <f>ROUND(C80/H80,6)</f>
        <v>9.7309000000000007E-2</v>
      </c>
      <c r="I81" s="415"/>
    </row>
    <row r="82" spans="1:25" x14ac:dyDescent="0.25">
      <c r="A82" s="416" t="s">
        <v>377</v>
      </c>
      <c r="B82" s="417"/>
      <c r="C82" s="417"/>
      <c r="D82" s="417"/>
      <c r="E82" s="417"/>
      <c r="F82" s="417"/>
      <c r="G82" s="417"/>
      <c r="H82" s="417"/>
      <c r="I82" s="417"/>
    </row>
    <row r="83" spans="1:25" x14ac:dyDescent="0.25">
      <c r="A83" s="758" t="s">
        <v>378</v>
      </c>
      <c r="B83" s="759"/>
      <c r="C83" s="410">
        <f>SUM('0040:4131'!E65)</f>
        <v>20188.16</v>
      </c>
      <c r="D83" s="771" t="s">
        <v>379</v>
      </c>
      <c r="E83" s="771"/>
      <c r="F83" s="771"/>
      <c r="G83" s="771"/>
      <c r="H83" s="411">
        <v>178612.82</v>
      </c>
      <c r="I83" s="412"/>
    </row>
    <row r="84" spans="1:25" x14ac:dyDescent="0.25">
      <c r="B84" s="367"/>
      <c r="G84" s="413" t="s">
        <v>68</v>
      </c>
      <c r="H84" s="414">
        <f>ROUND(C83/H83,6)</f>
        <v>0.113027</v>
      </c>
      <c r="I84" s="415"/>
    </row>
    <row r="85" spans="1:25" x14ac:dyDescent="0.25">
      <c r="A85" s="317"/>
      <c r="G85" s="413"/>
      <c r="H85" s="414"/>
      <c r="I85" s="414"/>
    </row>
    <row r="86" spans="1:25" x14ac:dyDescent="0.25">
      <c r="A86" s="322" t="s">
        <v>380</v>
      </c>
      <c r="D86" s="367"/>
      <c r="E86" s="394" t="s">
        <v>80</v>
      </c>
      <c r="F86" s="531">
        <v>45629593</v>
      </c>
      <c r="G86" s="406" t="s">
        <v>81</v>
      </c>
      <c r="H86" s="419">
        <f>H81</f>
        <v>9.7309000000000007E-2</v>
      </c>
      <c r="I86" s="356">
        <f>SUM('0040:4131'!J68)</f>
        <v>4697110.29</v>
      </c>
      <c r="K86" s="420">
        <f>F86*H86</f>
        <v>4440170.0652370006</v>
      </c>
      <c r="L86" s="420">
        <f>I86-K86</f>
        <v>256940.22476299945</v>
      </c>
    </row>
    <row r="87" spans="1:25" x14ac:dyDescent="0.25">
      <c r="A87" s="421"/>
      <c r="D87" s="367"/>
      <c r="E87" s="394"/>
      <c r="F87" s="422"/>
      <c r="G87" s="406"/>
      <c r="H87" s="419"/>
      <c r="I87" s="356"/>
      <c r="K87" s="420"/>
      <c r="L87" s="420"/>
    </row>
    <row r="88" spans="1:25" x14ac:dyDescent="0.25">
      <c r="A88" s="775" t="s">
        <v>82</v>
      </c>
      <c r="B88" s="759"/>
      <c r="C88" s="759"/>
      <c r="D88" s="367"/>
      <c r="E88" s="394"/>
      <c r="F88" s="422"/>
      <c r="G88" s="406"/>
      <c r="H88" s="419"/>
      <c r="I88" s="356"/>
      <c r="K88" s="420"/>
      <c r="L88" s="420"/>
    </row>
    <row r="89" spans="1:25" ht="15.75" customHeight="1" x14ac:dyDescent="0.25">
      <c r="A89" s="775" t="s">
        <v>381</v>
      </c>
      <c r="B89" s="759"/>
      <c r="C89" s="759"/>
      <c r="D89" s="367"/>
      <c r="E89" s="394" t="s">
        <v>84</v>
      </c>
      <c r="F89" s="418">
        <v>0</v>
      </c>
      <c r="G89" s="406" t="s">
        <v>81</v>
      </c>
      <c r="H89" s="419">
        <f>H72</f>
        <v>9.7159999999999996E-2</v>
      </c>
      <c r="I89" s="356">
        <f>SUM('0040:4131'!J70)</f>
        <v>0</v>
      </c>
      <c r="K89" s="420"/>
      <c r="L89" s="420"/>
    </row>
    <row r="90" spans="1:25" ht="15.75" customHeight="1" x14ac:dyDescent="0.25">
      <c r="A90" s="423"/>
      <c r="B90" s="367"/>
      <c r="C90" s="367"/>
      <c r="D90" s="367"/>
      <c r="E90" s="394"/>
      <c r="F90" s="422"/>
      <c r="G90" s="406"/>
      <c r="H90" s="419"/>
      <c r="I90" s="356"/>
      <c r="K90" s="420"/>
      <c r="L90" s="420"/>
    </row>
    <row r="91" spans="1:25" x14ac:dyDescent="0.25">
      <c r="A91" s="322" t="s">
        <v>382</v>
      </c>
      <c r="D91" s="367"/>
      <c r="E91" s="394" t="s">
        <v>86</v>
      </c>
      <c r="F91" s="418">
        <v>18934058</v>
      </c>
      <c r="G91" s="406" t="s">
        <v>81</v>
      </c>
      <c r="H91" s="419">
        <f>H84</f>
        <v>0.113027</v>
      </c>
      <c r="I91" s="356">
        <f>SUM('0040:4131'!J71)</f>
        <v>2263888.5</v>
      </c>
      <c r="K91" s="420">
        <f t="shared" ref="K91:K93" si="4">F91*H91</f>
        <v>2140059.7735660002</v>
      </c>
      <c r="L91" s="420">
        <f t="shared" ref="L91:L93" si="5">I91-K91</f>
        <v>123828.72643399984</v>
      </c>
    </row>
    <row r="92" spans="1:25" x14ac:dyDescent="0.25">
      <c r="A92" s="421"/>
      <c r="D92" s="367"/>
      <c r="E92" s="394"/>
      <c r="F92" s="422"/>
      <c r="G92" s="406"/>
      <c r="H92" s="419"/>
      <c r="I92" s="356"/>
      <c r="K92" s="420">
        <f t="shared" si="4"/>
        <v>0</v>
      </c>
      <c r="L92" s="420">
        <f t="shared" si="5"/>
        <v>0</v>
      </c>
    </row>
    <row r="93" spans="1:25" x14ac:dyDescent="0.25">
      <c r="A93" s="322" t="s">
        <v>383</v>
      </c>
      <c r="D93" s="367"/>
      <c r="E93" s="394" t="s">
        <v>84</v>
      </c>
      <c r="F93" s="418">
        <v>11300012</v>
      </c>
      <c r="G93" s="406" t="s">
        <v>81</v>
      </c>
      <c r="H93" s="419">
        <f>H78</f>
        <v>0.112826</v>
      </c>
      <c r="I93" s="356">
        <f>SUM('0040:4131'!J72)</f>
        <v>1348712.9699999997</v>
      </c>
      <c r="K93" s="420">
        <f t="shared" si="4"/>
        <v>1274935.1539119999</v>
      </c>
      <c r="L93" s="420">
        <f t="shared" si="5"/>
        <v>73777.816087999847</v>
      </c>
    </row>
    <row r="94" spans="1:25" x14ac:dyDescent="0.25">
      <c r="A94" s="322"/>
      <c r="D94" s="367"/>
      <c r="E94" s="394"/>
      <c r="F94" s="422"/>
      <c r="G94" s="406"/>
      <c r="H94" s="419"/>
      <c r="I94" s="356"/>
      <c r="K94" s="420"/>
      <c r="L94" s="420"/>
    </row>
    <row r="95" spans="1:25" s="2" customFormat="1" ht="24.75" customHeight="1" x14ac:dyDescent="0.25">
      <c r="A95" s="42" t="s">
        <v>89</v>
      </c>
      <c r="B95" s="42"/>
      <c r="C95" s="42"/>
      <c r="D95" s="42"/>
      <c r="E95" s="42"/>
      <c r="F95" s="36" t="s">
        <v>90</v>
      </c>
      <c r="G95" s="64"/>
      <c r="H95" s="37"/>
      <c r="I95" s="41"/>
      <c r="J95" s="30"/>
      <c r="R95" s="749" t="s">
        <v>91</v>
      </c>
      <c r="S95" s="749"/>
      <c r="T95" s="750" t="s">
        <v>166</v>
      </c>
      <c r="U95" s="751"/>
      <c r="V95" s="751"/>
      <c r="W95" s="751"/>
      <c r="X95" s="751"/>
      <c r="Y95" s="147"/>
    </row>
    <row r="96" spans="1:25" s="2" customFormat="1" ht="63" customHeight="1" x14ac:dyDescent="0.25">
      <c r="A96" s="752" t="s">
        <v>91</v>
      </c>
      <c r="B96" s="752"/>
      <c r="C96" s="100"/>
      <c r="D96" s="100"/>
      <c r="E96" s="753" t="s">
        <v>92</v>
      </c>
      <c r="F96" s="754"/>
      <c r="G96" s="754"/>
      <c r="H96" s="754"/>
      <c r="I96" s="754"/>
      <c r="J96" s="18"/>
      <c r="R96" s="742" t="s">
        <v>93</v>
      </c>
      <c r="S96" s="742"/>
      <c r="T96" s="191"/>
      <c r="U96" s="191"/>
      <c r="V96" s="191"/>
      <c r="W96" s="191"/>
      <c r="X96" s="191"/>
      <c r="Y96" s="191"/>
    </row>
    <row r="97" spans="1:26" s="2" customFormat="1" ht="22.5" customHeight="1" x14ac:dyDescent="0.25">
      <c r="A97" s="743" t="s">
        <v>93</v>
      </c>
      <c r="B97" s="743"/>
      <c r="C97" s="69"/>
      <c r="D97" s="69"/>
      <c r="E97" s="65"/>
      <c r="F97" s="65"/>
      <c r="G97" s="65"/>
      <c r="H97" s="65"/>
      <c r="I97" s="65"/>
      <c r="J97" s="532">
        <f>SUM('0040:4131'!J75)</f>
        <v>92</v>
      </c>
      <c r="L97" s="66"/>
      <c r="O97" s="36"/>
      <c r="P97" s="36"/>
      <c r="R97" s="742" t="s">
        <v>94</v>
      </c>
      <c r="S97" s="742"/>
      <c r="T97" s="191"/>
      <c r="U97" s="191"/>
      <c r="V97" s="191"/>
      <c r="W97" s="191"/>
      <c r="X97" s="191"/>
      <c r="Y97" s="191"/>
    </row>
    <row r="98" spans="1:26" s="2" customFormat="1" ht="18.75" customHeight="1" x14ac:dyDescent="0.25">
      <c r="A98" s="743" t="s">
        <v>94</v>
      </c>
      <c r="B98" s="743"/>
      <c r="C98" s="69"/>
      <c r="D98" s="69"/>
      <c r="E98" s="65"/>
      <c r="F98" s="65"/>
      <c r="G98" s="65"/>
      <c r="H98" s="65"/>
      <c r="I98" s="65"/>
      <c r="J98" s="532">
        <f>SUM('0040:4131'!J76)</f>
        <v>24.88</v>
      </c>
      <c r="L98" s="67"/>
      <c r="O98" s="36"/>
      <c r="P98" s="36"/>
      <c r="R98" s="740" t="s">
        <v>95</v>
      </c>
      <c r="S98" s="740"/>
      <c r="T98" s="192"/>
      <c r="U98" s="192"/>
      <c r="V98" s="192"/>
      <c r="W98" s="192"/>
      <c r="X98" s="192"/>
      <c r="Y98" s="191"/>
    </row>
    <row r="99" spans="1:26" s="2" customFormat="1" ht="18.75" customHeight="1" x14ac:dyDescent="0.25">
      <c r="A99" s="741" t="s">
        <v>95</v>
      </c>
      <c r="B99" s="741"/>
      <c r="C99" s="105"/>
      <c r="D99" s="105"/>
      <c r="E99" s="68"/>
      <c r="F99" s="68"/>
      <c r="G99" s="68"/>
      <c r="H99" s="68"/>
      <c r="I99" s="68"/>
      <c r="J99" s="532">
        <f>SUM('0040:4131'!J77)</f>
        <v>200.45999999999998</v>
      </c>
      <c r="L99" s="67"/>
      <c r="O99" s="36"/>
      <c r="P99" s="36"/>
      <c r="R99" s="193" t="s">
        <v>96</v>
      </c>
      <c r="S99" s="193"/>
      <c r="T99" s="191"/>
      <c r="U99" s="191"/>
      <c r="V99" s="191"/>
      <c r="W99" s="191"/>
      <c r="X99" s="191"/>
      <c r="Y99" s="191"/>
    </row>
    <row r="100" spans="1:26" s="2" customFormat="1" ht="20.25" customHeight="1" x14ac:dyDescent="0.25">
      <c r="A100" s="69" t="s">
        <v>96</v>
      </c>
      <c r="B100" s="69"/>
      <c r="C100" s="69"/>
      <c r="D100" s="69"/>
      <c r="E100" s="65"/>
      <c r="F100" s="65"/>
      <c r="G100" s="65"/>
      <c r="H100" s="65"/>
      <c r="I100" s="65"/>
      <c r="J100" s="532">
        <f>SUM('0040:4131'!J78)</f>
        <v>249.5</v>
      </c>
      <c r="K100" s="70"/>
      <c r="L100" s="70"/>
      <c r="M100" s="71"/>
      <c r="N100" s="70"/>
      <c r="O100" s="70"/>
      <c r="P100" s="70"/>
      <c r="Q100" s="70"/>
      <c r="R100" s="742" t="s">
        <v>97</v>
      </c>
      <c r="S100" s="742"/>
      <c r="T100" s="191"/>
      <c r="U100" s="191"/>
      <c r="V100" s="191"/>
      <c r="W100" s="191"/>
      <c r="X100" s="191"/>
      <c r="Y100" s="191"/>
      <c r="Z100" s="72"/>
    </row>
    <row r="101" spans="1:26" s="2" customFormat="1" ht="18.75" customHeight="1" x14ac:dyDescent="0.25">
      <c r="A101" s="743" t="s">
        <v>97</v>
      </c>
      <c r="B101" s="743"/>
      <c r="C101" s="69"/>
      <c r="D101" s="69"/>
      <c r="E101" s="65"/>
      <c r="F101" s="65"/>
      <c r="G101" s="65"/>
      <c r="H101" s="65"/>
      <c r="I101" s="65"/>
      <c r="J101" s="532">
        <f>SUM('0040:4131'!J79)</f>
        <v>30.75</v>
      </c>
      <c r="K101" s="70"/>
      <c r="L101" s="70"/>
      <c r="M101" s="71"/>
      <c r="N101" s="70"/>
      <c r="O101" s="70"/>
      <c r="P101" s="70"/>
      <c r="Q101" s="70"/>
      <c r="R101" s="744" t="s">
        <v>98</v>
      </c>
      <c r="S101" s="744"/>
      <c r="T101" s="194"/>
      <c r="U101" s="194"/>
      <c r="V101" s="194"/>
      <c r="W101" s="194"/>
      <c r="X101" s="194"/>
      <c r="Y101" s="191"/>
      <c r="Z101" s="72"/>
    </row>
    <row r="102" spans="1:26" s="2" customFormat="1" ht="17.25" customHeight="1" x14ac:dyDescent="0.25">
      <c r="A102" s="745" t="s">
        <v>98</v>
      </c>
      <c r="B102" s="745"/>
      <c r="C102" s="103"/>
      <c r="D102" s="103"/>
      <c r="E102" s="73"/>
      <c r="F102" s="73"/>
      <c r="G102" s="73"/>
      <c r="H102" s="73"/>
      <c r="I102" s="73"/>
      <c r="J102" s="532">
        <f>SUM('0040:4131'!J80)</f>
        <v>40.96</v>
      </c>
      <c r="K102" s="70"/>
      <c r="L102" s="70"/>
      <c r="M102" s="71"/>
      <c r="N102" s="70"/>
      <c r="O102" s="70"/>
      <c r="P102" s="70"/>
      <c r="Q102" s="70"/>
      <c r="R102" s="160"/>
      <c r="S102" s="160"/>
      <c r="T102" s="160"/>
      <c r="U102" s="160"/>
      <c r="V102" s="158"/>
      <c r="W102" s="161"/>
      <c r="X102" s="161" t="s">
        <v>99</v>
      </c>
      <c r="Y102" s="195">
        <f>SUM(Y96:Y101)</f>
        <v>0</v>
      </c>
      <c r="Z102" s="72"/>
    </row>
    <row r="103" spans="1:26" s="2" customFormat="1" ht="17.25" customHeight="1" x14ac:dyDescent="0.25">
      <c r="A103" s="33"/>
      <c r="B103" s="33"/>
      <c r="C103" s="33"/>
      <c r="D103" s="33"/>
      <c r="E103" s="33"/>
      <c r="F103" s="33"/>
      <c r="G103" s="31"/>
      <c r="H103" s="34"/>
      <c r="I103" s="34" t="s">
        <v>99</v>
      </c>
      <c r="J103" s="74">
        <f>SUM(J97:J102)</f>
        <v>638.54999999999995</v>
      </c>
      <c r="K103" s="70"/>
      <c r="L103" s="70"/>
      <c r="M103" s="71"/>
      <c r="N103" s="70"/>
      <c r="O103" s="70"/>
      <c r="P103" s="70"/>
      <c r="Q103" s="70"/>
      <c r="R103" s="160"/>
      <c r="S103" s="160"/>
      <c r="T103" s="160"/>
      <c r="U103" s="160"/>
      <c r="V103" s="158"/>
      <c r="W103" s="161"/>
      <c r="X103" s="161" t="s">
        <v>100</v>
      </c>
      <c r="Y103" s="195">
        <f>J104</f>
        <v>12903.05</v>
      </c>
      <c r="Z103" s="72"/>
    </row>
    <row r="104" spans="1:26" s="2" customFormat="1" ht="18.75" customHeight="1" x14ac:dyDescent="0.25">
      <c r="A104" s="33"/>
      <c r="B104" s="33"/>
      <c r="C104" s="33"/>
      <c r="D104" s="33"/>
      <c r="E104" s="33"/>
      <c r="F104" s="33"/>
      <c r="G104" s="31"/>
      <c r="H104" s="34"/>
      <c r="I104" s="34" t="s">
        <v>100</v>
      </c>
      <c r="J104" s="685">
        <v>12903.05</v>
      </c>
      <c r="K104" s="70"/>
      <c r="L104" s="70"/>
      <c r="M104" s="71"/>
      <c r="N104" s="70"/>
      <c r="O104" s="70"/>
      <c r="P104" s="70"/>
      <c r="Q104" s="70"/>
      <c r="R104" s="160"/>
      <c r="S104" s="160"/>
      <c r="T104" s="160"/>
      <c r="U104" s="160"/>
      <c r="V104" s="158"/>
      <c r="W104" s="161"/>
      <c r="X104" s="161"/>
      <c r="Y104" s="196"/>
      <c r="Z104" s="72"/>
    </row>
    <row r="105" spans="1:26" s="2" customFormat="1" ht="15.75" customHeight="1" x14ac:dyDescent="0.25">
      <c r="A105" s="33"/>
      <c r="B105" s="33"/>
      <c r="C105" s="33"/>
      <c r="D105" s="33"/>
      <c r="E105" s="33"/>
      <c r="F105" s="33"/>
      <c r="G105" s="31"/>
      <c r="H105" s="34"/>
      <c r="I105" s="34"/>
      <c r="J105" s="75"/>
      <c r="K105" s="70"/>
      <c r="L105" s="70"/>
      <c r="M105" s="71"/>
      <c r="N105" s="70"/>
      <c r="O105" s="70"/>
      <c r="P105" s="70"/>
      <c r="Q105" s="70"/>
      <c r="R105" s="737" t="s">
        <v>101</v>
      </c>
      <c r="S105" s="737"/>
      <c r="T105" s="164"/>
      <c r="U105" s="164"/>
      <c r="V105" s="165">
        <f>F106</f>
        <v>58502790</v>
      </c>
      <c r="W105" s="167" t="s">
        <v>81</v>
      </c>
      <c r="X105" s="170">
        <f>IFERROR(ROUND(Y102/Y103,6),0)</f>
        <v>0</v>
      </c>
      <c r="Y105" s="217">
        <f>ROUND(V105*X105,2)</f>
        <v>0</v>
      </c>
      <c r="Z105" s="72"/>
    </row>
    <row r="106" spans="1:26" s="2" customFormat="1" ht="21" customHeight="1" x14ac:dyDescent="0.25">
      <c r="A106" s="738" t="s">
        <v>101</v>
      </c>
      <c r="B106" s="738"/>
      <c r="C106" s="52"/>
      <c r="D106" s="52"/>
      <c r="F106" s="418">
        <v>58502790</v>
      </c>
      <c r="H106" s="37" t="s">
        <v>81</v>
      </c>
      <c r="I106" s="41">
        <f>IFERROR(ROUND(J103/J104,6),0)</f>
        <v>4.9487999999999997E-2</v>
      </c>
      <c r="J106" s="62">
        <f>ROUND(F106*I106,2)</f>
        <v>2895186.07</v>
      </c>
      <c r="K106" s="70"/>
      <c r="L106" s="70"/>
      <c r="M106" s="71"/>
      <c r="N106" s="70"/>
      <c r="O106" s="70"/>
      <c r="P106" s="70"/>
      <c r="Q106" s="70"/>
      <c r="R106" s="739" t="s">
        <v>167</v>
      </c>
      <c r="S106" s="739"/>
      <c r="T106" s="739"/>
      <c r="U106" s="163"/>
      <c r="V106" s="223"/>
      <c r="W106" s="167"/>
      <c r="X106" s="170"/>
      <c r="Y106" s="217"/>
    </row>
    <row r="107" spans="1:26" x14ac:dyDescent="0.25">
      <c r="A107" s="322"/>
      <c r="D107" s="367"/>
      <c r="E107" s="394"/>
      <c r="F107" s="422"/>
      <c r="G107" s="406"/>
      <c r="H107" s="419"/>
      <c r="I107" s="356"/>
      <c r="K107" s="420"/>
      <c r="L107" s="420"/>
    </row>
    <row r="108" spans="1:26" x14ac:dyDescent="0.25">
      <c r="A108" s="758" t="s">
        <v>478</v>
      </c>
      <c r="B108" s="759"/>
      <c r="C108" s="759"/>
      <c r="D108" s="367"/>
      <c r="E108" s="394" t="s">
        <v>103</v>
      </c>
      <c r="F108" s="418">
        <v>268816278</v>
      </c>
      <c r="G108" s="406" t="s">
        <v>81</v>
      </c>
      <c r="H108" s="419">
        <f>H75</f>
        <v>0.107169</v>
      </c>
      <c r="I108" s="356">
        <f>SUM('0040:4131'!J85)</f>
        <v>30355002.91</v>
      </c>
      <c r="K108" s="420">
        <f>F108*H108</f>
        <v>28808771.696982</v>
      </c>
      <c r="L108" s="420">
        <f>I108-K108</f>
        <v>1546231.2130180001</v>
      </c>
    </row>
    <row r="109" spans="1:26" x14ac:dyDescent="0.25">
      <c r="A109" s="322"/>
      <c r="B109" s="367"/>
      <c r="C109" s="367"/>
      <c r="D109" s="367"/>
      <c r="E109" s="394"/>
      <c r="F109" s="422"/>
      <c r="G109" s="406"/>
      <c r="H109" s="419"/>
      <c r="I109" s="356"/>
    </row>
    <row r="110" spans="1:26" x14ac:dyDescent="0.25">
      <c r="A110" s="758" t="s">
        <v>479</v>
      </c>
      <c r="B110" s="759"/>
      <c r="C110" s="759"/>
      <c r="D110" s="367"/>
      <c r="E110" s="394" t="s">
        <v>103</v>
      </c>
      <c r="F110" s="418">
        <v>0</v>
      </c>
      <c r="G110" s="406" t="s">
        <v>81</v>
      </c>
      <c r="H110" s="419">
        <f>H75</f>
        <v>0.107169</v>
      </c>
      <c r="I110" s="356">
        <f>SUM('0040:4131'!J86)</f>
        <v>0</v>
      </c>
    </row>
    <row r="111" spans="1:26" x14ac:dyDescent="0.25">
      <c r="A111" s="319"/>
    </row>
    <row r="112" spans="1:26" x14ac:dyDescent="0.25">
      <c r="A112" s="322" t="s">
        <v>480</v>
      </c>
      <c r="B112" s="367"/>
      <c r="C112" s="367"/>
      <c r="D112" s="367"/>
      <c r="E112" s="394" t="s">
        <v>84</v>
      </c>
      <c r="F112" s="418">
        <v>0</v>
      </c>
      <c r="G112" s="406" t="s">
        <v>81</v>
      </c>
      <c r="H112" s="419">
        <f>H72</f>
        <v>9.7159999999999996E-2</v>
      </c>
      <c r="I112" s="356">
        <f>SUM('0040:4131'!J87)</f>
        <v>0</v>
      </c>
    </row>
    <row r="113" spans="1:9" x14ac:dyDescent="0.25">
      <c r="A113" s="322"/>
      <c r="B113" s="367"/>
      <c r="C113" s="367"/>
      <c r="D113" s="367"/>
      <c r="E113" s="394"/>
      <c r="F113" s="422"/>
      <c r="G113" s="406"/>
      <c r="H113" s="419"/>
      <c r="I113" s="356"/>
    </row>
    <row r="114" spans="1:9" x14ac:dyDescent="0.25">
      <c r="A114" s="322"/>
      <c r="B114" s="367"/>
      <c r="C114" s="367"/>
      <c r="D114" s="367"/>
      <c r="E114" s="394"/>
      <c r="F114" s="422"/>
      <c r="G114" s="406"/>
      <c r="H114" s="419"/>
      <c r="I114" s="356"/>
    </row>
    <row r="115" spans="1:9" x14ac:dyDescent="0.25">
      <c r="A115" s="421" t="s">
        <v>106</v>
      </c>
    </row>
    <row r="116" spans="1:9" x14ac:dyDescent="0.25">
      <c r="B116" s="367"/>
      <c r="C116" s="763" t="s">
        <v>9</v>
      </c>
      <c r="D116" s="763"/>
      <c r="E116" s="367"/>
      <c r="F116" s="408" t="s">
        <v>384</v>
      </c>
      <c r="G116" s="367"/>
      <c r="H116" s="367"/>
      <c r="I116" s="367"/>
    </row>
    <row r="117" spans="1:9" x14ac:dyDescent="0.25">
      <c r="A117" s="319"/>
      <c r="B117" s="425"/>
      <c r="C117" s="765" t="s">
        <v>385</v>
      </c>
      <c r="D117" s="765"/>
      <c r="E117" s="426" t="s">
        <v>386</v>
      </c>
      <c r="F117" s="427" t="s">
        <v>387</v>
      </c>
      <c r="G117" s="328"/>
      <c r="H117" s="328"/>
      <c r="I117" s="328"/>
    </row>
    <row r="118" spans="1:9" x14ac:dyDescent="0.25">
      <c r="A118" s="365"/>
      <c r="B118" s="381" t="s">
        <v>388</v>
      </c>
      <c r="C118" s="773">
        <f>SUM('0040:4131'!B90)</f>
        <v>6674.8370000000004</v>
      </c>
      <c r="D118" s="773"/>
      <c r="E118" s="400">
        <f>H8</f>
        <v>1.0355000000000001</v>
      </c>
      <c r="F118" s="428">
        <v>958.42</v>
      </c>
      <c r="G118" s="408" t="s">
        <v>68</v>
      </c>
      <c r="H118" s="356">
        <f>SUM('0040:4131'!I90)</f>
        <v>6624401.3300000001</v>
      </c>
      <c r="I118" s="369"/>
    </row>
    <row r="119" spans="1:9" x14ac:dyDescent="0.25">
      <c r="A119" s="429"/>
      <c r="B119" s="429" t="s">
        <v>389</v>
      </c>
      <c r="C119" s="773">
        <f>SUM('0040:4131'!B91)</f>
        <v>9211.1200999999983</v>
      </c>
      <c r="D119" s="773"/>
      <c r="E119" s="400">
        <f>H8</f>
        <v>1.0355000000000001</v>
      </c>
      <c r="F119" s="428">
        <v>915.09</v>
      </c>
      <c r="G119" s="408" t="s">
        <v>68</v>
      </c>
      <c r="H119" s="356">
        <f>SUM('0040:4131'!I91)</f>
        <v>8728233.5500000007</v>
      </c>
    </row>
    <row r="120" spans="1:9" ht="16.5" thickBot="1" x14ac:dyDescent="0.3">
      <c r="A120" s="381"/>
      <c r="B120" s="381" t="s">
        <v>390</v>
      </c>
      <c r="C120" s="774">
        <f>SUM('0040:4131'!B92)</f>
        <v>9089.8237999999983</v>
      </c>
      <c r="D120" s="774"/>
      <c r="E120" s="400">
        <f>H8</f>
        <v>1.0355000000000001</v>
      </c>
      <c r="F120" s="428">
        <v>917.3</v>
      </c>
      <c r="G120" s="408" t="s">
        <v>68</v>
      </c>
      <c r="H120" s="356">
        <f>SUM('0040:4131'!I92)</f>
        <v>8634097.7699999996</v>
      </c>
    </row>
    <row r="121" spans="1:9" ht="16.5" thickTop="1" x14ac:dyDescent="0.25">
      <c r="A121" s="430"/>
      <c r="B121" s="431" t="s">
        <v>391</v>
      </c>
      <c r="C121" s="773">
        <f>SUM('0040:4131'!B93)</f>
        <v>24975.780899999991</v>
      </c>
      <c r="D121" s="773"/>
      <c r="E121" s="432"/>
      <c r="F121" s="432"/>
      <c r="G121" s="432"/>
      <c r="H121" s="433" t="s">
        <v>392</v>
      </c>
      <c r="I121" s="356">
        <f>SUM('0040:4131'!J93)</f>
        <v>23986732.650000006</v>
      </c>
    </row>
    <row r="122" spans="1:9" x14ac:dyDescent="0.25">
      <c r="A122" s="769" t="s">
        <v>113</v>
      </c>
      <c r="B122" s="769"/>
      <c r="C122" s="769"/>
      <c r="D122" s="769"/>
      <c r="E122" s="769"/>
      <c r="F122" s="769"/>
      <c r="G122" s="769"/>
      <c r="H122" s="769"/>
      <c r="I122" s="769"/>
    </row>
    <row r="123" spans="1:9" x14ac:dyDescent="0.25">
      <c r="A123" s="434"/>
      <c r="B123" s="434"/>
      <c r="C123" s="434"/>
      <c r="D123" s="434"/>
      <c r="E123" s="434"/>
      <c r="F123" s="434"/>
      <c r="G123" s="434"/>
      <c r="H123" s="434"/>
      <c r="I123" s="434"/>
    </row>
    <row r="124" spans="1:9" x14ac:dyDescent="0.25">
      <c r="A124" s="322" t="s">
        <v>114</v>
      </c>
      <c r="C124" s="394"/>
      <c r="D124" s="367"/>
      <c r="E124" s="394" t="s">
        <v>115</v>
      </c>
      <c r="F124" s="770"/>
      <c r="G124" s="770"/>
      <c r="H124" s="770"/>
      <c r="I124" s="770"/>
    </row>
    <row r="125" spans="1:9" x14ac:dyDescent="0.25">
      <c r="B125" s="367"/>
      <c r="C125" s="342" t="s">
        <v>565</v>
      </c>
      <c r="D125" s="399" t="s">
        <v>566</v>
      </c>
      <c r="E125" s="343" t="s">
        <v>393</v>
      </c>
      <c r="F125" s="394"/>
      <c r="G125" s="394"/>
      <c r="H125" s="394"/>
      <c r="I125" s="394"/>
    </row>
    <row r="126" spans="1:9" x14ac:dyDescent="0.25">
      <c r="B126" s="367"/>
      <c r="C126" s="371" t="s">
        <v>54</v>
      </c>
      <c r="D126" s="371" t="s">
        <v>54</v>
      </c>
      <c r="E126" s="346" t="s">
        <v>54</v>
      </c>
      <c r="F126" s="394"/>
      <c r="G126" s="394"/>
      <c r="H126" s="394"/>
      <c r="I126" s="394"/>
    </row>
    <row r="127" spans="1:9" x14ac:dyDescent="0.25">
      <c r="A127" s="771" t="s">
        <v>394</v>
      </c>
      <c r="B127" s="772"/>
      <c r="C127" s="357">
        <f>SUM('0040:4131'!C97)</f>
        <v>4100</v>
      </c>
      <c r="D127" s="357">
        <f>SUM('0040:4131'!D97)</f>
        <v>0</v>
      </c>
      <c r="E127" s="354">
        <f>SUM('0040:4131'!E97)</f>
        <v>4100</v>
      </c>
      <c r="F127" s="435" t="s">
        <v>117</v>
      </c>
      <c r="G127" s="436">
        <v>586</v>
      </c>
      <c r="I127" s="356">
        <f>SUM('0040:4131'!J97)</f>
        <v>2402600</v>
      </c>
    </row>
    <row r="128" spans="1:9" x14ac:dyDescent="0.25">
      <c r="A128" s="771" t="s">
        <v>395</v>
      </c>
      <c r="B128" s="772"/>
      <c r="C128" s="357">
        <f>SUM('0040:4131'!C98)</f>
        <v>1</v>
      </c>
      <c r="D128" s="357">
        <f>SUM('0040:4131'!D98)</f>
        <v>0</v>
      </c>
      <c r="E128" s="354">
        <f>SUM('0040:4131'!E98)</f>
        <v>1</v>
      </c>
      <c r="F128" s="435" t="s">
        <v>117</v>
      </c>
      <c r="G128" s="436">
        <v>1811</v>
      </c>
      <c r="I128" s="356">
        <f>SUM('0040:4131'!J98)</f>
        <v>1811</v>
      </c>
    </row>
    <row r="129" spans="1:10" hidden="1" x14ac:dyDescent="0.25">
      <c r="A129" s="437"/>
      <c r="B129" s="437"/>
      <c r="C129" s="438"/>
      <c r="D129" s="438"/>
      <c r="E129" s="438"/>
      <c r="F129" s="438"/>
      <c r="G129" s="439"/>
      <c r="H129" s="440"/>
      <c r="I129" s="356"/>
    </row>
    <row r="130" spans="1:10" x14ac:dyDescent="0.25">
      <c r="A130" s="437"/>
      <c r="B130" s="437"/>
      <c r="C130" s="438"/>
      <c r="D130" s="438"/>
      <c r="E130" s="438"/>
      <c r="F130" s="438"/>
      <c r="G130" s="439"/>
      <c r="H130" s="440"/>
      <c r="I130" s="356"/>
    </row>
    <row r="131" spans="1:10" ht="15.75" hidden="1" customHeight="1" x14ac:dyDescent="0.25">
      <c r="A131" s="758" t="s">
        <v>396</v>
      </c>
      <c r="B131" s="759"/>
      <c r="C131" s="759"/>
      <c r="D131" s="367"/>
      <c r="E131" s="408" t="s">
        <v>120</v>
      </c>
      <c r="F131" s="763"/>
      <c r="G131" s="763"/>
      <c r="H131" s="763"/>
      <c r="I131" s="763"/>
    </row>
    <row r="132" spans="1:10" hidden="1" x14ac:dyDescent="0.25">
      <c r="B132" s="367"/>
      <c r="C132" s="765" t="s">
        <v>122</v>
      </c>
      <c r="D132" s="765"/>
      <c r="E132" s="765"/>
      <c r="F132" s="406"/>
      <c r="G132" s="406"/>
      <c r="H132" s="408" t="s">
        <v>397</v>
      </c>
      <c r="I132" s="406"/>
    </row>
    <row r="133" spans="1:10" hidden="1" x14ac:dyDescent="0.25">
      <c r="B133" s="367"/>
      <c r="C133" s="342" t="str">
        <f>C125</f>
        <v>Oct 2025</v>
      </c>
      <c r="D133" s="342" t="str">
        <f>D125</f>
        <v>Feb 2026</v>
      </c>
      <c r="E133" s="441" t="s">
        <v>125</v>
      </c>
      <c r="F133" s="766" t="s">
        <v>398</v>
      </c>
      <c r="G133" s="763"/>
      <c r="H133" s="406" t="s">
        <v>399</v>
      </c>
      <c r="I133" s="406"/>
    </row>
    <row r="134" spans="1:10" ht="15.75" hidden="1" customHeight="1" x14ac:dyDescent="0.25">
      <c r="A134" s="765" t="s">
        <v>121</v>
      </c>
      <c r="B134" s="765"/>
      <c r="C134" s="346" t="s">
        <v>54</v>
      </c>
      <c r="D134" s="346" t="s">
        <v>54</v>
      </c>
      <c r="E134" s="404" t="s">
        <v>54</v>
      </c>
      <c r="F134" s="765" t="s">
        <v>384</v>
      </c>
      <c r="G134" s="765"/>
      <c r="H134" s="404" t="s">
        <v>384</v>
      </c>
      <c r="I134" s="404" t="s">
        <v>125</v>
      </c>
    </row>
    <row r="135" spans="1:10" ht="15.75" hidden="1" customHeight="1" x14ac:dyDescent="0.25">
      <c r="A135" s="767" t="s">
        <v>126</v>
      </c>
      <c r="B135" s="767"/>
      <c r="C135" s="353">
        <v>0</v>
      </c>
      <c r="D135" s="353">
        <v>0</v>
      </c>
      <c r="E135" s="360">
        <f>IF(D31=0,C135*2,C135+D135)</f>
        <v>0</v>
      </c>
      <c r="F135" s="768">
        <v>0</v>
      </c>
      <c r="G135" s="768"/>
      <c r="H135" s="442">
        <f>IF(C135=0,0,125)</f>
        <v>0</v>
      </c>
      <c r="I135" s="356">
        <f>ROUND((H135+F135)*E135,2)</f>
        <v>0</v>
      </c>
    </row>
    <row r="136" spans="1:10" ht="15.75" hidden="1" customHeight="1" x14ac:dyDescent="0.25">
      <c r="A136" s="760" t="s">
        <v>127</v>
      </c>
      <c r="B136" s="760"/>
      <c r="C136" s="357">
        <v>0</v>
      </c>
      <c r="D136" s="357">
        <v>0</v>
      </c>
      <c r="E136" s="354">
        <f>IF(D32=0,C136*2,C136+D136)</f>
        <v>0</v>
      </c>
      <c r="F136" s="761">
        <f>ROUND(F135/2,2)</f>
        <v>0</v>
      </c>
      <c r="G136" s="761"/>
      <c r="H136" s="442">
        <f>IF(C136=0,0,62.5)</f>
        <v>0</v>
      </c>
      <c r="I136" s="356">
        <f>ROUND((H136+F136)*E136,2)</f>
        <v>0</v>
      </c>
    </row>
    <row r="137" spans="1:10" ht="15.75" hidden="1" customHeight="1" x14ac:dyDescent="0.25">
      <c r="A137" s="760" t="s">
        <v>128</v>
      </c>
      <c r="B137" s="760"/>
      <c r="C137" s="357">
        <v>0</v>
      </c>
      <c r="D137" s="357">
        <v>0</v>
      </c>
      <c r="E137" s="354">
        <f>IF(D33=0,C137*2,C137+D137)</f>
        <v>0</v>
      </c>
      <c r="F137" s="762"/>
      <c r="G137" s="762"/>
      <c r="H137" s="443">
        <f>IF(H135&gt;0,436,0)</f>
        <v>0</v>
      </c>
      <c r="I137" s="356">
        <f>ROUND(H137*E137,2)</f>
        <v>0</v>
      </c>
    </row>
    <row r="138" spans="1:10" ht="16.5" hidden="1" customHeight="1" x14ac:dyDescent="0.25">
      <c r="A138" s="763" t="s">
        <v>125</v>
      </c>
      <c r="B138" s="763"/>
      <c r="C138" s="438"/>
      <c r="D138" s="438"/>
      <c r="E138" s="438"/>
      <c r="F138" s="438"/>
      <c r="G138" s="438"/>
      <c r="H138" s="438"/>
      <c r="I138" s="363">
        <f>SUM(I135:I137)</f>
        <v>0</v>
      </c>
    </row>
    <row r="139" spans="1:10" hidden="1" x14ac:dyDescent="0.25">
      <c r="A139" s="406"/>
      <c r="B139" s="406"/>
      <c r="C139" s="438"/>
      <c r="D139" s="438"/>
      <c r="E139" s="438"/>
      <c r="F139" s="438"/>
      <c r="G139" s="438"/>
      <c r="H139" s="438"/>
      <c r="I139" s="356"/>
    </row>
    <row r="140" spans="1:10" x14ac:dyDescent="0.25">
      <c r="A140" s="758" t="s">
        <v>481</v>
      </c>
      <c r="B140" s="759"/>
      <c r="C140" s="759"/>
      <c r="D140" s="367"/>
      <c r="E140" s="444" t="s">
        <v>130</v>
      </c>
      <c r="F140" s="764"/>
      <c r="G140" s="764"/>
      <c r="H140" s="764"/>
      <c r="I140" s="447"/>
    </row>
    <row r="141" spans="1:10" x14ac:dyDescent="0.25">
      <c r="B141" s="367"/>
      <c r="C141" s="367"/>
      <c r="D141" s="367"/>
      <c r="E141" s="444"/>
      <c r="F141" s="444"/>
      <c r="G141" s="444"/>
      <c r="H141" s="444"/>
      <c r="I141" s="354"/>
    </row>
    <row r="142" spans="1:10" x14ac:dyDescent="0.25">
      <c r="A142" s="757" t="s">
        <v>125</v>
      </c>
      <c r="B142" s="757"/>
      <c r="C142" s="757"/>
      <c r="D142" s="757"/>
      <c r="E142" s="757"/>
      <c r="F142" s="757"/>
      <c r="G142" s="757"/>
      <c r="H142" s="757"/>
      <c r="I142" s="380">
        <f>SUM('0040:4131'!J107)</f>
        <v>212627188.72999999</v>
      </c>
      <c r="J142" s="445"/>
    </row>
    <row r="143" spans="1:10" x14ac:dyDescent="0.25">
      <c r="A143" s="365"/>
      <c r="B143" s="365"/>
      <c r="C143" s="365"/>
      <c r="D143" s="365"/>
      <c r="E143" s="365"/>
      <c r="F143" s="365"/>
      <c r="G143" s="365"/>
      <c r="H143" s="365"/>
      <c r="I143" s="356"/>
      <c r="J143" s="445"/>
    </row>
    <row r="144" spans="1:10" x14ac:dyDescent="0.25">
      <c r="A144" s="322" t="s">
        <v>400</v>
      </c>
      <c r="B144" s="365"/>
      <c r="C144" s="365"/>
      <c r="D144" s="365"/>
      <c r="E144" s="365"/>
      <c r="F144" s="365"/>
      <c r="G144" s="365"/>
      <c r="H144" s="365"/>
      <c r="I144" s="380">
        <f>SUM('0040:4131'!J109)</f>
        <v>202663870.69</v>
      </c>
      <c r="J144" s="445"/>
    </row>
    <row r="145" spans="1:13" x14ac:dyDescent="0.25">
      <c r="A145" s="365"/>
      <c r="B145" s="365"/>
      <c r="C145" s="365"/>
      <c r="D145" s="365"/>
      <c r="E145" s="365"/>
      <c r="F145" s="365"/>
      <c r="G145" s="365"/>
      <c r="H145" s="365"/>
      <c r="I145" s="356"/>
      <c r="J145" s="445"/>
    </row>
    <row r="146" spans="1:13" x14ac:dyDescent="0.25">
      <c r="A146" s="758" t="s">
        <v>401</v>
      </c>
      <c r="B146" s="759"/>
      <c r="C146" s="759"/>
      <c r="D146" s="759"/>
      <c r="E146" s="759"/>
      <c r="F146" s="759"/>
      <c r="G146" s="759"/>
      <c r="H146" s="322" t="s">
        <v>132</v>
      </c>
      <c r="I146" s="446"/>
      <c r="J146" s="445"/>
    </row>
    <row r="147" spans="1:13" x14ac:dyDescent="0.25">
      <c r="A147" s="759" t="s">
        <v>135</v>
      </c>
      <c r="B147" s="759"/>
      <c r="C147" s="759"/>
      <c r="D147" s="759"/>
      <c r="E147" s="759"/>
      <c r="F147" s="759"/>
      <c r="G147" s="759"/>
      <c r="H147" s="447"/>
      <c r="I147" s="380">
        <f>SUM('0040:4131'!J111)</f>
        <v>10656293.170000002</v>
      </c>
    </row>
    <row r="148" spans="1:13" x14ac:dyDescent="0.25">
      <c r="B148" s="367"/>
      <c r="C148" s="367"/>
      <c r="D148" s="367"/>
      <c r="E148" s="367"/>
      <c r="F148" s="367"/>
      <c r="G148" s="367"/>
      <c r="H148" s="438"/>
      <c r="I148" s="356"/>
    </row>
    <row r="149" spans="1:13" x14ac:dyDescent="0.25">
      <c r="A149" s="319" t="s">
        <v>180</v>
      </c>
      <c r="B149" s="367"/>
      <c r="C149" s="367"/>
      <c r="D149" s="367"/>
      <c r="E149" s="367"/>
      <c r="F149" s="367"/>
      <c r="G149" s="448"/>
      <c r="H149" s="449">
        <f>IF(H147=1,I147,I144)</f>
        <v>202663870.69</v>
      </c>
      <c r="I149" s="380">
        <f>SUM('0040:4131'!I114)</f>
        <v>178107174.69</v>
      </c>
    </row>
    <row r="150" spans="1:13" x14ac:dyDescent="0.25">
      <c r="B150" s="367"/>
      <c r="C150" s="367"/>
      <c r="D150" s="367"/>
      <c r="E150" s="367"/>
      <c r="F150" s="367"/>
      <c r="G150" s="367"/>
      <c r="H150" s="438"/>
      <c r="I150" s="356"/>
    </row>
    <row r="151" spans="1:13" x14ac:dyDescent="0.25">
      <c r="A151" s="450" t="s">
        <v>181</v>
      </c>
      <c r="B151" s="451"/>
      <c r="C151" s="451"/>
      <c r="D151" s="451"/>
      <c r="E151" s="451"/>
      <c r="F151" s="451"/>
      <c r="G151" s="451"/>
      <c r="H151" s="452"/>
      <c r="I151" s="453">
        <f>SUM('0040:4131'!J116)</f>
        <v>209379250.28999996</v>
      </c>
    </row>
    <row r="152" spans="1:13" x14ac:dyDescent="0.25">
      <c r="B152" s="367"/>
      <c r="C152" s="367"/>
      <c r="D152" s="367"/>
      <c r="E152" s="367"/>
      <c r="F152" s="367"/>
      <c r="G152" s="367"/>
      <c r="H152" s="438"/>
      <c r="I152" s="356"/>
    </row>
    <row r="153" spans="1:13" x14ac:dyDescent="0.25">
      <c r="A153" s="319" t="s">
        <v>182</v>
      </c>
      <c r="B153" s="367"/>
      <c r="C153" s="454"/>
      <c r="D153" s="367"/>
      <c r="F153" s="367"/>
      <c r="G153" s="367"/>
      <c r="H153" s="438"/>
      <c r="I153" s="455">
        <f>SUM('0040:4131'!J118)</f>
        <v>-174632265.71400005</v>
      </c>
      <c r="K153" s="420"/>
    </row>
    <row r="154" spans="1:13" x14ac:dyDescent="0.25">
      <c r="B154" s="367"/>
      <c r="C154" s="367"/>
      <c r="D154" s="367"/>
      <c r="E154" s="367"/>
      <c r="F154" s="367"/>
      <c r="G154" s="367"/>
      <c r="H154" s="438"/>
      <c r="I154" s="356"/>
    </row>
    <row r="155" spans="1:13" x14ac:dyDescent="0.25">
      <c r="A155" s="319" t="s">
        <v>183</v>
      </c>
      <c r="B155" s="367"/>
      <c r="C155" s="367"/>
      <c r="D155" s="367"/>
      <c r="E155" s="367"/>
      <c r="F155" s="367"/>
      <c r="G155" s="367"/>
      <c r="H155" s="438"/>
      <c r="I155" s="356">
        <f>SUM('0040:4131'!J120)</f>
        <v>34913044.44600001</v>
      </c>
    </row>
    <row r="156" spans="1:13" x14ac:dyDescent="0.25">
      <c r="A156" s="319"/>
      <c r="B156" s="367"/>
      <c r="C156" s="367"/>
      <c r="D156" s="367"/>
      <c r="E156" s="367"/>
      <c r="F156" s="367"/>
      <c r="G156" s="367"/>
      <c r="H156" s="438"/>
      <c r="I156" s="356"/>
    </row>
    <row r="157" spans="1:13" x14ac:dyDescent="0.25">
      <c r="A157" s="319" t="s">
        <v>184</v>
      </c>
      <c r="B157" s="367"/>
      <c r="C157" s="367"/>
      <c r="D157" s="367"/>
      <c r="E157" s="367"/>
      <c r="F157" s="367"/>
      <c r="G157" s="367"/>
      <c r="H157" s="438"/>
      <c r="I157" s="684">
        <v>2</v>
      </c>
    </row>
    <row r="158" spans="1:13" x14ac:dyDescent="0.25">
      <c r="B158" s="367"/>
      <c r="C158" s="367"/>
      <c r="D158" s="367"/>
      <c r="E158" s="367"/>
      <c r="F158" s="367"/>
      <c r="G158" s="367"/>
      <c r="H158" s="438"/>
      <c r="I158" s="356"/>
    </row>
    <row r="159" spans="1:13" ht="16.5" thickBot="1" x14ac:dyDescent="0.3">
      <c r="A159" s="319" t="s">
        <v>185</v>
      </c>
      <c r="B159" s="367"/>
      <c r="C159" s="367"/>
      <c r="D159" s="367"/>
      <c r="E159" s="367"/>
      <c r="F159" s="367"/>
      <c r="G159" s="367"/>
      <c r="H159" s="438"/>
      <c r="I159" s="456">
        <f>SUM('0040:4131'!J124)</f>
        <v>17456522.309999995</v>
      </c>
      <c r="J159" s="420"/>
      <c r="K159" s="424"/>
      <c r="L159" s="424"/>
      <c r="M159" s="424"/>
    </row>
    <row r="160" spans="1:13" s="464" customFormat="1" ht="16.5" thickTop="1" x14ac:dyDescent="0.25">
      <c r="A160" s="457"/>
      <c r="B160" s="457"/>
      <c r="C160" s="458"/>
      <c r="D160" s="459"/>
      <c r="E160" s="460"/>
      <c r="F160" s="335"/>
      <c r="G160" s="461"/>
      <c r="H160" s="462"/>
      <c r="I160" s="463"/>
    </row>
    <row r="161" spans="1:8" x14ac:dyDescent="0.25">
      <c r="A161" s="756" t="s">
        <v>136</v>
      </c>
      <c r="B161" s="756"/>
      <c r="C161" s="756"/>
      <c r="D161" s="756"/>
      <c r="E161" s="756"/>
      <c r="F161" s="756"/>
      <c r="G161" s="756"/>
      <c r="H161" s="756"/>
    </row>
    <row r="162" spans="1:8" ht="26.25" customHeight="1" x14ac:dyDescent="0.25">
      <c r="A162" s="755" t="s">
        <v>402</v>
      </c>
      <c r="B162" s="755"/>
      <c r="C162" s="755"/>
      <c r="D162" s="755"/>
      <c r="E162" s="755"/>
      <c r="F162" s="755"/>
      <c r="G162" s="755"/>
      <c r="H162" s="755"/>
    </row>
    <row r="163" spans="1:8" x14ac:dyDescent="0.25">
      <c r="A163" s="756" t="s">
        <v>403</v>
      </c>
      <c r="B163" s="756"/>
      <c r="C163" s="756"/>
      <c r="D163" s="756"/>
      <c r="E163" s="756"/>
      <c r="F163" s="756"/>
      <c r="G163" s="756"/>
      <c r="H163" s="756"/>
    </row>
    <row r="164" spans="1:8" x14ac:dyDescent="0.25">
      <c r="A164" s="756" t="s">
        <v>404</v>
      </c>
      <c r="B164" s="756"/>
      <c r="C164" s="756"/>
      <c r="D164" s="756"/>
      <c r="E164" s="756"/>
      <c r="F164" s="756"/>
      <c r="G164" s="756"/>
      <c r="H164" s="756"/>
    </row>
    <row r="165" spans="1:8" x14ac:dyDescent="0.25">
      <c r="A165" s="756" t="s">
        <v>405</v>
      </c>
      <c r="B165" s="756"/>
      <c r="C165" s="756"/>
      <c r="D165" s="756"/>
      <c r="E165" s="756"/>
      <c r="F165" s="756"/>
      <c r="G165" s="756"/>
      <c r="H165" s="756"/>
    </row>
    <row r="166" spans="1:8" x14ac:dyDescent="0.25">
      <c r="A166" s="756" t="s">
        <v>406</v>
      </c>
      <c r="B166" s="756"/>
      <c r="C166" s="756"/>
      <c r="D166" s="756"/>
      <c r="E166" s="756"/>
      <c r="F166" s="756"/>
      <c r="G166" s="756"/>
      <c r="H166" s="756"/>
    </row>
    <row r="167" spans="1:8" x14ac:dyDescent="0.25">
      <c r="A167" s="756" t="s">
        <v>407</v>
      </c>
      <c r="B167" s="756"/>
      <c r="C167" s="756"/>
      <c r="D167" s="756"/>
      <c r="E167" s="756"/>
      <c r="F167" s="756"/>
      <c r="G167" s="756"/>
      <c r="H167" s="756"/>
    </row>
    <row r="168" spans="1:8" ht="26.25" customHeight="1" x14ac:dyDescent="0.25">
      <c r="A168" s="755" t="s">
        <v>408</v>
      </c>
      <c r="B168" s="755"/>
      <c r="C168" s="755"/>
      <c r="D168" s="755"/>
      <c r="E168" s="755"/>
      <c r="F168" s="755"/>
      <c r="G168" s="755"/>
      <c r="H168" s="755"/>
    </row>
    <row r="169" spans="1:8" ht="26.25" customHeight="1" x14ac:dyDescent="0.25">
      <c r="A169" s="755" t="s">
        <v>144</v>
      </c>
      <c r="B169" s="755"/>
      <c r="C169" s="755"/>
      <c r="D169" s="755"/>
      <c r="E169" s="755"/>
      <c r="F169" s="755"/>
      <c r="G169" s="755"/>
      <c r="H169" s="755"/>
    </row>
    <row r="170" spans="1:8" ht="26.25" customHeight="1" x14ac:dyDescent="0.25">
      <c r="A170" s="755" t="s">
        <v>409</v>
      </c>
      <c r="B170" s="755"/>
      <c r="C170" s="755"/>
      <c r="D170" s="755"/>
      <c r="E170" s="755"/>
      <c r="F170" s="755"/>
      <c r="G170" s="755"/>
      <c r="H170" s="755"/>
    </row>
    <row r="171" spans="1:8" ht="16.5" customHeight="1" x14ac:dyDescent="0.25">
      <c r="A171" s="465" t="s">
        <v>146</v>
      </c>
      <c r="B171" s="465"/>
      <c r="C171" s="465"/>
      <c r="D171" s="465"/>
      <c r="E171" s="465"/>
      <c r="F171" s="465"/>
      <c r="G171" s="465"/>
      <c r="H171" s="465"/>
    </row>
    <row r="172" spans="1:8" ht="26.25" customHeight="1" x14ac:dyDescent="0.25">
      <c r="A172" s="755" t="s">
        <v>147</v>
      </c>
      <c r="B172" s="755"/>
      <c r="C172" s="755"/>
      <c r="D172" s="755"/>
      <c r="E172" s="755"/>
      <c r="F172" s="755"/>
      <c r="G172" s="755"/>
      <c r="H172" s="755"/>
    </row>
    <row r="173" spans="1:8" ht="26.25" customHeight="1" x14ac:dyDescent="0.25">
      <c r="A173" s="755" t="s">
        <v>148</v>
      </c>
      <c r="B173" s="755"/>
      <c r="C173" s="755"/>
      <c r="D173" s="755"/>
      <c r="E173" s="755"/>
      <c r="F173" s="755"/>
      <c r="G173" s="755"/>
      <c r="H173" s="755"/>
    </row>
    <row r="174" spans="1:8" x14ac:dyDescent="0.25">
      <c r="A174" s="746" t="s">
        <v>149</v>
      </c>
      <c r="B174" s="755"/>
      <c r="C174" s="755"/>
      <c r="D174" s="755"/>
      <c r="E174" s="755"/>
      <c r="F174" s="755"/>
      <c r="G174" s="755"/>
      <c r="H174" s="755"/>
    </row>
    <row r="175" spans="1:8" ht="54.75" customHeight="1" x14ac:dyDescent="0.25">
      <c r="A175" s="747" t="s">
        <v>150</v>
      </c>
      <c r="B175" s="747"/>
      <c r="C175" s="747"/>
      <c r="D175" s="747"/>
      <c r="E175" s="747"/>
      <c r="F175" s="747"/>
      <c r="G175" s="747"/>
      <c r="H175" s="747"/>
    </row>
    <row r="176" spans="1:8" ht="42.75" customHeight="1" x14ac:dyDescent="0.25">
      <c r="A176" s="747" t="s">
        <v>151</v>
      </c>
      <c r="B176" s="747"/>
      <c r="C176" s="747"/>
      <c r="D176" s="747"/>
      <c r="E176" s="747"/>
      <c r="F176" s="747"/>
      <c r="G176" s="747"/>
      <c r="H176" s="747"/>
    </row>
    <row r="177" spans="1:8" x14ac:dyDescent="0.25">
      <c r="A177" s="466"/>
      <c r="B177" s="466"/>
      <c r="C177" s="466"/>
      <c r="D177" s="466"/>
      <c r="E177" s="466"/>
      <c r="F177" s="466"/>
      <c r="G177" s="466"/>
      <c r="H177" s="466"/>
    </row>
    <row r="178" spans="1:8" x14ac:dyDescent="0.25">
      <c r="A178" s="746" t="s">
        <v>152</v>
      </c>
      <c r="B178" s="746"/>
      <c r="C178" s="746"/>
      <c r="D178" s="746"/>
      <c r="E178" s="746"/>
      <c r="F178" s="746"/>
      <c r="G178" s="746"/>
      <c r="H178" s="746"/>
    </row>
    <row r="179" spans="1:8" ht="26.25" customHeight="1" x14ac:dyDescent="0.25">
      <c r="A179" s="747" t="s">
        <v>153</v>
      </c>
      <c r="B179" s="747"/>
      <c r="C179" s="747"/>
      <c r="D179" s="747"/>
      <c r="E179" s="747"/>
      <c r="F179" s="747"/>
      <c r="G179" s="747"/>
      <c r="H179" s="747"/>
    </row>
    <row r="180" spans="1:8" x14ac:dyDescent="0.25">
      <c r="A180" s="748" t="s">
        <v>154</v>
      </c>
      <c r="B180" s="748"/>
      <c r="C180" s="748"/>
      <c r="D180" s="748"/>
      <c r="E180" s="748"/>
      <c r="F180" s="748"/>
      <c r="G180" s="748"/>
      <c r="H180" s="748"/>
    </row>
  </sheetData>
  <mergeCells count="131">
    <mergeCell ref="A13:B13"/>
    <mergeCell ref="F13:G13"/>
    <mergeCell ref="A14:B14"/>
    <mergeCell ref="F14:G14"/>
    <mergeCell ref="A15:B15"/>
    <mergeCell ref="F15:G15"/>
    <mergeCell ref="B1:I1"/>
    <mergeCell ref="A4:B4"/>
    <mergeCell ref="C4:E4"/>
    <mergeCell ref="F11:G11"/>
    <mergeCell ref="A12:B12"/>
    <mergeCell ref="F12:G12"/>
    <mergeCell ref="A3:J3"/>
    <mergeCell ref="A19:B19"/>
    <mergeCell ref="F19:G19"/>
    <mergeCell ref="A20:B20"/>
    <mergeCell ref="F20:G20"/>
    <mergeCell ref="A21:B21"/>
    <mergeCell ref="F21:G21"/>
    <mergeCell ref="A16:B16"/>
    <mergeCell ref="F16:G16"/>
    <mergeCell ref="A17:B17"/>
    <mergeCell ref="F17:G17"/>
    <mergeCell ref="A18:B18"/>
    <mergeCell ref="F18:G18"/>
    <mergeCell ref="A25:B25"/>
    <mergeCell ref="F25:G25"/>
    <mergeCell ref="A26:B26"/>
    <mergeCell ref="F26:G26"/>
    <mergeCell ref="A27:B27"/>
    <mergeCell ref="F27:G27"/>
    <mergeCell ref="A22:B22"/>
    <mergeCell ref="F22:G22"/>
    <mergeCell ref="A23:B23"/>
    <mergeCell ref="F23:G23"/>
    <mergeCell ref="A24:B24"/>
    <mergeCell ref="F24:G24"/>
    <mergeCell ref="F31:G31"/>
    <mergeCell ref="A32:B32"/>
    <mergeCell ref="A38:B38"/>
    <mergeCell ref="A39:B39"/>
    <mergeCell ref="A40:B40"/>
    <mergeCell ref="A41:B41"/>
    <mergeCell ref="A28:B28"/>
    <mergeCell ref="F28:G28"/>
    <mergeCell ref="A29:B29"/>
    <mergeCell ref="F29:G29"/>
    <mergeCell ref="A30:B30"/>
    <mergeCell ref="F30:G30"/>
    <mergeCell ref="A74:B74"/>
    <mergeCell ref="D74:G74"/>
    <mergeCell ref="A77:B77"/>
    <mergeCell ref="D77:G77"/>
    <mergeCell ref="A80:B80"/>
    <mergeCell ref="D80:G80"/>
    <mergeCell ref="A42:B42"/>
    <mergeCell ref="A43:B43"/>
    <mergeCell ref="A44:B44"/>
    <mergeCell ref="A59:B67"/>
    <mergeCell ref="F68:H68"/>
    <mergeCell ref="A71:B71"/>
    <mergeCell ref="D71:G71"/>
    <mergeCell ref="C116:D116"/>
    <mergeCell ref="C117:D117"/>
    <mergeCell ref="C118:D118"/>
    <mergeCell ref="C119:D119"/>
    <mergeCell ref="C120:D120"/>
    <mergeCell ref="C121:D121"/>
    <mergeCell ref="A83:B83"/>
    <mergeCell ref="D83:G83"/>
    <mergeCell ref="A88:C88"/>
    <mergeCell ref="A89:C89"/>
    <mergeCell ref="A108:C108"/>
    <mergeCell ref="A110:C110"/>
    <mergeCell ref="A98:B98"/>
    <mergeCell ref="C132:E132"/>
    <mergeCell ref="F133:G133"/>
    <mergeCell ref="A134:B134"/>
    <mergeCell ref="F134:G134"/>
    <mergeCell ref="A135:B135"/>
    <mergeCell ref="F135:G135"/>
    <mergeCell ref="A122:I122"/>
    <mergeCell ref="F124:I124"/>
    <mergeCell ref="A127:B127"/>
    <mergeCell ref="A128:B128"/>
    <mergeCell ref="A131:C131"/>
    <mergeCell ref="F131:I131"/>
    <mergeCell ref="A147:G147"/>
    <mergeCell ref="A161:H161"/>
    <mergeCell ref="A162:H162"/>
    <mergeCell ref="A163:H163"/>
    <mergeCell ref="A136:B136"/>
    <mergeCell ref="F136:G136"/>
    <mergeCell ref="A137:B137"/>
    <mergeCell ref="F137:G137"/>
    <mergeCell ref="A138:B138"/>
    <mergeCell ref="A140:C140"/>
    <mergeCell ref="F140:H140"/>
    <mergeCell ref="A178:H178"/>
    <mergeCell ref="A179:H179"/>
    <mergeCell ref="A180:H180"/>
    <mergeCell ref="R95:S95"/>
    <mergeCell ref="T95:X95"/>
    <mergeCell ref="A96:B96"/>
    <mergeCell ref="E96:I96"/>
    <mergeCell ref="R96:S96"/>
    <mergeCell ref="A97:B97"/>
    <mergeCell ref="R97:S97"/>
    <mergeCell ref="A170:H170"/>
    <mergeCell ref="A172:H172"/>
    <mergeCell ref="A173:H173"/>
    <mergeCell ref="A174:H174"/>
    <mergeCell ref="A175:H175"/>
    <mergeCell ref="A176:H176"/>
    <mergeCell ref="A164:H164"/>
    <mergeCell ref="A165:H165"/>
    <mergeCell ref="A166:H166"/>
    <mergeCell ref="A167:H167"/>
    <mergeCell ref="A168:H168"/>
    <mergeCell ref="A169:H169"/>
    <mergeCell ref="A142:H142"/>
    <mergeCell ref="A146:G146"/>
    <mergeCell ref="R105:S105"/>
    <mergeCell ref="A106:B106"/>
    <mergeCell ref="R106:T106"/>
    <mergeCell ref="R98:S98"/>
    <mergeCell ref="A99:B99"/>
    <mergeCell ref="R100:S100"/>
    <mergeCell ref="A101:B101"/>
    <mergeCell ref="R101:S101"/>
    <mergeCell ref="A102:B102"/>
  </mergeCells>
  <pageMargins left="0.75" right="0.1" top="0.5" bottom="0.5" header="0" footer="0.1"/>
  <pageSetup scale="65" fitToHeight="2" orientation="portrait" r:id="rId1"/>
  <headerFooter alignWithMargins="0">
    <oddFooter>&amp;L&amp;8&amp;Z&amp;F&amp;R&amp;8&amp;P / &amp;N</oddFooter>
  </headerFooter>
  <rowBreaks count="1" manualBreakCount="1">
    <brk id="84" max="16383" man="1"/>
  </rowBreaks>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0092D-181A-4F79-8F72-F64CF179C59D}">
  <sheetPr>
    <tabColor rgb="FFFFC000"/>
    <outlinePr summaryBelow="0" summaryRight="0"/>
  </sheetPr>
  <dimension ref="A1:M1218"/>
  <sheetViews>
    <sheetView zoomScale="120" zoomScaleNormal="120" workbookViewId="0">
      <pane ySplit="1" topLeftCell="A145" activePane="bottomLeft" state="frozen"/>
      <selection activeCell="B1" sqref="B1"/>
      <selection pane="bottomLeft" activeCell="B162" sqref="B162"/>
    </sheetView>
  </sheetViews>
  <sheetFormatPr defaultColWidth="12.5703125" defaultRowHeight="15.75" customHeight="1" x14ac:dyDescent="0.25"/>
  <cols>
    <col min="1" max="1" width="7.7109375" style="699" bestFit="1" customWidth="1"/>
    <col min="2" max="2" width="8.85546875" style="699" customWidth="1"/>
    <col min="3" max="3" width="6.7109375" style="699" customWidth="1"/>
    <col min="4" max="6" width="12.5703125" style="702"/>
    <col min="7" max="7" width="11.85546875" hidden="1" customWidth="1"/>
    <col min="8" max="8" width="9.5703125" customWidth="1"/>
    <col min="9" max="9" width="6.7109375" customWidth="1"/>
    <col min="10" max="10" width="12.5703125" style="702"/>
    <col min="11" max="11" width="12.5703125" style="699"/>
    <col min="12" max="12" width="10.28515625" style="699" customWidth="1"/>
    <col min="13" max="13" width="12.5703125" style="723"/>
    <col min="14" max="16384" width="12.5703125" style="699"/>
  </cols>
  <sheetData>
    <row r="1" spans="1:13" ht="25.5" x14ac:dyDescent="0.2">
      <c r="A1" s="695" t="s">
        <v>590</v>
      </c>
      <c r="B1" s="696" t="s">
        <v>591</v>
      </c>
      <c r="C1" s="710" t="s">
        <v>592</v>
      </c>
      <c r="D1" s="697" t="s">
        <v>593</v>
      </c>
      <c r="E1" s="698"/>
      <c r="F1" s="698"/>
      <c r="G1" s="703" t="s">
        <v>590</v>
      </c>
      <c r="H1" s="704" t="s">
        <v>591</v>
      </c>
      <c r="I1" s="709" t="s">
        <v>592</v>
      </c>
      <c r="J1" s="697" t="s">
        <v>594</v>
      </c>
      <c r="L1" s="704" t="s">
        <v>591</v>
      </c>
      <c r="M1" s="704" t="s">
        <v>54</v>
      </c>
    </row>
    <row r="2" spans="1:13" ht="12.75" x14ac:dyDescent="0.2">
      <c r="A2" s="700">
        <v>11</v>
      </c>
      <c r="B2" s="700" t="str">
        <f t="shared" ref="B2:B65" si="0">TEXT(A2,"0000")</f>
        <v>0011</v>
      </c>
      <c r="C2" s="700">
        <v>101</v>
      </c>
      <c r="D2" s="701">
        <v>126.5</v>
      </c>
      <c r="E2" s="701"/>
      <c r="F2" s="701"/>
      <c r="G2" s="705">
        <v>11</v>
      </c>
      <c r="H2" s="705" t="str">
        <f>TEXT(G2,"0000")</f>
        <v>0011</v>
      </c>
      <c r="I2" s="705">
        <v>101</v>
      </c>
      <c r="J2" s="701">
        <v>123.96</v>
      </c>
      <c r="L2" s="722" t="s">
        <v>207</v>
      </c>
      <c r="M2" s="723">
        <f>SUMIF(B:B,L2,D:D)+SUMIF(H:H,L2,J:J)</f>
        <v>23.72</v>
      </c>
    </row>
    <row r="3" spans="1:13" ht="12.75" x14ac:dyDescent="0.2">
      <c r="A3" s="700">
        <v>11</v>
      </c>
      <c r="B3" s="700" t="str">
        <f t="shared" si="0"/>
        <v>0011</v>
      </c>
      <c r="C3" s="700">
        <v>102</v>
      </c>
      <c r="D3" s="701">
        <v>148.52000000000001</v>
      </c>
      <c r="E3" s="701"/>
      <c r="F3" s="701"/>
      <c r="G3" s="705">
        <v>11</v>
      </c>
      <c r="H3" s="705" t="str">
        <f t="shared" ref="H3:H66" si="1">TEXT(G3,"0000")</f>
        <v>0011</v>
      </c>
      <c r="I3" s="705">
        <v>102</v>
      </c>
      <c r="J3" s="701">
        <v>147.49</v>
      </c>
      <c r="L3" s="722" t="s">
        <v>547</v>
      </c>
      <c r="M3" s="723">
        <f t="shared" ref="M3:M52" si="2">SUMIF(B:B,L3,D:D)+SUMIF(H:H,L3,J:J)</f>
        <v>126.00000000000001</v>
      </c>
    </row>
    <row r="4" spans="1:13" ht="12.75" x14ac:dyDescent="0.2">
      <c r="A4" s="700">
        <v>11</v>
      </c>
      <c r="B4" s="700" t="str">
        <f t="shared" si="0"/>
        <v>0011</v>
      </c>
      <c r="C4" s="700">
        <v>111</v>
      </c>
      <c r="D4" s="701">
        <v>60.45</v>
      </c>
      <c r="E4" s="701"/>
      <c r="F4" s="701"/>
      <c r="G4" s="705">
        <v>11</v>
      </c>
      <c r="H4" s="705" t="str">
        <f t="shared" si="1"/>
        <v>0011</v>
      </c>
      <c r="I4" s="705">
        <v>111</v>
      </c>
      <c r="J4" s="701">
        <v>63.55</v>
      </c>
      <c r="L4" s="722" t="s">
        <v>209</v>
      </c>
      <c r="M4" s="723">
        <f t="shared" si="2"/>
        <v>27</v>
      </c>
    </row>
    <row r="5" spans="1:13" ht="12.75" x14ac:dyDescent="0.2">
      <c r="A5" s="700">
        <v>11</v>
      </c>
      <c r="B5" s="700" t="str">
        <f t="shared" si="0"/>
        <v>0011</v>
      </c>
      <c r="C5" s="700">
        <v>112</v>
      </c>
      <c r="D5" s="701">
        <v>50.5</v>
      </c>
      <c r="E5" s="701"/>
      <c r="F5" s="701"/>
      <c r="G5" s="705">
        <v>11</v>
      </c>
      <c r="H5" s="705" t="str">
        <f t="shared" si="1"/>
        <v>0011</v>
      </c>
      <c r="I5" s="705">
        <v>112</v>
      </c>
      <c r="J5" s="701">
        <v>50.23</v>
      </c>
      <c r="L5" s="722" t="s">
        <v>211</v>
      </c>
      <c r="M5" s="723">
        <f t="shared" si="2"/>
        <v>830.3900000000001</v>
      </c>
    </row>
    <row r="6" spans="1:13" ht="12.75" x14ac:dyDescent="0.2">
      <c r="A6" s="700">
        <v>11</v>
      </c>
      <c r="B6" s="700" t="str">
        <f t="shared" si="0"/>
        <v>0011</v>
      </c>
      <c r="C6" s="700">
        <v>130</v>
      </c>
      <c r="D6" s="701">
        <v>37.630000000000003</v>
      </c>
      <c r="E6" s="701"/>
      <c r="F6" s="701"/>
      <c r="G6" s="705">
        <v>11</v>
      </c>
      <c r="H6" s="705" t="str">
        <f t="shared" si="1"/>
        <v>0011</v>
      </c>
      <c r="I6" s="705">
        <v>130</v>
      </c>
      <c r="J6" s="701">
        <v>34.42</v>
      </c>
      <c r="L6" s="722" t="s">
        <v>213</v>
      </c>
      <c r="M6" s="723">
        <f t="shared" si="2"/>
        <v>1103.25</v>
      </c>
    </row>
    <row r="7" spans="1:13" ht="12.75" x14ac:dyDescent="0.2">
      <c r="A7" s="700">
        <v>11</v>
      </c>
      <c r="B7" s="700" t="str">
        <f t="shared" si="0"/>
        <v>0011</v>
      </c>
      <c r="C7" s="700">
        <v>254</v>
      </c>
      <c r="D7" s="701">
        <v>1</v>
      </c>
      <c r="E7" s="701"/>
      <c r="F7" s="701"/>
      <c r="G7" s="705">
        <v>11</v>
      </c>
      <c r="H7" s="705" t="str">
        <f t="shared" si="1"/>
        <v>0011</v>
      </c>
      <c r="I7" s="705">
        <v>254</v>
      </c>
      <c r="J7" s="701">
        <v>1</v>
      </c>
      <c r="L7" s="722" t="s">
        <v>215</v>
      </c>
      <c r="M7" s="723">
        <f t="shared" si="2"/>
        <v>73.599999999999994</v>
      </c>
    </row>
    <row r="8" spans="1:13" ht="12.75" x14ac:dyDescent="0.2">
      <c r="A8" s="700">
        <v>11</v>
      </c>
      <c r="B8" s="700" t="str">
        <f t="shared" si="0"/>
        <v>0011</v>
      </c>
      <c r="C8" s="700">
        <v>255</v>
      </c>
      <c r="D8" s="701">
        <v>0.48</v>
      </c>
      <c r="E8" s="701"/>
      <c r="F8" s="701"/>
      <c r="G8" s="705">
        <v>12</v>
      </c>
      <c r="H8" s="705" t="str">
        <f t="shared" si="1"/>
        <v>0012</v>
      </c>
      <c r="I8" s="705">
        <v>101</v>
      </c>
      <c r="J8" s="701">
        <v>118.16</v>
      </c>
      <c r="L8" s="722" t="s">
        <v>217</v>
      </c>
      <c r="M8" s="723">
        <f t="shared" si="2"/>
        <v>48.5</v>
      </c>
    </row>
    <row r="9" spans="1:13" ht="12.75" x14ac:dyDescent="0.2">
      <c r="A9" s="700">
        <v>12</v>
      </c>
      <c r="B9" s="700" t="str">
        <f t="shared" si="0"/>
        <v>0012</v>
      </c>
      <c r="C9" s="700">
        <v>101</v>
      </c>
      <c r="D9" s="701">
        <v>118.76</v>
      </c>
      <c r="E9" s="701"/>
      <c r="F9" s="701"/>
      <c r="G9" s="705">
        <v>12</v>
      </c>
      <c r="H9" s="705" t="str">
        <f t="shared" si="1"/>
        <v>0012</v>
      </c>
      <c r="I9" s="705">
        <v>102</v>
      </c>
      <c r="J9" s="701">
        <v>49.82</v>
      </c>
      <c r="L9" s="722">
        <v>2791</v>
      </c>
      <c r="M9" s="723">
        <f t="shared" si="2"/>
        <v>173.06</v>
      </c>
    </row>
    <row r="10" spans="1:13" ht="12.75" x14ac:dyDescent="0.2">
      <c r="A10" s="700">
        <v>12</v>
      </c>
      <c r="B10" s="700" t="str">
        <f t="shared" si="0"/>
        <v>0012</v>
      </c>
      <c r="C10" s="700">
        <v>102</v>
      </c>
      <c r="D10" s="701">
        <v>51.34</v>
      </c>
      <c r="E10" s="701"/>
      <c r="F10" s="701"/>
      <c r="G10" s="705">
        <v>12</v>
      </c>
      <c r="H10" s="705" t="str">
        <f t="shared" si="1"/>
        <v>0012</v>
      </c>
      <c r="I10" s="705">
        <v>111</v>
      </c>
      <c r="J10" s="701">
        <v>30.09</v>
      </c>
      <c r="L10" s="722" t="s">
        <v>221</v>
      </c>
      <c r="M10" s="723">
        <f t="shared" si="2"/>
        <v>555.49</v>
      </c>
    </row>
    <row r="11" spans="1:13" ht="12.75" x14ac:dyDescent="0.2">
      <c r="A11" s="700">
        <v>12</v>
      </c>
      <c r="B11" s="700" t="str">
        <f t="shared" si="0"/>
        <v>0012</v>
      </c>
      <c r="C11" s="700">
        <v>111</v>
      </c>
      <c r="D11" s="701">
        <v>31.52</v>
      </c>
      <c r="E11" s="701"/>
      <c r="F11" s="701"/>
      <c r="G11" s="705">
        <v>12</v>
      </c>
      <c r="H11" s="705" t="str">
        <f t="shared" si="1"/>
        <v>0012</v>
      </c>
      <c r="I11" s="705">
        <v>112</v>
      </c>
      <c r="J11" s="701">
        <v>10.5</v>
      </c>
      <c r="L11" s="722" t="s">
        <v>223</v>
      </c>
      <c r="M11" s="723">
        <f t="shared" si="2"/>
        <v>778.53</v>
      </c>
    </row>
    <row r="12" spans="1:13" ht="12.75" x14ac:dyDescent="0.2">
      <c r="A12" s="700">
        <v>12</v>
      </c>
      <c r="B12" s="700" t="str">
        <f t="shared" si="0"/>
        <v>0012</v>
      </c>
      <c r="C12" s="700">
        <v>112</v>
      </c>
      <c r="D12" s="701">
        <v>11.74</v>
      </c>
      <c r="E12" s="701"/>
      <c r="F12" s="701"/>
      <c r="G12" s="705">
        <v>12</v>
      </c>
      <c r="H12" s="705" t="str">
        <f t="shared" si="1"/>
        <v>0012</v>
      </c>
      <c r="I12" s="705">
        <v>130</v>
      </c>
      <c r="J12" s="701">
        <v>107.54</v>
      </c>
      <c r="L12" s="722" t="s">
        <v>225</v>
      </c>
      <c r="M12" s="723">
        <f t="shared" si="2"/>
        <v>380.16999999999996</v>
      </c>
    </row>
    <row r="13" spans="1:13" ht="12.75" x14ac:dyDescent="0.2">
      <c r="A13" s="700">
        <v>12</v>
      </c>
      <c r="B13" s="700" t="str">
        <f t="shared" si="0"/>
        <v>0012</v>
      </c>
      <c r="C13" s="700">
        <v>130</v>
      </c>
      <c r="D13" s="701">
        <v>109.08</v>
      </c>
      <c r="E13" s="701"/>
      <c r="F13" s="701"/>
      <c r="G13" s="705">
        <v>12</v>
      </c>
      <c r="H13" s="705" t="str">
        <f t="shared" si="1"/>
        <v>0012</v>
      </c>
      <c r="I13" s="705">
        <v>254</v>
      </c>
      <c r="J13" s="701">
        <v>0.54</v>
      </c>
      <c r="L13" s="722" t="s">
        <v>227</v>
      </c>
      <c r="M13" s="723">
        <f t="shared" si="2"/>
        <v>179.39</v>
      </c>
    </row>
    <row r="14" spans="1:13" ht="12.75" x14ac:dyDescent="0.2">
      <c r="A14" s="700">
        <v>12</v>
      </c>
      <c r="B14" s="700" t="str">
        <f t="shared" si="0"/>
        <v>0012</v>
      </c>
      <c r="C14" s="700">
        <v>254</v>
      </c>
      <c r="D14" s="701">
        <v>0.28999999999999998</v>
      </c>
      <c r="E14" s="701"/>
      <c r="F14" s="701"/>
      <c r="G14" s="705">
        <v>21</v>
      </c>
      <c r="H14" s="705" t="str">
        <f t="shared" si="1"/>
        <v>0021</v>
      </c>
      <c r="I14" s="705">
        <v>102</v>
      </c>
      <c r="J14" s="701">
        <v>373.67</v>
      </c>
      <c r="L14" s="722" t="s">
        <v>229</v>
      </c>
      <c r="M14" s="723">
        <f t="shared" si="2"/>
        <v>83</v>
      </c>
    </row>
    <row r="15" spans="1:13" ht="12.75" x14ac:dyDescent="0.2">
      <c r="A15" s="700">
        <v>21</v>
      </c>
      <c r="B15" s="700" t="str">
        <f t="shared" si="0"/>
        <v>0021</v>
      </c>
      <c r="C15" s="700">
        <v>102</v>
      </c>
      <c r="D15" s="701">
        <v>377.79</v>
      </c>
      <c r="E15" s="701"/>
      <c r="F15" s="701"/>
      <c r="G15" s="705">
        <v>21</v>
      </c>
      <c r="H15" s="705" t="str">
        <f t="shared" si="1"/>
        <v>0021</v>
      </c>
      <c r="I15" s="705">
        <v>112</v>
      </c>
      <c r="J15" s="701">
        <v>121.95</v>
      </c>
      <c r="L15" s="722">
        <v>3362</v>
      </c>
      <c r="M15" s="723">
        <f t="shared" si="2"/>
        <v>160.99</v>
      </c>
    </row>
    <row r="16" spans="1:13" ht="12.75" x14ac:dyDescent="0.2">
      <c r="A16" s="700">
        <v>21</v>
      </c>
      <c r="B16" s="700" t="str">
        <f t="shared" si="0"/>
        <v>0021</v>
      </c>
      <c r="C16" s="700">
        <v>112</v>
      </c>
      <c r="D16" s="701">
        <v>124.47</v>
      </c>
      <c r="E16" s="701"/>
      <c r="F16" s="701"/>
      <c r="G16" s="705">
        <v>21</v>
      </c>
      <c r="H16" s="705" t="str">
        <f t="shared" si="1"/>
        <v>0021</v>
      </c>
      <c r="I16" s="705">
        <v>130</v>
      </c>
      <c r="J16" s="701">
        <v>80.44</v>
      </c>
      <c r="L16" s="722" t="s">
        <v>231</v>
      </c>
      <c r="M16" s="723">
        <f t="shared" si="2"/>
        <v>1049.8400000000001</v>
      </c>
    </row>
    <row r="17" spans="1:13" ht="12.75" x14ac:dyDescent="0.2">
      <c r="A17" s="700">
        <v>21</v>
      </c>
      <c r="B17" s="700" t="str">
        <f t="shared" si="0"/>
        <v>0021</v>
      </c>
      <c r="C17" s="700">
        <v>130</v>
      </c>
      <c r="D17" s="701">
        <v>82.3</v>
      </c>
      <c r="E17" s="701"/>
      <c r="F17" s="701"/>
      <c r="G17" s="705">
        <v>21</v>
      </c>
      <c r="H17" s="705" t="str">
        <f t="shared" si="1"/>
        <v>0021</v>
      </c>
      <c r="I17" s="705">
        <v>254</v>
      </c>
      <c r="J17" s="701">
        <v>1</v>
      </c>
      <c r="L17" s="722" t="s">
        <v>233</v>
      </c>
      <c r="M17" s="723">
        <f t="shared" si="2"/>
        <v>261.71000000000004</v>
      </c>
    </row>
    <row r="18" spans="1:13" ht="12.75" x14ac:dyDescent="0.2">
      <c r="A18" s="700">
        <v>21</v>
      </c>
      <c r="B18" s="700" t="str">
        <f t="shared" si="0"/>
        <v>0021</v>
      </c>
      <c r="C18" s="700">
        <v>254</v>
      </c>
      <c r="D18" s="701">
        <v>1</v>
      </c>
      <c r="E18" s="701"/>
      <c r="F18" s="701"/>
      <c r="G18" s="705">
        <v>31</v>
      </c>
      <c r="H18" s="705" t="str">
        <f t="shared" si="1"/>
        <v>0031</v>
      </c>
      <c r="I18" s="705">
        <v>101</v>
      </c>
      <c r="J18" s="701">
        <v>105.44</v>
      </c>
      <c r="L18" s="722" t="s">
        <v>235</v>
      </c>
      <c r="M18" s="723">
        <f t="shared" si="2"/>
        <v>0</v>
      </c>
    </row>
    <row r="19" spans="1:13" ht="12.75" x14ac:dyDescent="0.2">
      <c r="A19" s="700">
        <v>31</v>
      </c>
      <c r="B19" s="700" t="str">
        <f t="shared" si="0"/>
        <v>0031</v>
      </c>
      <c r="C19" s="700">
        <v>101</v>
      </c>
      <c r="D19" s="701">
        <v>123.31</v>
      </c>
      <c r="E19" s="701"/>
      <c r="F19" s="701"/>
      <c r="G19" s="705">
        <v>31</v>
      </c>
      <c r="H19" s="705" t="str">
        <f t="shared" si="1"/>
        <v>0031</v>
      </c>
      <c r="I19" s="705">
        <v>102</v>
      </c>
      <c r="J19" s="701">
        <v>60.95</v>
      </c>
      <c r="L19" s="722" t="s">
        <v>237</v>
      </c>
      <c r="M19" s="723">
        <f t="shared" si="2"/>
        <v>192.97</v>
      </c>
    </row>
    <row r="20" spans="1:13" ht="12.75" x14ac:dyDescent="0.2">
      <c r="A20" s="700">
        <v>31</v>
      </c>
      <c r="B20" s="700" t="str">
        <f t="shared" si="0"/>
        <v>0031</v>
      </c>
      <c r="C20" s="700">
        <v>102</v>
      </c>
      <c r="D20" s="701">
        <v>62.45</v>
      </c>
      <c r="E20" s="701"/>
      <c r="F20" s="701"/>
      <c r="G20" s="705">
        <v>31</v>
      </c>
      <c r="H20" s="705" t="str">
        <f t="shared" si="1"/>
        <v>0031</v>
      </c>
      <c r="I20" s="705">
        <v>111</v>
      </c>
      <c r="J20" s="701">
        <v>108.3</v>
      </c>
      <c r="L20" s="722" t="s">
        <v>239</v>
      </c>
      <c r="M20" s="723">
        <f t="shared" si="2"/>
        <v>537</v>
      </c>
    </row>
    <row r="21" spans="1:13" ht="12.75" x14ac:dyDescent="0.2">
      <c r="A21" s="700">
        <v>31</v>
      </c>
      <c r="B21" s="700" t="str">
        <f t="shared" si="0"/>
        <v>0031</v>
      </c>
      <c r="C21" s="700">
        <v>111</v>
      </c>
      <c r="D21" s="701">
        <v>89.86</v>
      </c>
      <c r="E21" s="701"/>
      <c r="F21" s="701"/>
      <c r="G21" s="705">
        <v>31</v>
      </c>
      <c r="H21" s="705" t="str">
        <f t="shared" si="1"/>
        <v>0031</v>
      </c>
      <c r="I21" s="705">
        <v>112</v>
      </c>
      <c r="J21" s="701">
        <v>58.82</v>
      </c>
      <c r="L21" s="722" t="s">
        <v>241</v>
      </c>
      <c r="M21" s="723">
        <f t="shared" si="2"/>
        <v>702.78</v>
      </c>
    </row>
    <row r="22" spans="1:13" ht="12.75" x14ac:dyDescent="0.2">
      <c r="A22" s="700">
        <v>31</v>
      </c>
      <c r="B22" s="700" t="str">
        <f t="shared" si="0"/>
        <v>0031</v>
      </c>
      <c r="C22" s="700">
        <v>112</v>
      </c>
      <c r="D22" s="701">
        <v>56.82</v>
      </c>
      <c r="E22" s="701"/>
      <c r="F22" s="701"/>
      <c r="G22" s="705">
        <v>31</v>
      </c>
      <c r="H22" s="705" t="str">
        <f t="shared" si="1"/>
        <v>0031</v>
      </c>
      <c r="I22" s="705">
        <v>130</v>
      </c>
      <c r="J22" s="701">
        <v>18.84</v>
      </c>
      <c r="L22" s="722" t="s">
        <v>243</v>
      </c>
      <c r="M22" s="723">
        <f t="shared" si="2"/>
        <v>102.32</v>
      </c>
    </row>
    <row r="23" spans="1:13" ht="12.75" x14ac:dyDescent="0.2">
      <c r="A23" s="700">
        <v>31</v>
      </c>
      <c r="B23" s="700" t="str">
        <f t="shared" si="0"/>
        <v>0031</v>
      </c>
      <c r="C23" s="700">
        <v>130</v>
      </c>
      <c r="D23" s="701">
        <v>20.88</v>
      </c>
      <c r="E23" s="701"/>
      <c r="F23" s="701"/>
      <c r="G23" s="705">
        <v>31</v>
      </c>
      <c r="H23" s="705" t="str">
        <f t="shared" si="1"/>
        <v>0031</v>
      </c>
      <c r="I23" s="705">
        <v>254</v>
      </c>
      <c r="J23" s="701">
        <v>0.5</v>
      </c>
      <c r="L23" s="722" t="s">
        <v>245</v>
      </c>
      <c r="M23" s="723">
        <f t="shared" si="2"/>
        <v>91.18</v>
      </c>
    </row>
    <row r="24" spans="1:13" ht="12.75" x14ac:dyDescent="0.2">
      <c r="A24" s="700">
        <v>31</v>
      </c>
      <c r="B24" s="700" t="str">
        <f t="shared" si="0"/>
        <v>0031</v>
      </c>
      <c r="C24" s="700">
        <v>254</v>
      </c>
      <c r="D24" s="701">
        <v>0.5</v>
      </c>
      <c r="E24" s="701"/>
      <c r="F24" s="701"/>
      <c r="G24" s="705">
        <v>40</v>
      </c>
      <c r="H24" s="705" t="str">
        <f t="shared" si="1"/>
        <v>0040</v>
      </c>
      <c r="I24" s="705">
        <v>102</v>
      </c>
      <c r="J24" s="701">
        <v>7.5</v>
      </c>
      <c r="L24" s="722" t="s">
        <v>247</v>
      </c>
      <c r="M24" s="723">
        <f t="shared" si="2"/>
        <v>395.41</v>
      </c>
    </row>
    <row r="25" spans="1:13" ht="12.75" x14ac:dyDescent="0.2">
      <c r="A25" s="700">
        <v>40</v>
      </c>
      <c r="B25" s="700" t="str">
        <f t="shared" si="0"/>
        <v>0040</v>
      </c>
      <c r="C25" s="700">
        <v>102</v>
      </c>
      <c r="D25" s="701">
        <v>6.7</v>
      </c>
      <c r="E25" s="701"/>
      <c r="F25" s="701"/>
      <c r="G25" s="705">
        <v>40</v>
      </c>
      <c r="H25" s="705" t="str">
        <f t="shared" si="1"/>
        <v>0040</v>
      </c>
      <c r="I25" s="705">
        <v>112</v>
      </c>
      <c r="J25" s="701">
        <v>3.97</v>
      </c>
      <c r="L25" s="722" t="s">
        <v>249</v>
      </c>
      <c r="M25" s="723">
        <f t="shared" si="2"/>
        <v>391.82000000000005</v>
      </c>
    </row>
    <row r="26" spans="1:13" ht="12.75" x14ac:dyDescent="0.2">
      <c r="A26" s="700">
        <v>40</v>
      </c>
      <c r="B26" s="700" t="str">
        <f t="shared" si="0"/>
        <v>0040</v>
      </c>
      <c r="C26" s="700">
        <v>112</v>
      </c>
      <c r="D26" s="701">
        <v>3.48</v>
      </c>
      <c r="E26" s="701"/>
      <c r="F26" s="701"/>
      <c r="G26" s="705">
        <v>40</v>
      </c>
      <c r="H26" s="705" t="str">
        <f t="shared" si="1"/>
        <v>0040</v>
      </c>
      <c r="I26" s="705">
        <v>130</v>
      </c>
      <c r="J26" s="701">
        <v>0.84</v>
      </c>
      <c r="L26" s="722" t="s">
        <v>251</v>
      </c>
      <c r="M26" s="723">
        <f t="shared" si="2"/>
        <v>597.46</v>
      </c>
    </row>
    <row r="27" spans="1:13" ht="12.75" x14ac:dyDescent="0.2">
      <c r="A27" s="700">
        <v>40</v>
      </c>
      <c r="B27" s="700" t="str">
        <f t="shared" si="0"/>
        <v>0040</v>
      </c>
      <c r="C27" s="700">
        <v>130</v>
      </c>
      <c r="D27" s="701">
        <v>1.23</v>
      </c>
      <c r="E27" s="701"/>
      <c r="F27" s="701"/>
      <c r="G27" s="705">
        <v>51</v>
      </c>
      <c r="H27" s="705" t="str">
        <f t="shared" si="1"/>
        <v>0051</v>
      </c>
      <c r="I27" s="705">
        <v>101</v>
      </c>
      <c r="J27" s="701">
        <v>161.65</v>
      </c>
      <c r="L27" s="722" t="s">
        <v>253</v>
      </c>
      <c r="M27" s="723">
        <f t="shared" si="2"/>
        <v>997.3900000000001</v>
      </c>
    </row>
    <row r="28" spans="1:13" ht="12.75" x14ac:dyDescent="0.2">
      <c r="A28" s="700">
        <v>51</v>
      </c>
      <c r="B28" s="700" t="str">
        <f t="shared" si="0"/>
        <v>0051</v>
      </c>
      <c r="C28" s="700">
        <v>101</v>
      </c>
      <c r="D28" s="701">
        <v>159.46</v>
      </c>
      <c r="E28" s="701"/>
      <c r="F28" s="701"/>
      <c r="G28" s="705">
        <v>51</v>
      </c>
      <c r="H28" s="705" t="str">
        <f t="shared" si="1"/>
        <v>0051</v>
      </c>
      <c r="I28" s="705">
        <v>102</v>
      </c>
      <c r="J28" s="701">
        <v>99.93</v>
      </c>
      <c r="L28" s="722">
        <v>3441</v>
      </c>
      <c r="M28" s="723">
        <f t="shared" si="2"/>
        <v>522.78</v>
      </c>
    </row>
    <row r="29" spans="1:13" ht="12.75" x14ac:dyDescent="0.2">
      <c r="A29" s="700">
        <v>51</v>
      </c>
      <c r="B29" s="700" t="str">
        <f t="shared" si="0"/>
        <v>0051</v>
      </c>
      <c r="C29" s="700">
        <v>102</v>
      </c>
      <c r="D29" s="701">
        <v>95.2</v>
      </c>
      <c r="E29" s="701"/>
      <c r="F29" s="701"/>
      <c r="G29" s="705">
        <v>51</v>
      </c>
      <c r="H29" s="705" t="str">
        <f t="shared" si="1"/>
        <v>0051</v>
      </c>
      <c r="I29" s="705">
        <v>111</v>
      </c>
      <c r="J29" s="701">
        <v>22.5</v>
      </c>
      <c r="L29" s="722">
        <v>3924</v>
      </c>
      <c r="M29" s="723">
        <f t="shared" si="2"/>
        <v>407.16999999999996</v>
      </c>
    </row>
    <row r="30" spans="1:13" ht="12.75" x14ac:dyDescent="0.2">
      <c r="A30" s="700">
        <v>51</v>
      </c>
      <c r="B30" s="700" t="str">
        <f t="shared" si="0"/>
        <v>0051</v>
      </c>
      <c r="C30" s="700">
        <v>111</v>
      </c>
      <c r="D30" s="701">
        <v>20.5</v>
      </c>
      <c r="E30" s="701"/>
      <c r="F30" s="701"/>
      <c r="G30" s="705">
        <v>51</v>
      </c>
      <c r="H30" s="705" t="str">
        <f t="shared" si="1"/>
        <v>0051</v>
      </c>
      <c r="I30" s="705">
        <v>112</v>
      </c>
      <c r="J30" s="701">
        <v>14.5</v>
      </c>
      <c r="L30" s="722" t="s">
        <v>257</v>
      </c>
      <c r="M30" s="723">
        <f t="shared" si="2"/>
        <v>224.44000000000003</v>
      </c>
    </row>
    <row r="31" spans="1:13" ht="12.75" x14ac:dyDescent="0.2">
      <c r="A31" s="700">
        <v>51</v>
      </c>
      <c r="B31" s="700" t="str">
        <f t="shared" si="0"/>
        <v>0051</v>
      </c>
      <c r="C31" s="700">
        <v>112</v>
      </c>
      <c r="D31" s="701">
        <v>15</v>
      </c>
      <c r="E31" s="701"/>
      <c r="F31" s="701"/>
      <c r="G31" s="705">
        <v>51</v>
      </c>
      <c r="H31" s="705" t="str">
        <f t="shared" si="1"/>
        <v>0051</v>
      </c>
      <c r="I31" s="705">
        <v>130</v>
      </c>
      <c r="J31" s="701">
        <v>75.27</v>
      </c>
      <c r="L31" s="722" t="s">
        <v>259</v>
      </c>
      <c r="M31" s="723">
        <f t="shared" si="2"/>
        <v>0</v>
      </c>
    </row>
    <row r="32" spans="1:13" ht="12.75" x14ac:dyDescent="0.2">
      <c r="A32" s="700">
        <v>51</v>
      </c>
      <c r="B32" s="700" t="str">
        <f t="shared" si="0"/>
        <v>0051</v>
      </c>
      <c r="C32" s="700">
        <v>130</v>
      </c>
      <c r="D32" s="701">
        <v>77.349999999999994</v>
      </c>
      <c r="E32" s="701"/>
      <c r="F32" s="701"/>
      <c r="G32" s="705">
        <v>51</v>
      </c>
      <c r="H32" s="705" t="str">
        <f t="shared" si="1"/>
        <v>0051</v>
      </c>
      <c r="I32" s="705">
        <v>254</v>
      </c>
      <c r="J32" s="701">
        <v>1.5</v>
      </c>
      <c r="L32" s="722" t="s">
        <v>261</v>
      </c>
      <c r="M32" s="723">
        <f t="shared" si="2"/>
        <v>627.37000000000012</v>
      </c>
    </row>
    <row r="33" spans="1:13" ht="12.75" x14ac:dyDescent="0.2">
      <c r="A33" s="700">
        <v>51</v>
      </c>
      <c r="B33" s="700" t="str">
        <f t="shared" si="0"/>
        <v>0051</v>
      </c>
      <c r="C33" s="700">
        <v>254</v>
      </c>
      <c r="D33" s="701">
        <v>1.5</v>
      </c>
      <c r="E33" s="701"/>
      <c r="F33" s="701"/>
      <c r="G33" s="705">
        <v>61</v>
      </c>
      <c r="H33" s="705" t="str">
        <f t="shared" si="1"/>
        <v>0061</v>
      </c>
      <c r="I33" s="705">
        <v>101</v>
      </c>
      <c r="J33" s="701">
        <v>142.33000000000001</v>
      </c>
      <c r="L33" s="722" t="s">
        <v>263</v>
      </c>
      <c r="M33" s="723">
        <f t="shared" si="2"/>
        <v>639.52</v>
      </c>
    </row>
    <row r="34" spans="1:13" ht="12.75" x14ac:dyDescent="0.2">
      <c r="A34" s="700">
        <v>61</v>
      </c>
      <c r="B34" s="700" t="str">
        <f t="shared" si="0"/>
        <v>0061</v>
      </c>
      <c r="C34" s="700">
        <v>101</v>
      </c>
      <c r="D34" s="701">
        <v>152.86000000000001</v>
      </c>
      <c r="E34" s="701"/>
      <c r="F34" s="701"/>
      <c r="G34" s="705">
        <v>61</v>
      </c>
      <c r="H34" s="705" t="str">
        <f t="shared" si="1"/>
        <v>0061</v>
      </c>
      <c r="I34" s="705">
        <v>102</v>
      </c>
      <c r="J34" s="701">
        <v>89.69</v>
      </c>
      <c r="L34" s="722">
        <v>4002</v>
      </c>
      <c r="M34" s="723">
        <f t="shared" si="2"/>
        <v>875.02</v>
      </c>
    </row>
    <row r="35" spans="1:13" ht="12.75" x14ac:dyDescent="0.2">
      <c r="A35" s="700">
        <v>61</v>
      </c>
      <c r="B35" s="700" t="str">
        <f t="shared" si="0"/>
        <v>0061</v>
      </c>
      <c r="C35" s="700">
        <v>102</v>
      </c>
      <c r="D35" s="701">
        <v>87.2</v>
      </c>
      <c r="E35" s="701"/>
      <c r="F35" s="701"/>
      <c r="G35" s="705">
        <v>61</v>
      </c>
      <c r="H35" s="705" t="str">
        <f t="shared" si="1"/>
        <v>0061</v>
      </c>
      <c r="I35" s="705">
        <v>111</v>
      </c>
      <c r="J35" s="701">
        <v>78</v>
      </c>
      <c r="L35" s="722">
        <v>4012</v>
      </c>
      <c r="M35" s="723">
        <f t="shared" si="2"/>
        <v>531.05999999999995</v>
      </c>
    </row>
    <row r="36" spans="1:13" ht="12.75" x14ac:dyDescent="0.2">
      <c r="A36" s="700">
        <v>61</v>
      </c>
      <c r="B36" s="700" t="str">
        <f t="shared" si="0"/>
        <v>0061</v>
      </c>
      <c r="C36" s="700">
        <v>111</v>
      </c>
      <c r="D36" s="701">
        <v>69.989999999999995</v>
      </c>
      <c r="E36" s="701"/>
      <c r="F36" s="701"/>
      <c r="G36" s="705">
        <v>61</v>
      </c>
      <c r="H36" s="705" t="str">
        <f t="shared" si="1"/>
        <v>0061</v>
      </c>
      <c r="I36" s="705">
        <v>112</v>
      </c>
      <c r="J36" s="701">
        <v>50.8</v>
      </c>
      <c r="L36" s="722">
        <v>4013</v>
      </c>
      <c r="M36" s="723">
        <f t="shared" si="2"/>
        <v>991.76</v>
      </c>
    </row>
    <row r="37" spans="1:13" ht="12.75" x14ac:dyDescent="0.2">
      <c r="A37" s="700">
        <v>61</v>
      </c>
      <c r="B37" s="700" t="str">
        <f t="shared" si="0"/>
        <v>0061</v>
      </c>
      <c r="C37" s="700">
        <v>112</v>
      </c>
      <c r="D37" s="701">
        <v>52.79</v>
      </c>
      <c r="E37" s="701"/>
      <c r="F37" s="701"/>
      <c r="G37" s="705">
        <v>61</v>
      </c>
      <c r="H37" s="705" t="str">
        <f t="shared" si="1"/>
        <v>0061</v>
      </c>
      <c r="I37" s="705">
        <v>130</v>
      </c>
      <c r="J37" s="701">
        <v>23.39</v>
      </c>
      <c r="L37" s="722">
        <v>4020</v>
      </c>
      <c r="M37" s="723">
        <f t="shared" si="2"/>
        <v>1235.5999999999999</v>
      </c>
    </row>
    <row r="38" spans="1:13" ht="12.75" x14ac:dyDescent="0.2">
      <c r="A38" s="700">
        <v>61</v>
      </c>
      <c r="B38" s="700" t="str">
        <f t="shared" si="0"/>
        <v>0061</v>
      </c>
      <c r="C38" s="700">
        <v>130</v>
      </c>
      <c r="D38" s="701">
        <v>23.24</v>
      </c>
      <c r="E38" s="701"/>
      <c r="F38" s="701"/>
      <c r="G38" s="705">
        <v>61</v>
      </c>
      <c r="H38" s="705" t="str">
        <f t="shared" si="1"/>
        <v>0061</v>
      </c>
      <c r="I38" s="705">
        <v>254</v>
      </c>
      <c r="J38" s="701">
        <v>2</v>
      </c>
      <c r="L38" s="722">
        <v>4030</v>
      </c>
      <c r="M38" s="723">
        <f t="shared" si="2"/>
        <v>242.8</v>
      </c>
    </row>
    <row r="39" spans="1:13" ht="12.75" x14ac:dyDescent="0.2">
      <c r="A39" s="700">
        <v>61</v>
      </c>
      <c r="B39" s="700" t="str">
        <f t="shared" si="0"/>
        <v>0061</v>
      </c>
      <c r="C39" s="700">
        <v>254</v>
      </c>
      <c r="D39" s="701">
        <v>2</v>
      </c>
      <c r="E39" s="701"/>
      <c r="F39" s="701"/>
      <c r="G39" s="705">
        <v>71</v>
      </c>
      <c r="H39" s="705" t="str">
        <f t="shared" si="1"/>
        <v>0071</v>
      </c>
      <c r="I39" s="705">
        <v>101</v>
      </c>
      <c r="J39" s="701">
        <v>85.16</v>
      </c>
      <c r="L39" s="722">
        <v>4031</v>
      </c>
      <c r="M39" s="723">
        <f t="shared" si="2"/>
        <v>398.09000000000003</v>
      </c>
    </row>
    <row r="40" spans="1:13" ht="12.75" x14ac:dyDescent="0.2">
      <c r="A40" s="700">
        <v>71</v>
      </c>
      <c r="B40" s="700" t="str">
        <f t="shared" si="0"/>
        <v>0071</v>
      </c>
      <c r="C40" s="700">
        <v>101</v>
      </c>
      <c r="D40" s="701">
        <v>89.11</v>
      </c>
      <c r="E40" s="701"/>
      <c r="F40" s="701"/>
      <c r="G40" s="705">
        <v>71</v>
      </c>
      <c r="H40" s="705" t="str">
        <f t="shared" si="1"/>
        <v>0071</v>
      </c>
      <c r="I40" s="705">
        <v>102</v>
      </c>
      <c r="J40" s="701">
        <v>70.73</v>
      </c>
      <c r="L40" s="722">
        <v>4041</v>
      </c>
      <c r="M40" s="723">
        <f t="shared" si="2"/>
        <v>95.06</v>
      </c>
    </row>
    <row r="41" spans="1:13" ht="12.75" x14ac:dyDescent="0.2">
      <c r="A41" s="700">
        <v>71</v>
      </c>
      <c r="B41" s="700" t="str">
        <f t="shared" si="0"/>
        <v>0071</v>
      </c>
      <c r="C41" s="700">
        <v>102</v>
      </c>
      <c r="D41" s="701">
        <v>70.05</v>
      </c>
      <c r="E41" s="701"/>
      <c r="F41" s="701"/>
      <c r="G41" s="705">
        <v>71</v>
      </c>
      <c r="H41" s="705" t="str">
        <f t="shared" si="1"/>
        <v>0071</v>
      </c>
      <c r="I41" s="705">
        <v>111</v>
      </c>
      <c r="J41" s="701">
        <v>40.56</v>
      </c>
      <c r="L41" s="722">
        <v>4050</v>
      </c>
      <c r="M41" s="723">
        <f t="shared" si="2"/>
        <v>634</v>
      </c>
    </row>
    <row r="42" spans="1:13" ht="12.75" x14ac:dyDescent="0.2">
      <c r="A42" s="700">
        <v>71</v>
      </c>
      <c r="B42" s="700" t="str">
        <f t="shared" si="0"/>
        <v>0071</v>
      </c>
      <c r="C42" s="700">
        <v>111</v>
      </c>
      <c r="D42" s="701">
        <v>37.549999999999997</v>
      </c>
      <c r="E42" s="701"/>
      <c r="F42" s="701"/>
      <c r="G42" s="705">
        <v>71</v>
      </c>
      <c r="H42" s="705" t="str">
        <f t="shared" si="1"/>
        <v>0071</v>
      </c>
      <c r="I42" s="705">
        <v>112</v>
      </c>
      <c r="J42" s="701">
        <v>37.51</v>
      </c>
      <c r="L42" s="722">
        <v>4051</v>
      </c>
      <c r="M42" s="723">
        <f t="shared" si="2"/>
        <v>622.17999999999995</v>
      </c>
    </row>
    <row r="43" spans="1:13" ht="12.75" x14ac:dyDescent="0.2">
      <c r="A43" s="700">
        <v>71</v>
      </c>
      <c r="B43" s="700" t="str">
        <f t="shared" si="0"/>
        <v>0071</v>
      </c>
      <c r="C43" s="700">
        <v>112</v>
      </c>
      <c r="D43" s="701">
        <v>38.49</v>
      </c>
      <c r="E43" s="701"/>
      <c r="F43" s="701"/>
      <c r="G43" s="705">
        <v>71</v>
      </c>
      <c r="H43" s="705" t="str">
        <f t="shared" si="1"/>
        <v>0071</v>
      </c>
      <c r="I43" s="705">
        <v>130</v>
      </c>
      <c r="J43" s="701">
        <v>153.51</v>
      </c>
      <c r="L43" s="722">
        <v>4061</v>
      </c>
      <c r="M43" s="723">
        <f t="shared" si="2"/>
        <v>925.99</v>
      </c>
    </row>
    <row r="44" spans="1:13" ht="12.75" x14ac:dyDescent="0.2">
      <c r="A44" s="700">
        <v>71</v>
      </c>
      <c r="B44" s="700" t="str">
        <f t="shared" si="0"/>
        <v>0071</v>
      </c>
      <c r="C44" s="700">
        <v>130</v>
      </c>
      <c r="D44" s="701">
        <v>159.63999999999999</v>
      </c>
      <c r="E44" s="701"/>
      <c r="F44" s="701"/>
      <c r="G44" s="705">
        <v>81</v>
      </c>
      <c r="H44" s="705" t="str">
        <f t="shared" si="1"/>
        <v>0081</v>
      </c>
      <c r="I44" s="705">
        <v>103</v>
      </c>
      <c r="J44" s="701">
        <v>1048.19</v>
      </c>
      <c r="L44" s="722">
        <v>4080</v>
      </c>
      <c r="M44" s="723">
        <f t="shared" si="2"/>
        <v>0</v>
      </c>
    </row>
    <row r="45" spans="1:13" ht="12.75" x14ac:dyDescent="0.2">
      <c r="A45" s="700">
        <v>81</v>
      </c>
      <c r="B45" s="700" t="str">
        <f t="shared" si="0"/>
        <v>0081</v>
      </c>
      <c r="C45" s="700">
        <v>103</v>
      </c>
      <c r="D45" s="701">
        <v>1077.74</v>
      </c>
      <c r="E45" s="701"/>
      <c r="F45" s="701"/>
      <c r="G45" s="705">
        <v>81</v>
      </c>
      <c r="H45" s="705" t="str">
        <f t="shared" si="1"/>
        <v>0081</v>
      </c>
      <c r="I45" s="705">
        <v>112</v>
      </c>
      <c r="J45" s="701">
        <v>0.06</v>
      </c>
      <c r="L45" s="722">
        <v>4081</v>
      </c>
      <c r="M45" s="723">
        <f t="shared" si="2"/>
        <v>123.19999999999999</v>
      </c>
    </row>
    <row r="46" spans="1:13" ht="12.75" x14ac:dyDescent="0.2">
      <c r="A46" s="700">
        <v>81</v>
      </c>
      <c r="B46" s="700" t="str">
        <f t="shared" si="0"/>
        <v>0081</v>
      </c>
      <c r="C46" s="700">
        <v>112</v>
      </c>
      <c r="D46" s="701">
        <v>0.06</v>
      </c>
      <c r="E46" s="701"/>
      <c r="F46" s="701"/>
      <c r="G46" s="705">
        <v>81</v>
      </c>
      <c r="H46" s="705" t="str">
        <f t="shared" si="1"/>
        <v>0081</v>
      </c>
      <c r="I46" s="705">
        <v>113</v>
      </c>
      <c r="J46" s="701">
        <v>154.96</v>
      </c>
      <c r="L46" s="722">
        <v>4090</v>
      </c>
      <c r="M46" s="723">
        <f t="shared" si="2"/>
        <v>317.3</v>
      </c>
    </row>
    <row r="47" spans="1:13" ht="12.75" x14ac:dyDescent="0.2">
      <c r="A47" s="700">
        <v>81</v>
      </c>
      <c r="B47" s="700" t="str">
        <f t="shared" si="0"/>
        <v>0081</v>
      </c>
      <c r="C47" s="700">
        <v>113</v>
      </c>
      <c r="D47" s="701">
        <v>160.84</v>
      </c>
      <c r="E47" s="701"/>
      <c r="F47" s="701"/>
      <c r="G47" s="705">
        <v>81</v>
      </c>
      <c r="H47" s="705" t="str">
        <f t="shared" si="1"/>
        <v>0081</v>
      </c>
      <c r="I47" s="705">
        <v>130</v>
      </c>
      <c r="J47" s="701">
        <v>42.19</v>
      </c>
      <c r="L47" s="722">
        <v>4091</v>
      </c>
      <c r="M47" s="723">
        <f t="shared" si="2"/>
        <v>393.96999999999997</v>
      </c>
    </row>
    <row r="48" spans="1:13" ht="12.75" x14ac:dyDescent="0.2">
      <c r="A48" s="700">
        <v>81</v>
      </c>
      <c r="B48" s="700" t="str">
        <f t="shared" si="0"/>
        <v>0081</v>
      </c>
      <c r="C48" s="700">
        <v>130</v>
      </c>
      <c r="D48" s="701">
        <v>50.15</v>
      </c>
      <c r="E48" s="701"/>
      <c r="F48" s="701"/>
      <c r="G48" s="705">
        <v>81</v>
      </c>
      <c r="H48" s="705" t="str">
        <f t="shared" si="1"/>
        <v>0081</v>
      </c>
      <c r="I48" s="705">
        <v>254</v>
      </c>
      <c r="J48" s="701">
        <v>1.42</v>
      </c>
      <c r="L48" s="722">
        <v>4100</v>
      </c>
      <c r="M48" s="723">
        <f t="shared" si="2"/>
        <v>101.48</v>
      </c>
    </row>
    <row r="49" spans="1:13" ht="12.75" x14ac:dyDescent="0.2">
      <c r="A49" s="700">
        <v>81</v>
      </c>
      <c r="B49" s="700" t="str">
        <f t="shared" si="0"/>
        <v>0081</v>
      </c>
      <c r="C49" s="700">
        <v>254</v>
      </c>
      <c r="D49" s="701">
        <v>2.2200000000000002</v>
      </c>
      <c r="E49" s="701"/>
      <c r="F49" s="701"/>
      <c r="G49" s="705">
        <v>81</v>
      </c>
      <c r="H49" s="705" t="str">
        <f t="shared" si="1"/>
        <v>0081</v>
      </c>
      <c r="I49" s="705">
        <v>300</v>
      </c>
      <c r="J49" s="701">
        <v>101.61</v>
      </c>
      <c r="L49" s="722">
        <v>4102</v>
      </c>
      <c r="M49" s="723">
        <f t="shared" si="2"/>
        <v>179.44</v>
      </c>
    </row>
    <row r="50" spans="1:13" ht="12.75" x14ac:dyDescent="0.2">
      <c r="A50" s="700">
        <v>81</v>
      </c>
      <c r="B50" s="700" t="str">
        <f t="shared" si="0"/>
        <v>0081</v>
      </c>
      <c r="C50" s="700">
        <v>300</v>
      </c>
      <c r="D50" s="701">
        <v>103.51</v>
      </c>
      <c r="E50" s="701"/>
      <c r="F50" s="701"/>
      <c r="G50" s="705">
        <v>100</v>
      </c>
      <c r="H50" s="705" t="str">
        <f t="shared" si="1"/>
        <v>0100</v>
      </c>
      <c r="I50" s="705">
        <v>113</v>
      </c>
      <c r="J50" s="701">
        <v>0</v>
      </c>
      <c r="L50" s="722">
        <v>4103</v>
      </c>
      <c r="M50" s="723">
        <f t="shared" si="2"/>
        <v>957.8</v>
      </c>
    </row>
    <row r="51" spans="1:13" ht="12.75" x14ac:dyDescent="0.2">
      <c r="A51" s="700">
        <v>100</v>
      </c>
      <c r="B51" s="700" t="str">
        <f t="shared" si="0"/>
        <v>0100</v>
      </c>
      <c r="C51" s="700">
        <v>113</v>
      </c>
      <c r="D51" s="701">
        <v>0.5</v>
      </c>
      <c r="E51" s="701"/>
      <c r="F51" s="701"/>
      <c r="G51" s="705">
        <v>100</v>
      </c>
      <c r="H51" s="705" t="str">
        <f t="shared" si="1"/>
        <v>0100</v>
      </c>
      <c r="I51" s="705">
        <v>254</v>
      </c>
      <c r="J51" s="701">
        <v>9</v>
      </c>
      <c r="L51" s="722">
        <v>4111</v>
      </c>
      <c r="M51" s="723">
        <f t="shared" si="2"/>
        <v>325.14</v>
      </c>
    </row>
    <row r="52" spans="1:13" ht="12.75" x14ac:dyDescent="0.2">
      <c r="A52" s="700">
        <v>100</v>
      </c>
      <c r="B52" s="700" t="str">
        <f t="shared" si="0"/>
        <v>0100</v>
      </c>
      <c r="C52" s="700">
        <v>254</v>
      </c>
      <c r="D52" s="701">
        <v>10</v>
      </c>
      <c r="E52" s="701"/>
      <c r="F52" s="701"/>
      <c r="G52" s="705">
        <v>100</v>
      </c>
      <c r="H52" s="705" t="str">
        <f t="shared" si="1"/>
        <v>0100</v>
      </c>
      <c r="I52" s="705">
        <v>255</v>
      </c>
      <c r="J52" s="701">
        <v>4.5</v>
      </c>
      <c r="L52" s="722">
        <v>4131</v>
      </c>
      <c r="M52" s="723">
        <f t="shared" si="2"/>
        <v>122.12</v>
      </c>
    </row>
    <row r="53" spans="1:13" ht="12.75" x14ac:dyDescent="0.2">
      <c r="A53" s="700">
        <v>100</v>
      </c>
      <c r="B53" s="700" t="str">
        <f t="shared" si="0"/>
        <v>0100</v>
      </c>
      <c r="C53" s="700">
        <v>255</v>
      </c>
      <c r="D53" s="701">
        <v>3</v>
      </c>
      <c r="E53" s="701"/>
      <c r="F53" s="701"/>
      <c r="G53" s="705">
        <v>101</v>
      </c>
      <c r="H53" s="705" t="str">
        <f t="shared" si="1"/>
        <v>0101</v>
      </c>
      <c r="I53" s="705">
        <v>101</v>
      </c>
      <c r="J53" s="701">
        <v>100.37</v>
      </c>
      <c r="L53" s="725" t="s">
        <v>125</v>
      </c>
      <c r="M53" s="724">
        <f>SUM(M2:M52)</f>
        <v>21356.260000000002</v>
      </c>
    </row>
    <row r="54" spans="1:13" ht="12.75" x14ac:dyDescent="0.2">
      <c r="A54" s="700">
        <v>101</v>
      </c>
      <c r="B54" s="700" t="str">
        <f t="shared" si="0"/>
        <v>0101</v>
      </c>
      <c r="C54" s="700">
        <v>101</v>
      </c>
      <c r="D54" s="701">
        <v>102.3</v>
      </c>
      <c r="E54" s="701"/>
      <c r="F54" s="701"/>
      <c r="G54" s="705">
        <v>101</v>
      </c>
      <c r="H54" s="705" t="str">
        <f t="shared" si="1"/>
        <v>0101</v>
      </c>
      <c r="I54" s="705">
        <v>102</v>
      </c>
      <c r="J54" s="701">
        <v>55.87</v>
      </c>
    </row>
    <row r="55" spans="1:13" ht="12.75" x14ac:dyDescent="0.2">
      <c r="A55" s="700">
        <v>101</v>
      </c>
      <c r="B55" s="700" t="str">
        <f t="shared" si="0"/>
        <v>0101</v>
      </c>
      <c r="C55" s="700">
        <v>102</v>
      </c>
      <c r="D55" s="701">
        <v>55.7</v>
      </c>
      <c r="E55" s="701"/>
      <c r="F55" s="701"/>
      <c r="G55" s="705">
        <v>101</v>
      </c>
      <c r="H55" s="705" t="str">
        <f t="shared" si="1"/>
        <v>0101</v>
      </c>
      <c r="I55" s="705">
        <v>111</v>
      </c>
      <c r="J55" s="701">
        <v>86.62</v>
      </c>
    </row>
    <row r="56" spans="1:13" ht="12.75" x14ac:dyDescent="0.2">
      <c r="A56" s="700">
        <v>101</v>
      </c>
      <c r="B56" s="700" t="str">
        <f t="shared" si="0"/>
        <v>0101</v>
      </c>
      <c r="C56" s="700">
        <v>111</v>
      </c>
      <c r="D56" s="701">
        <v>77.05</v>
      </c>
      <c r="E56" s="701"/>
      <c r="F56" s="701"/>
      <c r="G56" s="705">
        <v>101</v>
      </c>
      <c r="H56" s="705" t="str">
        <f t="shared" si="1"/>
        <v>0101</v>
      </c>
      <c r="I56" s="705">
        <v>112</v>
      </c>
      <c r="J56" s="701">
        <v>42.5</v>
      </c>
    </row>
    <row r="57" spans="1:13" ht="12.75" x14ac:dyDescent="0.2">
      <c r="A57" s="700">
        <v>101</v>
      </c>
      <c r="B57" s="700" t="str">
        <f t="shared" si="0"/>
        <v>0101</v>
      </c>
      <c r="C57" s="700">
        <v>112</v>
      </c>
      <c r="D57" s="701">
        <v>41.5</v>
      </c>
      <c r="E57" s="701"/>
      <c r="F57" s="701"/>
      <c r="G57" s="705">
        <v>101</v>
      </c>
      <c r="H57" s="705" t="str">
        <f t="shared" si="1"/>
        <v>0101</v>
      </c>
      <c r="I57" s="705">
        <v>130</v>
      </c>
      <c r="J57" s="701">
        <v>23.73</v>
      </c>
    </row>
    <row r="58" spans="1:13" ht="12.75" x14ac:dyDescent="0.2">
      <c r="A58" s="700">
        <v>101</v>
      </c>
      <c r="B58" s="700" t="str">
        <f t="shared" si="0"/>
        <v>0101</v>
      </c>
      <c r="C58" s="700">
        <v>130</v>
      </c>
      <c r="D58" s="701">
        <v>22.49</v>
      </c>
      <c r="E58" s="701"/>
      <c r="F58" s="701"/>
      <c r="G58" s="705">
        <v>101</v>
      </c>
      <c r="H58" s="705" t="str">
        <f t="shared" si="1"/>
        <v>0101</v>
      </c>
      <c r="I58" s="705">
        <v>254</v>
      </c>
      <c r="J58" s="701">
        <v>9.5</v>
      </c>
    </row>
    <row r="59" spans="1:13" ht="12.75" x14ac:dyDescent="0.2">
      <c r="A59" s="700">
        <v>101</v>
      </c>
      <c r="B59" s="700" t="str">
        <f t="shared" si="0"/>
        <v>0101</v>
      </c>
      <c r="C59" s="700">
        <v>254</v>
      </c>
      <c r="D59" s="701">
        <v>11.5</v>
      </c>
      <c r="E59" s="701"/>
      <c r="F59" s="701"/>
      <c r="G59" s="705">
        <v>101</v>
      </c>
      <c r="H59" s="705" t="str">
        <f t="shared" si="1"/>
        <v>0101</v>
      </c>
      <c r="I59" s="705">
        <v>255</v>
      </c>
      <c r="J59" s="701">
        <v>1.5</v>
      </c>
    </row>
    <row r="60" spans="1:13" ht="12.75" x14ac:dyDescent="0.2">
      <c r="A60" s="700">
        <v>101</v>
      </c>
      <c r="B60" s="700" t="str">
        <f t="shared" si="0"/>
        <v>0101</v>
      </c>
      <c r="C60" s="700">
        <v>255</v>
      </c>
      <c r="D60" s="701">
        <v>1.5</v>
      </c>
      <c r="E60" s="701"/>
      <c r="F60" s="701"/>
      <c r="G60" s="705">
        <v>111</v>
      </c>
      <c r="H60" s="705" t="str">
        <f t="shared" si="1"/>
        <v>0111</v>
      </c>
      <c r="I60" s="705">
        <v>101</v>
      </c>
      <c r="J60" s="701">
        <v>126.82</v>
      </c>
    </row>
    <row r="61" spans="1:13" ht="12.75" x14ac:dyDescent="0.2">
      <c r="A61" s="700">
        <v>111</v>
      </c>
      <c r="B61" s="700" t="str">
        <f t="shared" si="0"/>
        <v>0111</v>
      </c>
      <c r="C61" s="700">
        <v>101</v>
      </c>
      <c r="D61" s="701">
        <v>133.22999999999999</v>
      </c>
      <c r="E61" s="701"/>
      <c r="F61" s="701"/>
      <c r="G61" s="705">
        <v>111</v>
      </c>
      <c r="H61" s="705" t="str">
        <f t="shared" si="1"/>
        <v>0111</v>
      </c>
      <c r="I61" s="705">
        <v>102</v>
      </c>
      <c r="J61" s="701">
        <v>56.91</v>
      </c>
    </row>
    <row r="62" spans="1:13" ht="12.75" x14ac:dyDescent="0.2">
      <c r="A62" s="700">
        <v>111</v>
      </c>
      <c r="B62" s="700" t="str">
        <f t="shared" si="0"/>
        <v>0111</v>
      </c>
      <c r="C62" s="700">
        <v>102</v>
      </c>
      <c r="D62" s="701">
        <v>59.84</v>
      </c>
      <c r="E62" s="701"/>
      <c r="F62" s="701"/>
      <c r="G62" s="705">
        <v>111</v>
      </c>
      <c r="H62" s="705" t="str">
        <f t="shared" si="1"/>
        <v>0111</v>
      </c>
      <c r="I62" s="705">
        <v>111</v>
      </c>
      <c r="J62" s="701">
        <v>66.64</v>
      </c>
    </row>
    <row r="63" spans="1:13" ht="12.75" x14ac:dyDescent="0.2">
      <c r="A63" s="700">
        <v>111</v>
      </c>
      <c r="B63" s="700" t="str">
        <f t="shared" si="0"/>
        <v>0111</v>
      </c>
      <c r="C63" s="700">
        <v>111</v>
      </c>
      <c r="D63" s="701">
        <v>58.57</v>
      </c>
      <c r="E63" s="701"/>
      <c r="F63" s="701"/>
      <c r="G63" s="705">
        <v>111</v>
      </c>
      <c r="H63" s="705" t="str">
        <f t="shared" si="1"/>
        <v>0111</v>
      </c>
      <c r="I63" s="705">
        <v>112</v>
      </c>
      <c r="J63" s="701">
        <v>43.41</v>
      </c>
    </row>
    <row r="64" spans="1:13" ht="12.75" x14ac:dyDescent="0.2">
      <c r="A64" s="700">
        <v>111</v>
      </c>
      <c r="B64" s="700" t="str">
        <f t="shared" si="0"/>
        <v>0111</v>
      </c>
      <c r="C64" s="700">
        <v>112</v>
      </c>
      <c r="D64" s="701">
        <v>40.909999999999997</v>
      </c>
      <c r="E64" s="701"/>
      <c r="F64" s="701"/>
      <c r="G64" s="705">
        <v>111</v>
      </c>
      <c r="H64" s="705" t="str">
        <f t="shared" si="1"/>
        <v>0111</v>
      </c>
      <c r="I64" s="705">
        <v>130</v>
      </c>
      <c r="J64" s="701">
        <v>38.53</v>
      </c>
    </row>
    <row r="65" spans="1:10" ht="12.75" x14ac:dyDescent="0.2">
      <c r="A65" s="700">
        <v>111</v>
      </c>
      <c r="B65" s="700" t="str">
        <f t="shared" si="0"/>
        <v>0111</v>
      </c>
      <c r="C65" s="700">
        <v>130</v>
      </c>
      <c r="D65" s="701">
        <v>39.74</v>
      </c>
      <c r="E65" s="701"/>
      <c r="F65" s="701"/>
      <c r="G65" s="705">
        <v>121</v>
      </c>
      <c r="H65" s="705" t="str">
        <f t="shared" si="1"/>
        <v>0121</v>
      </c>
      <c r="I65" s="705">
        <v>102</v>
      </c>
      <c r="J65" s="701">
        <v>205.05</v>
      </c>
    </row>
    <row r="66" spans="1:10" ht="12.75" x14ac:dyDescent="0.2">
      <c r="A66" s="700">
        <v>121</v>
      </c>
      <c r="B66" s="700" t="str">
        <f t="shared" ref="B66:B129" si="3">TEXT(A66,"0000")</f>
        <v>0121</v>
      </c>
      <c r="C66" s="700">
        <v>102</v>
      </c>
      <c r="D66" s="701">
        <v>205.61</v>
      </c>
      <c r="E66" s="701"/>
      <c r="F66" s="701"/>
      <c r="G66" s="705">
        <v>121</v>
      </c>
      <c r="H66" s="705" t="str">
        <f t="shared" si="1"/>
        <v>0121</v>
      </c>
      <c r="I66" s="705">
        <v>112</v>
      </c>
      <c r="J66" s="701">
        <v>70.75</v>
      </c>
    </row>
    <row r="67" spans="1:10" ht="12.75" x14ac:dyDescent="0.2">
      <c r="A67" s="700">
        <v>121</v>
      </c>
      <c r="B67" s="700" t="str">
        <f t="shared" si="3"/>
        <v>0121</v>
      </c>
      <c r="C67" s="700">
        <v>112</v>
      </c>
      <c r="D67" s="701">
        <v>71.069999999999993</v>
      </c>
      <c r="E67" s="701"/>
      <c r="F67" s="701"/>
      <c r="G67" s="705">
        <v>121</v>
      </c>
      <c r="H67" s="705" t="str">
        <f t="shared" ref="H67:H130" si="4">TEXT(G67,"0000")</f>
        <v>0121</v>
      </c>
      <c r="I67" s="705">
        <v>130</v>
      </c>
      <c r="J67" s="701">
        <v>27.15</v>
      </c>
    </row>
    <row r="68" spans="1:10" ht="12.75" x14ac:dyDescent="0.2">
      <c r="A68" s="700">
        <v>121</v>
      </c>
      <c r="B68" s="700" t="str">
        <f t="shared" si="3"/>
        <v>0121</v>
      </c>
      <c r="C68" s="700">
        <v>130</v>
      </c>
      <c r="D68" s="701">
        <v>29.73</v>
      </c>
      <c r="E68" s="701"/>
      <c r="F68" s="701"/>
      <c r="G68" s="705">
        <v>131</v>
      </c>
      <c r="H68" s="705" t="str">
        <f t="shared" si="4"/>
        <v>0131</v>
      </c>
      <c r="I68" s="705">
        <v>101</v>
      </c>
      <c r="J68" s="701">
        <v>128.87</v>
      </c>
    </row>
    <row r="69" spans="1:10" ht="12.75" x14ac:dyDescent="0.2">
      <c r="A69" s="700">
        <v>131</v>
      </c>
      <c r="B69" s="700" t="str">
        <f t="shared" si="3"/>
        <v>0131</v>
      </c>
      <c r="C69" s="700">
        <v>101</v>
      </c>
      <c r="D69" s="701">
        <v>136.15</v>
      </c>
      <c r="E69" s="701"/>
      <c r="F69" s="701"/>
      <c r="G69" s="705">
        <v>131</v>
      </c>
      <c r="H69" s="705" t="str">
        <f t="shared" si="4"/>
        <v>0131</v>
      </c>
      <c r="I69" s="705">
        <v>102</v>
      </c>
      <c r="J69" s="701">
        <v>142.82</v>
      </c>
    </row>
    <row r="70" spans="1:10" ht="12.75" x14ac:dyDescent="0.2">
      <c r="A70" s="700">
        <v>131</v>
      </c>
      <c r="B70" s="700" t="str">
        <f t="shared" si="3"/>
        <v>0131</v>
      </c>
      <c r="C70" s="700">
        <v>102</v>
      </c>
      <c r="D70" s="701">
        <v>145.1</v>
      </c>
      <c r="E70" s="701"/>
      <c r="F70" s="701"/>
      <c r="G70" s="705">
        <v>131</v>
      </c>
      <c r="H70" s="705" t="str">
        <f t="shared" si="4"/>
        <v>0131</v>
      </c>
      <c r="I70" s="705">
        <v>111</v>
      </c>
      <c r="J70" s="701">
        <v>38.03</v>
      </c>
    </row>
    <row r="71" spans="1:10" ht="12.75" x14ac:dyDescent="0.2">
      <c r="A71" s="700">
        <v>131</v>
      </c>
      <c r="B71" s="700" t="str">
        <f t="shared" si="3"/>
        <v>0131</v>
      </c>
      <c r="C71" s="700">
        <v>111</v>
      </c>
      <c r="D71" s="701">
        <v>32.700000000000003</v>
      </c>
      <c r="E71" s="701"/>
      <c r="F71" s="701"/>
      <c r="G71" s="705">
        <v>131</v>
      </c>
      <c r="H71" s="705" t="str">
        <f t="shared" si="4"/>
        <v>0131</v>
      </c>
      <c r="I71" s="705">
        <v>112</v>
      </c>
      <c r="J71" s="701">
        <v>50.17</v>
      </c>
    </row>
    <row r="72" spans="1:10" ht="12.75" x14ac:dyDescent="0.2">
      <c r="A72" s="700">
        <v>131</v>
      </c>
      <c r="B72" s="700" t="str">
        <f t="shared" si="3"/>
        <v>0131</v>
      </c>
      <c r="C72" s="700">
        <v>112</v>
      </c>
      <c r="D72" s="701">
        <v>51.26</v>
      </c>
      <c r="E72" s="701"/>
      <c r="F72" s="701"/>
      <c r="G72" s="705">
        <v>131</v>
      </c>
      <c r="H72" s="705" t="str">
        <f t="shared" si="4"/>
        <v>0131</v>
      </c>
      <c r="I72" s="705">
        <v>130</v>
      </c>
      <c r="J72" s="701">
        <v>50.45</v>
      </c>
    </row>
    <row r="73" spans="1:10" ht="12.75" x14ac:dyDescent="0.2">
      <c r="A73" s="700">
        <v>131</v>
      </c>
      <c r="B73" s="700" t="str">
        <f t="shared" si="3"/>
        <v>0131</v>
      </c>
      <c r="C73" s="700">
        <v>130</v>
      </c>
      <c r="D73" s="701">
        <v>52.85</v>
      </c>
      <c r="E73" s="701"/>
      <c r="F73" s="701"/>
      <c r="G73" s="705">
        <v>141</v>
      </c>
      <c r="H73" s="705" t="str">
        <f t="shared" si="4"/>
        <v>0141</v>
      </c>
      <c r="I73" s="705">
        <v>101</v>
      </c>
      <c r="J73" s="701">
        <v>56.01</v>
      </c>
    </row>
    <row r="74" spans="1:10" ht="12.75" x14ac:dyDescent="0.2">
      <c r="A74" s="700">
        <v>141</v>
      </c>
      <c r="B74" s="700" t="str">
        <f t="shared" si="3"/>
        <v>0141</v>
      </c>
      <c r="C74" s="700">
        <v>101</v>
      </c>
      <c r="D74" s="701">
        <v>60.13</v>
      </c>
      <c r="E74" s="701"/>
      <c r="F74" s="701"/>
      <c r="G74" s="705">
        <v>141</v>
      </c>
      <c r="H74" s="705" t="str">
        <f t="shared" si="4"/>
        <v>0141</v>
      </c>
      <c r="I74" s="705">
        <v>102</v>
      </c>
      <c r="J74" s="701">
        <v>29.53</v>
      </c>
    </row>
    <row r="75" spans="1:10" ht="12.75" x14ac:dyDescent="0.2">
      <c r="A75" s="700">
        <v>141</v>
      </c>
      <c r="B75" s="700" t="str">
        <f t="shared" si="3"/>
        <v>0141</v>
      </c>
      <c r="C75" s="700">
        <v>102</v>
      </c>
      <c r="D75" s="701">
        <v>28.82</v>
      </c>
      <c r="E75" s="701"/>
      <c r="F75" s="701"/>
      <c r="G75" s="705">
        <v>141</v>
      </c>
      <c r="H75" s="705" t="str">
        <f t="shared" si="4"/>
        <v>0141</v>
      </c>
      <c r="I75" s="705">
        <v>111</v>
      </c>
      <c r="J75" s="701">
        <v>15.99</v>
      </c>
    </row>
    <row r="76" spans="1:10" ht="12.75" x14ac:dyDescent="0.2">
      <c r="A76" s="700">
        <v>141</v>
      </c>
      <c r="B76" s="700" t="str">
        <f t="shared" si="3"/>
        <v>0141</v>
      </c>
      <c r="C76" s="700">
        <v>111</v>
      </c>
      <c r="D76" s="701">
        <v>14.99</v>
      </c>
      <c r="E76" s="701"/>
      <c r="F76" s="701"/>
      <c r="G76" s="705">
        <v>141</v>
      </c>
      <c r="H76" s="705" t="str">
        <f t="shared" si="4"/>
        <v>0141</v>
      </c>
      <c r="I76" s="705">
        <v>112</v>
      </c>
      <c r="J76" s="701">
        <v>14</v>
      </c>
    </row>
    <row r="77" spans="1:10" ht="12.75" x14ac:dyDescent="0.2">
      <c r="A77" s="700">
        <v>141</v>
      </c>
      <c r="B77" s="700" t="str">
        <f t="shared" si="3"/>
        <v>0141</v>
      </c>
      <c r="C77" s="700">
        <v>112</v>
      </c>
      <c r="D77" s="701">
        <v>14</v>
      </c>
      <c r="E77" s="701"/>
      <c r="F77" s="701"/>
      <c r="G77" s="705">
        <v>141</v>
      </c>
      <c r="H77" s="705" t="str">
        <f t="shared" si="4"/>
        <v>0141</v>
      </c>
      <c r="I77" s="705">
        <v>130</v>
      </c>
      <c r="J77" s="701">
        <v>59.92</v>
      </c>
    </row>
    <row r="78" spans="1:10" ht="12.75" x14ac:dyDescent="0.2">
      <c r="A78" s="700">
        <v>141</v>
      </c>
      <c r="B78" s="700" t="str">
        <f t="shared" si="3"/>
        <v>0141</v>
      </c>
      <c r="C78" s="700">
        <v>130</v>
      </c>
      <c r="D78" s="701">
        <v>61.96</v>
      </c>
      <c r="E78" s="701"/>
      <c r="F78" s="701"/>
      <c r="G78" s="705">
        <v>151</v>
      </c>
      <c r="H78" s="705" t="str">
        <f t="shared" si="4"/>
        <v>0151</v>
      </c>
      <c r="I78" s="705">
        <v>103</v>
      </c>
      <c r="J78" s="701">
        <v>624.5</v>
      </c>
    </row>
    <row r="79" spans="1:10" ht="12.75" x14ac:dyDescent="0.2">
      <c r="A79" s="700">
        <v>151</v>
      </c>
      <c r="B79" s="700" t="str">
        <f t="shared" si="3"/>
        <v>0151</v>
      </c>
      <c r="C79" s="700">
        <v>103</v>
      </c>
      <c r="D79" s="701">
        <v>664.78</v>
      </c>
      <c r="E79" s="701"/>
      <c r="F79" s="701"/>
      <c r="G79" s="705">
        <v>151</v>
      </c>
      <c r="H79" s="705" t="str">
        <f t="shared" si="4"/>
        <v>0151</v>
      </c>
      <c r="I79" s="705">
        <v>113</v>
      </c>
      <c r="J79" s="701">
        <v>27.46</v>
      </c>
    </row>
    <row r="80" spans="1:10" ht="12.75" x14ac:dyDescent="0.2">
      <c r="A80" s="700">
        <v>151</v>
      </c>
      <c r="B80" s="700" t="str">
        <f t="shared" si="3"/>
        <v>0151</v>
      </c>
      <c r="C80" s="700">
        <v>113</v>
      </c>
      <c r="D80" s="701">
        <v>30.75</v>
      </c>
      <c r="E80" s="701"/>
      <c r="F80" s="701"/>
      <c r="G80" s="705">
        <v>151</v>
      </c>
      <c r="H80" s="705" t="str">
        <f t="shared" si="4"/>
        <v>0151</v>
      </c>
      <c r="I80" s="705">
        <v>130</v>
      </c>
      <c r="J80" s="701">
        <v>1.52</v>
      </c>
    </row>
    <row r="81" spans="1:10" ht="12.75" x14ac:dyDescent="0.2">
      <c r="A81" s="700">
        <v>151</v>
      </c>
      <c r="B81" s="700" t="str">
        <f t="shared" si="3"/>
        <v>0151</v>
      </c>
      <c r="C81" s="700">
        <v>130</v>
      </c>
      <c r="D81" s="701">
        <v>1.6</v>
      </c>
      <c r="E81" s="701"/>
      <c r="F81" s="701"/>
      <c r="G81" s="705">
        <v>151</v>
      </c>
      <c r="H81" s="705" t="str">
        <f t="shared" si="4"/>
        <v>0151</v>
      </c>
      <c r="I81" s="705">
        <v>300</v>
      </c>
      <c r="J81" s="701">
        <v>22.52</v>
      </c>
    </row>
    <row r="82" spans="1:10" ht="12.75" x14ac:dyDescent="0.2">
      <c r="A82" s="700">
        <v>151</v>
      </c>
      <c r="B82" s="700" t="str">
        <f t="shared" si="3"/>
        <v>0151</v>
      </c>
      <c r="C82" s="700">
        <v>300</v>
      </c>
      <c r="D82" s="701">
        <v>25.92</v>
      </c>
      <c r="E82" s="701"/>
      <c r="F82" s="701"/>
      <c r="G82" s="705">
        <v>191</v>
      </c>
      <c r="H82" s="705" t="str">
        <f t="shared" si="4"/>
        <v>0191</v>
      </c>
      <c r="I82" s="705">
        <v>101</v>
      </c>
      <c r="J82" s="701">
        <v>60.86</v>
      </c>
    </row>
    <row r="83" spans="1:10" ht="12.75" x14ac:dyDescent="0.2">
      <c r="A83" s="700">
        <v>191</v>
      </c>
      <c r="B83" s="700" t="str">
        <f t="shared" si="3"/>
        <v>0191</v>
      </c>
      <c r="C83" s="700">
        <v>101</v>
      </c>
      <c r="D83" s="701">
        <v>62.38</v>
      </c>
      <c r="E83" s="701"/>
      <c r="F83" s="701"/>
      <c r="G83" s="705">
        <v>191</v>
      </c>
      <c r="H83" s="705" t="str">
        <f t="shared" si="4"/>
        <v>0191</v>
      </c>
      <c r="I83" s="705">
        <v>102</v>
      </c>
      <c r="J83" s="701">
        <v>30.49</v>
      </c>
    </row>
    <row r="84" spans="1:10" ht="12.75" x14ac:dyDescent="0.2">
      <c r="A84" s="700">
        <v>191</v>
      </c>
      <c r="B84" s="700" t="str">
        <f t="shared" si="3"/>
        <v>0191</v>
      </c>
      <c r="C84" s="700">
        <v>102</v>
      </c>
      <c r="D84" s="701">
        <v>33.43</v>
      </c>
      <c r="E84" s="701"/>
      <c r="F84" s="701"/>
      <c r="G84" s="705">
        <v>191</v>
      </c>
      <c r="H84" s="705" t="str">
        <f t="shared" si="4"/>
        <v>0191</v>
      </c>
      <c r="I84" s="705">
        <v>111</v>
      </c>
      <c r="J84" s="701">
        <v>14.5</v>
      </c>
    </row>
    <row r="85" spans="1:10" ht="12.75" x14ac:dyDescent="0.2">
      <c r="A85" s="700">
        <v>191</v>
      </c>
      <c r="B85" s="700" t="str">
        <f t="shared" si="3"/>
        <v>0191</v>
      </c>
      <c r="C85" s="700">
        <v>111</v>
      </c>
      <c r="D85" s="701">
        <v>13.5</v>
      </c>
      <c r="E85" s="701"/>
      <c r="F85" s="701"/>
      <c r="G85" s="705">
        <v>191</v>
      </c>
      <c r="H85" s="705" t="str">
        <f t="shared" si="4"/>
        <v>0191</v>
      </c>
      <c r="I85" s="705">
        <v>112</v>
      </c>
      <c r="J85" s="701">
        <v>5.01</v>
      </c>
    </row>
    <row r="86" spans="1:10" ht="12.75" x14ac:dyDescent="0.2">
      <c r="A86" s="700">
        <v>191</v>
      </c>
      <c r="B86" s="700" t="str">
        <f t="shared" si="3"/>
        <v>0191</v>
      </c>
      <c r="C86" s="700">
        <v>112</v>
      </c>
      <c r="D86" s="701">
        <v>4.99</v>
      </c>
      <c r="E86" s="701"/>
      <c r="F86" s="701"/>
      <c r="G86" s="705">
        <v>191</v>
      </c>
      <c r="H86" s="705" t="str">
        <f t="shared" si="4"/>
        <v>0191</v>
      </c>
      <c r="I86" s="705">
        <v>130</v>
      </c>
      <c r="J86" s="701">
        <v>11.77</v>
      </c>
    </row>
    <row r="87" spans="1:10" ht="12.75" x14ac:dyDescent="0.2">
      <c r="A87" s="700">
        <v>191</v>
      </c>
      <c r="B87" s="700" t="str">
        <f t="shared" si="3"/>
        <v>0191</v>
      </c>
      <c r="C87" s="700">
        <v>130</v>
      </c>
      <c r="D87" s="701">
        <v>11.76</v>
      </c>
      <c r="E87" s="701"/>
      <c r="F87" s="701"/>
      <c r="G87" s="705">
        <v>201</v>
      </c>
      <c r="H87" s="705" t="str">
        <f t="shared" si="4"/>
        <v>0201</v>
      </c>
      <c r="I87" s="705">
        <v>102</v>
      </c>
      <c r="J87" s="701">
        <v>263.89999999999998</v>
      </c>
    </row>
    <row r="88" spans="1:10" ht="12.75" x14ac:dyDescent="0.2">
      <c r="A88" s="700">
        <v>201</v>
      </c>
      <c r="B88" s="700" t="str">
        <f t="shared" si="3"/>
        <v>0201</v>
      </c>
      <c r="C88" s="700">
        <v>102</v>
      </c>
      <c r="D88" s="701">
        <v>250.64</v>
      </c>
      <c r="E88" s="701"/>
      <c r="F88" s="701"/>
      <c r="G88" s="705">
        <v>201</v>
      </c>
      <c r="H88" s="705" t="str">
        <f t="shared" si="4"/>
        <v>0201</v>
      </c>
      <c r="I88" s="705">
        <v>112</v>
      </c>
      <c r="J88" s="701">
        <v>60.34</v>
      </c>
    </row>
    <row r="89" spans="1:10" ht="12.75" x14ac:dyDescent="0.2">
      <c r="A89" s="700">
        <v>201</v>
      </c>
      <c r="B89" s="700" t="str">
        <f t="shared" si="3"/>
        <v>0201</v>
      </c>
      <c r="C89" s="700">
        <v>112</v>
      </c>
      <c r="D89" s="701">
        <v>60.55</v>
      </c>
      <c r="E89" s="701"/>
      <c r="F89" s="701"/>
      <c r="G89" s="705">
        <v>201</v>
      </c>
      <c r="H89" s="705" t="str">
        <f t="shared" si="4"/>
        <v>0201</v>
      </c>
      <c r="I89" s="705">
        <v>130</v>
      </c>
      <c r="J89" s="701">
        <v>41.03</v>
      </c>
    </row>
    <row r="90" spans="1:10" ht="12.75" x14ac:dyDescent="0.2">
      <c r="A90" s="700">
        <v>201</v>
      </c>
      <c r="B90" s="700" t="str">
        <f t="shared" si="3"/>
        <v>0201</v>
      </c>
      <c r="C90" s="700">
        <v>130</v>
      </c>
      <c r="D90" s="701">
        <v>49.79</v>
      </c>
      <c r="E90" s="701"/>
      <c r="F90" s="701"/>
      <c r="G90" s="705">
        <v>211</v>
      </c>
      <c r="H90" s="705" t="str">
        <f t="shared" si="4"/>
        <v>0211</v>
      </c>
      <c r="I90" s="705">
        <v>101</v>
      </c>
      <c r="J90" s="701">
        <v>72.45</v>
      </c>
    </row>
    <row r="91" spans="1:10" ht="12.75" x14ac:dyDescent="0.2">
      <c r="A91" s="700">
        <v>211</v>
      </c>
      <c r="B91" s="700" t="str">
        <f t="shared" si="3"/>
        <v>0211</v>
      </c>
      <c r="C91" s="700">
        <v>101</v>
      </c>
      <c r="D91" s="701">
        <v>72.2</v>
      </c>
      <c r="E91" s="701"/>
      <c r="F91" s="701"/>
      <c r="G91" s="705">
        <v>211</v>
      </c>
      <c r="H91" s="705" t="str">
        <f t="shared" si="4"/>
        <v>0211</v>
      </c>
      <c r="I91" s="705">
        <v>102</v>
      </c>
      <c r="J91" s="701">
        <v>38.03</v>
      </c>
    </row>
    <row r="92" spans="1:10" ht="12.75" x14ac:dyDescent="0.2">
      <c r="A92" s="700">
        <v>211</v>
      </c>
      <c r="B92" s="700" t="str">
        <f t="shared" si="3"/>
        <v>0211</v>
      </c>
      <c r="C92" s="700">
        <v>102</v>
      </c>
      <c r="D92" s="701">
        <v>39.200000000000003</v>
      </c>
      <c r="E92" s="701"/>
      <c r="F92" s="701"/>
      <c r="G92" s="705">
        <v>211</v>
      </c>
      <c r="H92" s="705" t="str">
        <f t="shared" si="4"/>
        <v>0211</v>
      </c>
      <c r="I92" s="705">
        <v>111</v>
      </c>
      <c r="J92" s="701">
        <v>34.54</v>
      </c>
    </row>
    <row r="93" spans="1:10" ht="12.75" x14ac:dyDescent="0.2">
      <c r="A93" s="700">
        <v>211</v>
      </c>
      <c r="B93" s="700" t="str">
        <f t="shared" si="3"/>
        <v>0211</v>
      </c>
      <c r="C93" s="700">
        <v>111</v>
      </c>
      <c r="D93" s="701">
        <v>31</v>
      </c>
      <c r="E93" s="701"/>
      <c r="F93" s="701"/>
      <c r="G93" s="705">
        <v>211</v>
      </c>
      <c r="H93" s="705" t="str">
        <f t="shared" si="4"/>
        <v>0211</v>
      </c>
      <c r="I93" s="705">
        <v>112</v>
      </c>
      <c r="J93" s="701">
        <v>14</v>
      </c>
    </row>
    <row r="94" spans="1:10" ht="12.75" x14ac:dyDescent="0.2">
      <c r="A94" s="700">
        <v>211</v>
      </c>
      <c r="B94" s="700" t="str">
        <f t="shared" si="3"/>
        <v>0211</v>
      </c>
      <c r="C94" s="700">
        <v>112</v>
      </c>
      <c r="D94" s="701">
        <v>13.52</v>
      </c>
      <c r="E94" s="701"/>
      <c r="F94" s="701"/>
      <c r="G94" s="705">
        <v>211</v>
      </c>
      <c r="H94" s="705" t="str">
        <f t="shared" si="4"/>
        <v>0211</v>
      </c>
      <c r="I94" s="705">
        <v>130</v>
      </c>
      <c r="J94" s="701">
        <v>29.75</v>
      </c>
    </row>
    <row r="95" spans="1:10" ht="12.75" x14ac:dyDescent="0.2">
      <c r="A95" s="700">
        <v>211</v>
      </c>
      <c r="B95" s="700" t="str">
        <f t="shared" si="3"/>
        <v>0211</v>
      </c>
      <c r="C95" s="700">
        <v>130</v>
      </c>
      <c r="D95" s="701">
        <v>29.29</v>
      </c>
      <c r="E95" s="701"/>
      <c r="F95" s="701"/>
      <c r="G95" s="705">
        <v>211</v>
      </c>
      <c r="H95" s="705" t="str">
        <f t="shared" si="4"/>
        <v>0211</v>
      </c>
      <c r="I95" s="705">
        <v>254</v>
      </c>
      <c r="J95" s="701">
        <v>4.5199999999999996</v>
      </c>
    </row>
    <row r="96" spans="1:10" ht="12.75" x14ac:dyDescent="0.2">
      <c r="A96" s="700">
        <v>211</v>
      </c>
      <c r="B96" s="700" t="str">
        <f t="shared" si="3"/>
        <v>0211</v>
      </c>
      <c r="C96" s="700">
        <v>254</v>
      </c>
      <c r="D96" s="701">
        <v>3.5</v>
      </c>
      <c r="E96" s="701"/>
      <c r="F96" s="701"/>
      <c r="G96" s="705">
        <v>235</v>
      </c>
      <c r="H96" s="705" t="str">
        <f t="shared" si="4"/>
        <v>0235</v>
      </c>
      <c r="I96" s="705">
        <v>101</v>
      </c>
      <c r="J96" s="701">
        <v>160.93</v>
      </c>
    </row>
    <row r="97" spans="1:10" ht="12.75" x14ac:dyDescent="0.2">
      <c r="A97" s="700">
        <v>235</v>
      </c>
      <c r="B97" s="700" t="str">
        <f t="shared" si="3"/>
        <v>0235</v>
      </c>
      <c r="C97" s="700">
        <v>101</v>
      </c>
      <c r="D97" s="701">
        <v>158</v>
      </c>
      <c r="E97" s="701"/>
      <c r="F97" s="701"/>
      <c r="G97" s="705">
        <v>235</v>
      </c>
      <c r="H97" s="705" t="str">
        <f t="shared" si="4"/>
        <v>0235</v>
      </c>
      <c r="I97" s="705">
        <v>102</v>
      </c>
      <c r="J97" s="701">
        <v>71.36</v>
      </c>
    </row>
    <row r="98" spans="1:10" ht="12.75" x14ac:dyDescent="0.2">
      <c r="A98" s="700">
        <v>235</v>
      </c>
      <c r="B98" s="700" t="str">
        <f t="shared" si="3"/>
        <v>0235</v>
      </c>
      <c r="C98" s="700">
        <v>102</v>
      </c>
      <c r="D98" s="701">
        <v>69.31</v>
      </c>
      <c r="E98" s="701"/>
      <c r="F98" s="701"/>
      <c r="G98" s="705">
        <v>235</v>
      </c>
      <c r="H98" s="705" t="str">
        <f t="shared" si="4"/>
        <v>0235</v>
      </c>
      <c r="I98" s="705">
        <v>111</v>
      </c>
      <c r="J98" s="701">
        <v>56.22</v>
      </c>
    </row>
    <row r="99" spans="1:10" ht="12.75" x14ac:dyDescent="0.2">
      <c r="A99" s="700">
        <v>235</v>
      </c>
      <c r="B99" s="700" t="str">
        <f t="shared" si="3"/>
        <v>0235</v>
      </c>
      <c r="C99" s="700">
        <v>111</v>
      </c>
      <c r="D99" s="701">
        <v>47.32</v>
      </c>
      <c r="E99" s="701"/>
      <c r="F99" s="701"/>
      <c r="G99" s="705">
        <v>235</v>
      </c>
      <c r="H99" s="705" t="str">
        <f t="shared" si="4"/>
        <v>0235</v>
      </c>
      <c r="I99" s="705">
        <v>112</v>
      </c>
      <c r="J99" s="701">
        <v>23.44</v>
      </c>
    </row>
    <row r="100" spans="1:10" ht="12.75" x14ac:dyDescent="0.2">
      <c r="A100" s="700">
        <v>235</v>
      </c>
      <c r="B100" s="700" t="str">
        <f t="shared" si="3"/>
        <v>0235</v>
      </c>
      <c r="C100" s="700">
        <v>112</v>
      </c>
      <c r="D100" s="701">
        <v>22.38</v>
      </c>
      <c r="E100" s="701"/>
      <c r="F100" s="701"/>
      <c r="G100" s="705">
        <v>235</v>
      </c>
      <c r="H100" s="705" t="str">
        <f t="shared" si="4"/>
        <v>0235</v>
      </c>
      <c r="I100" s="705">
        <v>130</v>
      </c>
      <c r="J100" s="701">
        <v>15.26</v>
      </c>
    </row>
    <row r="101" spans="1:10" ht="12.75" x14ac:dyDescent="0.2">
      <c r="A101" s="700">
        <v>235</v>
      </c>
      <c r="B101" s="700" t="str">
        <f t="shared" si="3"/>
        <v>0235</v>
      </c>
      <c r="C101" s="700">
        <v>130</v>
      </c>
      <c r="D101" s="701">
        <v>15.88</v>
      </c>
      <c r="E101" s="701"/>
      <c r="F101" s="701"/>
      <c r="G101" s="705">
        <v>235</v>
      </c>
      <c r="H101" s="705" t="str">
        <f t="shared" si="4"/>
        <v>0235</v>
      </c>
      <c r="I101" s="705">
        <v>254</v>
      </c>
      <c r="J101" s="701">
        <v>0.5</v>
      </c>
    </row>
    <row r="102" spans="1:10" ht="12.75" x14ac:dyDescent="0.2">
      <c r="A102" s="700">
        <v>235</v>
      </c>
      <c r="B102" s="700" t="str">
        <f t="shared" si="3"/>
        <v>0235</v>
      </c>
      <c r="C102" s="700">
        <v>254</v>
      </c>
      <c r="D102" s="701">
        <v>0.5</v>
      </c>
      <c r="E102" s="701"/>
      <c r="F102" s="701"/>
      <c r="G102" s="705">
        <v>271</v>
      </c>
      <c r="H102" s="705" t="str">
        <f t="shared" si="4"/>
        <v>0271</v>
      </c>
      <c r="I102" s="705">
        <v>101</v>
      </c>
      <c r="J102" s="701">
        <v>93.98</v>
      </c>
    </row>
    <row r="103" spans="1:10" ht="12.75" x14ac:dyDescent="0.2">
      <c r="A103" s="700">
        <v>271</v>
      </c>
      <c r="B103" s="700" t="str">
        <f t="shared" si="3"/>
        <v>0271</v>
      </c>
      <c r="C103" s="700">
        <v>101</v>
      </c>
      <c r="D103" s="701">
        <v>94.67</v>
      </c>
      <c r="E103" s="701"/>
      <c r="F103" s="701"/>
      <c r="G103" s="705">
        <v>271</v>
      </c>
      <c r="H103" s="705" t="str">
        <f t="shared" si="4"/>
        <v>0271</v>
      </c>
      <c r="I103" s="705">
        <v>102</v>
      </c>
      <c r="J103" s="701">
        <v>64.599999999999994</v>
      </c>
    </row>
    <row r="104" spans="1:10" ht="12.75" x14ac:dyDescent="0.2">
      <c r="A104" s="700">
        <v>271</v>
      </c>
      <c r="B104" s="700" t="str">
        <f t="shared" si="3"/>
        <v>0271</v>
      </c>
      <c r="C104" s="700">
        <v>102</v>
      </c>
      <c r="D104" s="701">
        <v>65.75</v>
      </c>
      <c r="E104" s="701"/>
      <c r="F104" s="701"/>
      <c r="G104" s="705">
        <v>271</v>
      </c>
      <c r="H104" s="705" t="str">
        <f t="shared" si="4"/>
        <v>0271</v>
      </c>
      <c r="I104" s="705">
        <v>111</v>
      </c>
      <c r="J104" s="701">
        <v>26.6</v>
      </c>
    </row>
    <row r="105" spans="1:10" ht="12.75" x14ac:dyDescent="0.2">
      <c r="A105" s="700">
        <v>271</v>
      </c>
      <c r="B105" s="700" t="str">
        <f t="shared" si="3"/>
        <v>0271</v>
      </c>
      <c r="C105" s="700">
        <v>111</v>
      </c>
      <c r="D105" s="701">
        <v>25.12</v>
      </c>
      <c r="E105" s="701"/>
      <c r="F105" s="701"/>
      <c r="G105" s="705">
        <v>271</v>
      </c>
      <c r="H105" s="705" t="str">
        <f t="shared" si="4"/>
        <v>0271</v>
      </c>
      <c r="I105" s="705">
        <v>112</v>
      </c>
      <c r="J105" s="701">
        <v>29.02</v>
      </c>
    </row>
    <row r="106" spans="1:10" ht="12.75" x14ac:dyDescent="0.2">
      <c r="A106" s="700">
        <v>271</v>
      </c>
      <c r="B106" s="700" t="str">
        <f t="shared" si="3"/>
        <v>0271</v>
      </c>
      <c r="C106" s="700">
        <v>112</v>
      </c>
      <c r="D106" s="701">
        <v>25.98</v>
      </c>
      <c r="E106" s="701"/>
      <c r="F106" s="701"/>
      <c r="G106" s="705">
        <v>271</v>
      </c>
      <c r="H106" s="705" t="str">
        <f t="shared" si="4"/>
        <v>0271</v>
      </c>
      <c r="I106" s="705">
        <v>130</v>
      </c>
      <c r="J106" s="701">
        <v>119.76</v>
      </c>
    </row>
    <row r="107" spans="1:10" ht="12.75" x14ac:dyDescent="0.2">
      <c r="A107" s="700">
        <v>271</v>
      </c>
      <c r="B107" s="700" t="str">
        <f t="shared" si="3"/>
        <v>0271</v>
      </c>
      <c r="C107" s="700">
        <v>130</v>
      </c>
      <c r="D107" s="701">
        <v>125.94</v>
      </c>
      <c r="E107" s="701"/>
      <c r="F107" s="701"/>
      <c r="G107" s="705">
        <v>281</v>
      </c>
      <c r="H107" s="705" t="str">
        <f t="shared" si="4"/>
        <v>0281</v>
      </c>
      <c r="I107" s="705">
        <v>101</v>
      </c>
      <c r="J107" s="701">
        <v>168.24</v>
      </c>
    </row>
    <row r="108" spans="1:10" ht="12.75" x14ac:dyDescent="0.2">
      <c r="A108" s="700">
        <v>281</v>
      </c>
      <c r="B108" s="700" t="str">
        <f t="shared" si="3"/>
        <v>0281</v>
      </c>
      <c r="C108" s="700">
        <v>101</v>
      </c>
      <c r="D108" s="701">
        <v>170.33</v>
      </c>
      <c r="E108" s="701"/>
      <c r="F108" s="701"/>
      <c r="G108" s="705">
        <v>281</v>
      </c>
      <c r="H108" s="705" t="str">
        <f t="shared" si="4"/>
        <v>0281</v>
      </c>
      <c r="I108" s="705">
        <v>102</v>
      </c>
      <c r="J108" s="701">
        <v>92.58</v>
      </c>
    </row>
    <row r="109" spans="1:10" ht="12.75" x14ac:dyDescent="0.2">
      <c r="A109" s="700">
        <v>281</v>
      </c>
      <c r="B109" s="700" t="str">
        <f t="shared" si="3"/>
        <v>0281</v>
      </c>
      <c r="C109" s="700">
        <v>102</v>
      </c>
      <c r="D109" s="701">
        <v>90.62</v>
      </c>
      <c r="E109" s="701"/>
      <c r="F109" s="701"/>
      <c r="G109" s="705">
        <v>281</v>
      </c>
      <c r="H109" s="705" t="str">
        <f t="shared" si="4"/>
        <v>0281</v>
      </c>
      <c r="I109" s="705">
        <v>111</v>
      </c>
      <c r="J109" s="701">
        <v>89.5</v>
      </c>
    </row>
    <row r="110" spans="1:10" ht="12.75" x14ac:dyDescent="0.2">
      <c r="A110" s="700">
        <v>281</v>
      </c>
      <c r="B110" s="700" t="str">
        <f t="shared" si="3"/>
        <v>0281</v>
      </c>
      <c r="C110" s="700">
        <v>111</v>
      </c>
      <c r="D110" s="701">
        <v>88.49</v>
      </c>
      <c r="E110" s="701"/>
      <c r="F110" s="701"/>
      <c r="G110" s="705">
        <v>281</v>
      </c>
      <c r="H110" s="705" t="str">
        <f t="shared" si="4"/>
        <v>0281</v>
      </c>
      <c r="I110" s="705">
        <v>112</v>
      </c>
      <c r="J110" s="701">
        <v>70.5</v>
      </c>
    </row>
    <row r="111" spans="1:10" ht="12.75" x14ac:dyDescent="0.2">
      <c r="A111" s="700">
        <v>281</v>
      </c>
      <c r="B111" s="700" t="str">
        <f t="shared" si="3"/>
        <v>0281</v>
      </c>
      <c r="C111" s="700">
        <v>112</v>
      </c>
      <c r="D111" s="701">
        <v>73.510000000000005</v>
      </c>
      <c r="E111" s="701"/>
      <c r="F111" s="701"/>
      <c r="G111" s="705">
        <v>281</v>
      </c>
      <c r="H111" s="705" t="str">
        <f t="shared" si="4"/>
        <v>0281</v>
      </c>
      <c r="I111" s="705">
        <v>130</v>
      </c>
      <c r="J111" s="701">
        <v>15.06</v>
      </c>
    </row>
    <row r="112" spans="1:10" ht="12.75" x14ac:dyDescent="0.2">
      <c r="A112" s="700">
        <v>281</v>
      </c>
      <c r="B112" s="700" t="str">
        <f t="shared" si="3"/>
        <v>0281</v>
      </c>
      <c r="C112" s="700">
        <v>130</v>
      </c>
      <c r="D112" s="701">
        <v>15.47</v>
      </c>
      <c r="E112" s="701"/>
      <c r="F112" s="701"/>
      <c r="G112" s="705">
        <v>281</v>
      </c>
      <c r="H112" s="705" t="str">
        <f t="shared" si="4"/>
        <v>0281</v>
      </c>
      <c r="I112" s="705">
        <v>254</v>
      </c>
      <c r="J112" s="701">
        <v>1</v>
      </c>
    </row>
    <row r="113" spans="1:10" ht="12.75" x14ac:dyDescent="0.2">
      <c r="A113" s="700">
        <v>281</v>
      </c>
      <c r="B113" s="700" t="str">
        <f t="shared" si="3"/>
        <v>0281</v>
      </c>
      <c r="C113" s="700">
        <v>254</v>
      </c>
      <c r="D113" s="701">
        <v>1</v>
      </c>
      <c r="E113" s="701"/>
      <c r="F113" s="701"/>
      <c r="G113" s="705">
        <v>281</v>
      </c>
      <c r="H113" s="705" t="str">
        <f t="shared" si="4"/>
        <v>0281</v>
      </c>
      <c r="I113" s="705">
        <v>255</v>
      </c>
      <c r="J113" s="701">
        <v>0.5</v>
      </c>
    </row>
    <row r="114" spans="1:10" ht="12.75" x14ac:dyDescent="0.2">
      <c r="A114" s="700">
        <v>281</v>
      </c>
      <c r="B114" s="700" t="str">
        <f t="shared" si="3"/>
        <v>0281</v>
      </c>
      <c r="C114" s="700">
        <v>255</v>
      </c>
      <c r="D114" s="701">
        <v>0.5</v>
      </c>
      <c r="E114" s="701"/>
      <c r="F114" s="701"/>
      <c r="G114" s="705">
        <v>291</v>
      </c>
      <c r="H114" s="705" t="str">
        <f t="shared" si="4"/>
        <v>0291</v>
      </c>
      <c r="I114" s="705">
        <v>101</v>
      </c>
      <c r="J114" s="701">
        <v>105.95</v>
      </c>
    </row>
    <row r="115" spans="1:10" ht="12.75" x14ac:dyDescent="0.2">
      <c r="A115" s="700">
        <v>291</v>
      </c>
      <c r="B115" s="700" t="str">
        <f t="shared" si="3"/>
        <v>0291</v>
      </c>
      <c r="C115" s="700">
        <v>101</v>
      </c>
      <c r="D115" s="701">
        <v>108.87</v>
      </c>
      <c r="E115" s="701"/>
      <c r="F115" s="701"/>
      <c r="G115" s="705">
        <v>291</v>
      </c>
      <c r="H115" s="705" t="str">
        <f t="shared" si="4"/>
        <v>0291</v>
      </c>
      <c r="I115" s="705">
        <v>102</v>
      </c>
      <c r="J115" s="701">
        <v>60.97</v>
      </c>
    </row>
    <row r="116" spans="1:10" ht="12.75" x14ac:dyDescent="0.2">
      <c r="A116" s="700">
        <v>291</v>
      </c>
      <c r="B116" s="700" t="str">
        <f t="shared" si="3"/>
        <v>0291</v>
      </c>
      <c r="C116" s="700">
        <v>102</v>
      </c>
      <c r="D116" s="701">
        <v>61.14</v>
      </c>
      <c r="E116" s="701"/>
      <c r="F116" s="701"/>
      <c r="G116" s="705">
        <v>291</v>
      </c>
      <c r="H116" s="705" t="str">
        <f t="shared" si="4"/>
        <v>0291</v>
      </c>
      <c r="I116" s="705">
        <v>111</v>
      </c>
      <c r="J116" s="701">
        <v>35.75</v>
      </c>
    </row>
    <row r="117" spans="1:10" ht="12.75" x14ac:dyDescent="0.2">
      <c r="A117" s="700">
        <v>291</v>
      </c>
      <c r="B117" s="700" t="str">
        <f t="shared" si="3"/>
        <v>0291</v>
      </c>
      <c r="C117" s="700">
        <v>111</v>
      </c>
      <c r="D117" s="701">
        <v>33.200000000000003</v>
      </c>
      <c r="E117" s="701"/>
      <c r="F117" s="701"/>
      <c r="G117" s="705">
        <v>291</v>
      </c>
      <c r="H117" s="705" t="str">
        <f t="shared" si="4"/>
        <v>0291</v>
      </c>
      <c r="I117" s="705">
        <v>112</v>
      </c>
      <c r="J117" s="701">
        <v>20.5</v>
      </c>
    </row>
    <row r="118" spans="1:10" ht="12.75" x14ac:dyDescent="0.2">
      <c r="A118" s="700">
        <v>291</v>
      </c>
      <c r="B118" s="700" t="str">
        <f t="shared" si="3"/>
        <v>0291</v>
      </c>
      <c r="C118" s="700">
        <v>112</v>
      </c>
      <c r="D118" s="701">
        <v>21</v>
      </c>
      <c r="E118" s="701"/>
      <c r="F118" s="701"/>
      <c r="G118" s="705">
        <v>291</v>
      </c>
      <c r="H118" s="705" t="str">
        <f t="shared" si="4"/>
        <v>0291</v>
      </c>
      <c r="I118" s="705">
        <v>130</v>
      </c>
      <c r="J118" s="701">
        <v>72.58</v>
      </c>
    </row>
    <row r="119" spans="1:10" ht="12.75" x14ac:dyDescent="0.2">
      <c r="A119" s="700">
        <v>291</v>
      </c>
      <c r="B119" s="700" t="str">
        <f t="shared" si="3"/>
        <v>0291</v>
      </c>
      <c r="C119" s="700">
        <v>130</v>
      </c>
      <c r="D119" s="701">
        <v>74.47</v>
      </c>
      <c r="E119" s="701"/>
      <c r="F119" s="701"/>
      <c r="G119" s="705">
        <v>311</v>
      </c>
      <c r="H119" s="705" t="str">
        <f t="shared" si="4"/>
        <v>0311</v>
      </c>
      <c r="I119" s="705">
        <v>102</v>
      </c>
      <c r="J119" s="701">
        <v>266.04000000000002</v>
      </c>
    </row>
    <row r="120" spans="1:10" ht="12.75" x14ac:dyDescent="0.2">
      <c r="A120" s="700">
        <v>311</v>
      </c>
      <c r="B120" s="700" t="str">
        <f t="shared" si="3"/>
        <v>0311</v>
      </c>
      <c r="C120" s="700">
        <v>102</v>
      </c>
      <c r="D120" s="701">
        <v>267.39999999999998</v>
      </c>
      <c r="E120" s="701"/>
      <c r="F120" s="701"/>
      <c r="G120" s="705">
        <v>311</v>
      </c>
      <c r="H120" s="705" t="str">
        <f t="shared" si="4"/>
        <v>0311</v>
      </c>
      <c r="I120" s="705">
        <v>112</v>
      </c>
      <c r="J120" s="701">
        <v>78.44</v>
      </c>
    </row>
    <row r="121" spans="1:10" ht="12.75" x14ac:dyDescent="0.2">
      <c r="A121" s="700">
        <v>311</v>
      </c>
      <c r="B121" s="700" t="str">
        <f t="shared" si="3"/>
        <v>0311</v>
      </c>
      <c r="C121" s="700">
        <v>112</v>
      </c>
      <c r="D121" s="701">
        <v>79.069999999999993</v>
      </c>
      <c r="E121" s="701"/>
      <c r="F121" s="701"/>
      <c r="G121" s="705">
        <v>311</v>
      </c>
      <c r="H121" s="705" t="str">
        <f t="shared" si="4"/>
        <v>0311</v>
      </c>
      <c r="I121" s="705">
        <v>130</v>
      </c>
      <c r="J121" s="701">
        <v>12.69</v>
      </c>
    </row>
    <row r="122" spans="1:10" ht="12.75" x14ac:dyDescent="0.2">
      <c r="A122" s="700">
        <v>311</v>
      </c>
      <c r="B122" s="700" t="str">
        <f t="shared" si="3"/>
        <v>0311</v>
      </c>
      <c r="C122" s="700">
        <v>130</v>
      </c>
      <c r="D122" s="701">
        <v>12.37</v>
      </c>
      <c r="E122" s="701"/>
      <c r="F122" s="701"/>
      <c r="G122" s="705">
        <v>341</v>
      </c>
      <c r="H122" s="705" t="str">
        <f t="shared" si="4"/>
        <v>0341</v>
      </c>
      <c r="I122" s="705">
        <v>101</v>
      </c>
      <c r="J122" s="701">
        <v>88.56</v>
      </c>
    </row>
    <row r="123" spans="1:10" ht="12.75" x14ac:dyDescent="0.2">
      <c r="A123" s="700">
        <v>341</v>
      </c>
      <c r="B123" s="700" t="str">
        <f t="shared" si="3"/>
        <v>0341</v>
      </c>
      <c r="C123" s="700">
        <v>101</v>
      </c>
      <c r="D123" s="701">
        <v>91.24</v>
      </c>
      <c r="E123" s="701"/>
      <c r="F123" s="701"/>
      <c r="G123" s="705">
        <v>341</v>
      </c>
      <c r="H123" s="705" t="str">
        <f t="shared" si="4"/>
        <v>0341</v>
      </c>
      <c r="I123" s="705">
        <v>102</v>
      </c>
      <c r="J123" s="701">
        <v>31.1</v>
      </c>
    </row>
    <row r="124" spans="1:10" ht="12.75" x14ac:dyDescent="0.2">
      <c r="A124" s="700">
        <v>341</v>
      </c>
      <c r="B124" s="700" t="str">
        <f t="shared" si="3"/>
        <v>0341</v>
      </c>
      <c r="C124" s="700">
        <v>102</v>
      </c>
      <c r="D124" s="701">
        <v>31.33</v>
      </c>
      <c r="E124" s="701"/>
      <c r="F124" s="701"/>
      <c r="G124" s="705">
        <v>341</v>
      </c>
      <c r="H124" s="705" t="str">
        <f t="shared" si="4"/>
        <v>0341</v>
      </c>
      <c r="I124" s="705">
        <v>111</v>
      </c>
      <c r="J124" s="701">
        <v>17.87</v>
      </c>
    </row>
    <row r="125" spans="1:10" ht="12.75" x14ac:dyDescent="0.2">
      <c r="A125" s="700">
        <v>341</v>
      </c>
      <c r="B125" s="700" t="str">
        <f t="shared" si="3"/>
        <v>0341</v>
      </c>
      <c r="C125" s="700">
        <v>111</v>
      </c>
      <c r="D125" s="701">
        <v>22.79</v>
      </c>
      <c r="E125" s="701"/>
      <c r="F125" s="701"/>
      <c r="G125" s="705">
        <v>341</v>
      </c>
      <c r="H125" s="705" t="str">
        <f t="shared" si="4"/>
        <v>0341</v>
      </c>
      <c r="I125" s="705">
        <v>112</v>
      </c>
      <c r="J125" s="701">
        <v>10.01</v>
      </c>
    </row>
    <row r="126" spans="1:10" ht="12.75" x14ac:dyDescent="0.2">
      <c r="A126" s="700">
        <v>341</v>
      </c>
      <c r="B126" s="700" t="str">
        <f t="shared" si="3"/>
        <v>0341</v>
      </c>
      <c r="C126" s="700">
        <v>112</v>
      </c>
      <c r="D126" s="701">
        <v>11.01</v>
      </c>
      <c r="E126" s="701"/>
      <c r="F126" s="701"/>
      <c r="G126" s="705">
        <v>341</v>
      </c>
      <c r="H126" s="705" t="str">
        <f t="shared" si="4"/>
        <v>0341</v>
      </c>
      <c r="I126" s="705">
        <v>130</v>
      </c>
      <c r="J126" s="701">
        <v>19.7</v>
      </c>
    </row>
    <row r="127" spans="1:10" ht="12.75" x14ac:dyDescent="0.2">
      <c r="A127" s="700">
        <v>341</v>
      </c>
      <c r="B127" s="700" t="str">
        <f t="shared" si="3"/>
        <v>0341</v>
      </c>
      <c r="C127" s="700">
        <v>130</v>
      </c>
      <c r="D127" s="701">
        <v>17.170000000000002</v>
      </c>
      <c r="E127" s="701"/>
      <c r="F127" s="701"/>
      <c r="G127" s="705">
        <v>341</v>
      </c>
      <c r="H127" s="705" t="str">
        <f t="shared" si="4"/>
        <v>0341</v>
      </c>
      <c r="I127" s="705">
        <v>254</v>
      </c>
      <c r="J127" s="701">
        <v>1.1299999999999999</v>
      </c>
    </row>
    <row r="128" spans="1:10" ht="12.75" x14ac:dyDescent="0.2">
      <c r="A128" s="700">
        <v>341</v>
      </c>
      <c r="B128" s="700" t="str">
        <f t="shared" si="3"/>
        <v>0341</v>
      </c>
      <c r="C128" s="700">
        <v>254</v>
      </c>
      <c r="D128" s="701">
        <v>1.76</v>
      </c>
      <c r="E128" s="701"/>
      <c r="F128" s="701"/>
      <c r="G128" s="705">
        <v>351</v>
      </c>
      <c r="H128" s="705" t="str">
        <f t="shared" si="4"/>
        <v>0351</v>
      </c>
      <c r="I128" s="705">
        <v>101</v>
      </c>
      <c r="J128" s="701">
        <v>95.13</v>
      </c>
    </row>
    <row r="129" spans="1:10" ht="12.75" x14ac:dyDescent="0.2">
      <c r="A129" s="700">
        <v>351</v>
      </c>
      <c r="B129" s="700" t="str">
        <f t="shared" si="3"/>
        <v>0351</v>
      </c>
      <c r="C129" s="700">
        <v>101</v>
      </c>
      <c r="D129" s="701">
        <v>100.16</v>
      </c>
      <c r="E129" s="701"/>
      <c r="F129" s="701"/>
      <c r="G129" s="705">
        <v>351</v>
      </c>
      <c r="H129" s="705" t="str">
        <f t="shared" si="4"/>
        <v>0351</v>
      </c>
      <c r="I129" s="705">
        <v>102</v>
      </c>
      <c r="J129" s="701">
        <v>43.6</v>
      </c>
    </row>
    <row r="130" spans="1:10" ht="12.75" x14ac:dyDescent="0.2">
      <c r="A130" s="700">
        <v>351</v>
      </c>
      <c r="B130" s="700" t="str">
        <f t="shared" ref="B130:B193" si="5">TEXT(A130,"0000")</f>
        <v>0351</v>
      </c>
      <c r="C130" s="700">
        <v>102</v>
      </c>
      <c r="D130" s="701">
        <v>43.98</v>
      </c>
      <c r="E130" s="701"/>
      <c r="F130" s="701"/>
      <c r="G130" s="705">
        <v>351</v>
      </c>
      <c r="H130" s="705" t="str">
        <f t="shared" si="4"/>
        <v>0351</v>
      </c>
      <c r="I130" s="705">
        <v>111</v>
      </c>
      <c r="J130" s="701">
        <v>27.99</v>
      </c>
    </row>
    <row r="131" spans="1:10" ht="12.75" x14ac:dyDescent="0.2">
      <c r="A131" s="700">
        <v>351</v>
      </c>
      <c r="B131" s="700" t="str">
        <f t="shared" si="5"/>
        <v>0351</v>
      </c>
      <c r="C131" s="700">
        <v>111</v>
      </c>
      <c r="D131" s="701">
        <v>27.03</v>
      </c>
      <c r="E131" s="701"/>
      <c r="F131" s="701"/>
      <c r="G131" s="705">
        <v>351</v>
      </c>
      <c r="H131" s="705" t="str">
        <f t="shared" ref="H131:H194" si="6">TEXT(G131,"0000")</f>
        <v>0351</v>
      </c>
      <c r="I131" s="705">
        <v>112</v>
      </c>
      <c r="J131" s="701">
        <v>18.98</v>
      </c>
    </row>
    <row r="132" spans="1:10" ht="12.75" x14ac:dyDescent="0.2">
      <c r="A132" s="700">
        <v>351</v>
      </c>
      <c r="B132" s="700" t="str">
        <f t="shared" si="5"/>
        <v>0351</v>
      </c>
      <c r="C132" s="700">
        <v>112</v>
      </c>
      <c r="D132" s="701">
        <v>20.48</v>
      </c>
      <c r="E132" s="701"/>
      <c r="F132" s="701"/>
      <c r="G132" s="705">
        <v>351</v>
      </c>
      <c r="H132" s="705" t="str">
        <f t="shared" si="6"/>
        <v>0351</v>
      </c>
      <c r="I132" s="705">
        <v>130</v>
      </c>
      <c r="J132" s="701">
        <v>38.97</v>
      </c>
    </row>
    <row r="133" spans="1:10" ht="12.75" x14ac:dyDescent="0.2">
      <c r="A133" s="700">
        <v>351</v>
      </c>
      <c r="B133" s="700" t="str">
        <f t="shared" si="5"/>
        <v>0351</v>
      </c>
      <c r="C133" s="700">
        <v>130</v>
      </c>
      <c r="D133" s="701">
        <v>38.56</v>
      </c>
      <c r="E133" s="701"/>
      <c r="F133" s="701"/>
      <c r="G133" s="705">
        <v>361</v>
      </c>
      <c r="H133" s="705" t="str">
        <f t="shared" si="6"/>
        <v>0361</v>
      </c>
      <c r="I133" s="705">
        <v>101</v>
      </c>
      <c r="J133" s="701">
        <v>111.15</v>
      </c>
    </row>
    <row r="134" spans="1:10" ht="12.75" x14ac:dyDescent="0.2">
      <c r="A134" s="700">
        <v>361</v>
      </c>
      <c r="B134" s="700" t="str">
        <f t="shared" si="5"/>
        <v>0361</v>
      </c>
      <c r="C134" s="700">
        <v>101</v>
      </c>
      <c r="D134" s="701">
        <v>112.75</v>
      </c>
      <c r="E134" s="701"/>
      <c r="F134" s="701"/>
      <c r="G134" s="705">
        <v>361</v>
      </c>
      <c r="H134" s="705" t="str">
        <f t="shared" si="6"/>
        <v>0361</v>
      </c>
      <c r="I134" s="705">
        <v>102</v>
      </c>
      <c r="J134" s="701">
        <v>60.82</v>
      </c>
    </row>
    <row r="135" spans="1:10" ht="12.75" x14ac:dyDescent="0.2">
      <c r="A135" s="700">
        <v>361</v>
      </c>
      <c r="B135" s="700" t="str">
        <f t="shared" si="5"/>
        <v>0361</v>
      </c>
      <c r="C135" s="700">
        <v>102</v>
      </c>
      <c r="D135" s="701">
        <v>63.29</v>
      </c>
      <c r="E135" s="701"/>
      <c r="F135" s="701"/>
      <c r="G135" s="705">
        <v>361</v>
      </c>
      <c r="H135" s="705" t="str">
        <f t="shared" si="6"/>
        <v>0361</v>
      </c>
      <c r="I135" s="705">
        <v>111</v>
      </c>
      <c r="J135" s="701">
        <v>25.05</v>
      </c>
    </row>
    <row r="136" spans="1:10" ht="12.75" x14ac:dyDescent="0.2">
      <c r="A136" s="700">
        <v>361</v>
      </c>
      <c r="B136" s="700" t="str">
        <f t="shared" si="5"/>
        <v>0361</v>
      </c>
      <c r="C136" s="700">
        <v>111</v>
      </c>
      <c r="D136" s="701">
        <v>27.52</v>
      </c>
      <c r="E136" s="701"/>
      <c r="F136" s="701"/>
      <c r="G136" s="705">
        <v>361</v>
      </c>
      <c r="H136" s="705" t="str">
        <f t="shared" si="6"/>
        <v>0361</v>
      </c>
      <c r="I136" s="705">
        <v>112</v>
      </c>
      <c r="J136" s="701">
        <v>15</v>
      </c>
    </row>
    <row r="137" spans="1:10" ht="12.75" x14ac:dyDescent="0.2">
      <c r="A137" s="700">
        <v>361</v>
      </c>
      <c r="B137" s="700" t="str">
        <f t="shared" si="5"/>
        <v>0361</v>
      </c>
      <c r="C137" s="700">
        <v>112</v>
      </c>
      <c r="D137" s="701">
        <v>14</v>
      </c>
      <c r="E137" s="701"/>
      <c r="F137" s="701"/>
      <c r="G137" s="705">
        <v>361</v>
      </c>
      <c r="H137" s="705" t="str">
        <f t="shared" si="6"/>
        <v>0361</v>
      </c>
      <c r="I137" s="705">
        <v>130</v>
      </c>
      <c r="J137" s="701">
        <v>12.68</v>
      </c>
    </row>
    <row r="138" spans="1:10" ht="12.75" x14ac:dyDescent="0.2">
      <c r="A138" s="700">
        <v>361</v>
      </c>
      <c r="B138" s="700" t="str">
        <f t="shared" si="5"/>
        <v>0361</v>
      </c>
      <c r="C138" s="700">
        <v>130</v>
      </c>
      <c r="D138" s="701">
        <v>13.12</v>
      </c>
      <c r="E138" s="701"/>
      <c r="F138" s="701"/>
      <c r="G138" s="705">
        <v>395</v>
      </c>
      <c r="H138" s="705" t="str">
        <f t="shared" si="6"/>
        <v>0395</v>
      </c>
      <c r="I138" s="705">
        <v>103</v>
      </c>
      <c r="J138" s="701">
        <v>575.58000000000004</v>
      </c>
    </row>
    <row r="139" spans="1:10" ht="12.75" x14ac:dyDescent="0.2">
      <c r="A139" s="700">
        <v>395</v>
      </c>
      <c r="B139" s="700" t="str">
        <f t="shared" si="5"/>
        <v>0395</v>
      </c>
      <c r="C139" s="700">
        <v>103</v>
      </c>
      <c r="D139" s="701">
        <v>590.08000000000004</v>
      </c>
      <c r="E139" s="701"/>
      <c r="F139" s="701"/>
      <c r="G139" s="705">
        <v>395</v>
      </c>
      <c r="H139" s="705" t="str">
        <f t="shared" si="6"/>
        <v>0395</v>
      </c>
      <c r="I139" s="705">
        <v>113</v>
      </c>
      <c r="J139" s="701">
        <v>23.03</v>
      </c>
    </row>
    <row r="140" spans="1:10" ht="12.75" x14ac:dyDescent="0.2">
      <c r="A140" s="700">
        <v>395</v>
      </c>
      <c r="B140" s="700" t="str">
        <f t="shared" si="5"/>
        <v>0395</v>
      </c>
      <c r="C140" s="700">
        <v>113</v>
      </c>
      <c r="D140" s="701">
        <v>23.34</v>
      </c>
      <c r="E140" s="701"/>
      <c r="F140" s="701"/>
      <c r="G140" s="705">
        <v>395</v>
      </c>
      <c r="H140" s="705" t="str">
        <f t="shared" si="6"/>
        <v>0395</v>
      </c>
      <c r="I140" s="705">
        <v>130</v>
      </c>
      <c r="J140" s="701">
        <v>0.95</v>
      </c>
    </row>
    <row r="141" spans="1:10" ht="12.75" x14ac:dyDescent="0.2">
      <c r="A141" s="700">
        <v>395</v>
      </c>
      <c r="B141" s="700" t="str">
        <f t="shared" si="5"/>
        <v>0395</v>
      </c>
      <c r="C141" s="700">
        <v>130</v>
      </c>
      <c r="D141" s="701">
        <v>0.67</v>
      </c>
      <c r="E141" s="701"/>
      <c r="F141" s="701"/>
      <c r="G141" s="705">
        <v>395</v>
      </c>
      <c r="H141" s="705" t="str">
        <f t="shared" si="6"/>
        <v>0395</v>
      </c>
      <c r="I141" s="705">
        <v>300</v>
      </c>
      <c r="J141" s="701">
        <v>10.49</v>
      </c>
    </row>
    <row r="142" spans="1:10" ht="12.75" x14ac:dyDescent="0.2">
      <c r="A142" s="700">
        <v>395</v>
      </c>
      <c r="B142" s="700" t="str">
        <f t="shared" si="5"/>
        <v>0395</v>
      </c>
      <c r="C142" s="700">
        <v>300</v>
      </c>
      <c r="D142" s="701">
        <v>10.64</v>
      </c>
      <c r="E142" s="701"/>
      <c r="F142" s="701"/>
      <c r="G142" s="705">
        <v>421</v>
      </c>
      <c r="H142" s="705" t="str">
        <f t="shared" si="6"/>
        <v>0421</v>
      </c>
      <c r="I142" s="705">
        <v>101</v>
      </c>
      <c r="J142" s="701">
        <v>60.46</v>
      </c>
    </row>
    <row r="143" spans="1:10" ht="12.75" x14ac:dyDescent="0.2">
      <c r="A143" s="700">
        <v>421</v>
      </c>
      <c r="B143" s="700" t="str">
        <f t="shared" si="5"/>
        <v>0421</v>
      </c>
      <c r="C143" s="700">
        <v>101</v>
      </c>
      <c r="D143" s="701">
        <v>65.05</v>
      </c>
      <c r="E143" s="701"/>
      <c r="F143" s="701"/>
      <c r="G143" s="705">
        <v>421</v>
      </c>
      <c r="H143" s="705" t="str">
        <f t="shared" si="6"/>
        <v>0421</v>
      </c>
      <c r="I143" s="705">
        <v>102</v>
      </c>
      <c r="J143" s="701">
        <v>21.46</v>
      </c>
    </row>
    <row r="144" spans="1:10" ht="12.75" x14ac:dyDescent="0.2">
      <c r="A144" s="700">
        <v>421</v>
      </c>
      <c r="B144" s="700" t="str">
        <f t="shared" si="5"/>
        <v>0421</v>
      </c>
      <c r="C144" s="700">
        <v>102</v>
      </c>
      <c r="D144" s="701">
        <v>21.46</v>
      </c>
      <c r="E144" s="701"/>
      <c r="F144" s="701"/>
      <c r="G144" s="705">
        <v>421</v>
      </c>
      <c r="H144" s="705" t="str">
        <f t="shared" si="6"/>
        <v>0421</v>
      </c>
      <c r="I144" s="705">
        <v>111</v>
      </c>
      <c r="J144" s="701">
        <v>39.5</v>
      </c>
    </row>
    <row r="145" spans="1:10" ht="12.75" x14ac:dyDescent="0.2">
      <c r="A145" s="700">
        <v>421</v>
      </c>
      <c r="B145" s="700" t="str">
        <f t="shared" si="5"/>
        <v>0421</v>
      </c>
      <c r="C145" s="700">
        <v>111</v>
      </c>
      <c r="D145" s="701">
        <v>35.5</v>
      </c>
      <c r="E145" s="701"/>
      <c r="F145" s="701"/>
      <c r="G145" s="705">
        <v>421</v>
      </c>
      <c r="H145" s="705" t="str">
        <f t="shared" si="6"/>
        <v>0421</v>
      </c>
      <c r="I145" s="705">
        <v>112</v>
      </c>
      <c r="J145" s="701">
        <v>36</v>
      </c>
    </row>
    <row r="146" spans="1:10" ht="12.75" x14ac:dyDescent="0.2">
      <c r="A146" s="700">
        <v>421</v>
      </c>
      <c r="B146" s="700" t="str">
        <f t="shared" si="5"/>
        <v>0421</v>
      </c>
      <c r="C146" s="700">
        <v>112</v>
      </c>
      <c r="D146" s="701">
        <v>36.5</v>
      </c>
      <c r="E146" s="701"/>
      <c r="F146" s="701"/>
      <c r="G146" s="705">
        <v>421</v>
      </c>
      <c r="H146" s="705" t="str">
        <f t="shared" si="6"/>
        <v>0421</v>
      </c>
      <c r="I146" s="705">
        <v>130</v>
      </c>
      <c r="J146" s="701">
        <v>11.03</v>
      </c>
    </row>
    <row r="147" spans="1:10" ht="12.75" x14ac:dyDescent="0.2">
      <c r="A147" s="700">
        <v>421</v>
      </c>
      <c r="B147" s="700" t="str">
        <f t="shared" si="5"/>
        <v>0421</v>
      </c>
      <c r="C147" s="700">
        <v>130</v>
      </c>
      <c r="D147" s="701">
        <v>11.47</v>
      </c>
      <c r="E147" s="701"/>
      <c r="F147" s="701"/>
      <c r="G147" s="705">
        <v>481</v>
      </c>
      <c r="H147" s="705" t="str">
        <f t="shared" si="6"/>
        <v>0481</v>
      </c>
      <c r="I147" s="705">
        <v>101</v>
      </c>
      <c r="J147" s="701">
        <v>75.37</v>
      </c>
    </row>
    <row r="148" spans="1:10" ht="12.75" x14ac:dyDescent="0.2">
      <c r="A148" s="700">
        <v>481</v>
      </c>
      <c r="B148" s="700" t="str">
        <f t="shared" si="5"/>
        <v>0481</v>
      </c>
      <c r="C148" s="700">
        <v>101</v>
      </c>
      <c r="D148" s="701">
        <v>76.03</v>
      </c>
      <c r="E148" s="701"/>
      <c r="F148" s="701"/>
      <c r="G148" s="705">
        <v>481</v>
      </c>
      <c r="H148" s="705" t="str">
        <f t="shared" si="6"/>
        <v>0481</v>
      </c>
      <c r="I148" s="705">
        <v>102</v>
      </c>
      <c r="J148" s="701">
        <v>46.36</v>
      </c>
    </row>
    <row r="149" spans="1:10" ht="12.75" x14ac:dyDescent="0.2">
      <c r="A149" s="700">
        <v>481</v>
      </c>
      <c r="B149" s="700" t="str">
        <f t="shared" si="5"/>
        <v>0481</v>
      </c>
      <c r="C149" s="700">
        <v>102</v>
      </c>
      <c r="D149" s="701">
        <v>46.3</v>
      </c>
      <c r="E149" s="701"/>
      <c r="F149" s="701"/>
      <c r="G149" s="705">
        <v>481</v>
      </c>
      <c r="H149" s="705" t="str">
        <f t="shared" si="6"/>
        <v>0481</v>
      </c>
      <c r="I149" s="705">
        <v>111</v>
      </c>
      <c r="J149" s="701">
        <v>32.03</v>
      </c>
    </row>
    <row r="150" spans="1:10" ht="12.75" x14ac:dyDescent="0.2">
      <c r="A150" s="700">
        <v>481</v>
      </c>
      <c r="B150" s="700" t="str">
        <f t="shared" si="5"/>
        <v>0481</v>
      </c>
      <c r="C150" s="700">
        <v>111</v>
      </c>
      <c r="D150" s="701">
        <v>30.55</v>
      </c>
      <c r="E150" s="701"/>
      <c r="F150" s="701"/>
      <c r="G150" s="705">
        <v>481</v>
      </c>
      <c r="H150" s="705" t="str">
        <f t="shared" si="6"/>
        <v>0481</v>
      </c>
      <c r="I150" s="705">
        <v>112</v>
      </c>
      <c r="J150" s="701">
        <v>22.98</v>
      </c>
    </row>
    <row r="151" spans="1:10" ht="12.75" x14ac:dyDescent="0.2">
      <c r="A151" s="700">
        <v>481</v>
      </c>
      <c r="B151" s="700" t="str">
        <f t="shared" si="5"/>
        <v>0481</v>
      </c>
      <c r="C151" s="700">
        <v>112</v>
      </c>
      <c r="D151" s="701">
        <v>22.02</v>
      </c>
      <c r="E151" s="701"/>
      <c r="F151" s="701"/>
      <c r="G151" s="705">
        <v>481</v>
      </c>
      <c r="H151" s="705" t="str">
        <f t="shared" si="6"/>
        <v>0481</v>
      </c>
      <c r="I151" s="705">
        <v>130</v>
      </c>
      <c r="J151" s="701">
        <v>175.17</v>
      </c>
    </row>
    <row r="152" spans="1:10" ht="12.75" x14ac:dyDescent="0.2">
      <c r="A152" s="700">
        <v>481</v>
      </c>
      <c r="B152" s="700" t="str">
        <f t="shared" si="5"/>
        <v>0481</v>
      </c>
      <c r="C152" s="700">
        <v>130</v>
      </c>
      <c r="D152" s="701">
        <v>179.53</v>
      </c>
      <c r="E152" s="701"/>
      <c r="F152" s="701"/>
      <c r="G152" s="705">
        <v>481</v>
      </c>
      <c r="H152" s="705" t="str">
        <f t="shared" si="6"/>
        <v>0481</v>
      </c>
      <c r="I152" s="705">
        <v>254</v>
      </c>
      <c r="J152" s="701">
        <v>0</v>
      </c>
    </row>
    <row r="153" spans="1:10" ht="12.75" x14ac:dyDescent="0.2">
      <c r="A153" s="700">
        <v>481</v>
      </c>
      <c r="B153" s="700" t="str">
        <f t="shared" si="5"/>
        <v>0481</v>
      </c>
      <c r="C153" s="700">
        <v>254</v>
      </c>
      <c r="D153" s="701">
        <v>0.5</v>
      </c>
      <c r="E153" s="701"/>
      <c r="F153" s="701"/>
      <c r="G153" s="705">
        <v>531</v>
      </c>
      <c r="H153" s="705" t="str">
        <f t="shared" si="6"/>
        <v>0531</v>
      </c>
      <c r="I153" s="705">
        <v>101</v>
      </c>
      <c r="J153" s="701">
        <v>52.08</v>
      </c>
    </row>
    <row r="154" spans="1:10" ht="12.75" x14ac:dyDescent="0.2">
      <c r="A154" s="700">
        <v>531</v>
      </c>
      <c r="B154" s="700" t="str">
        <f t="shared" si="5"/>
        <v>0531</v>
      </c>
      <c r="C154" s="700">
        <v>101</v>
      </c>
      <c r="D154" s="701">
        <v>52</v>
      </c>
      <c r="E154" s="701"/>
      <c r="F154" s="701"/>
      <c r="G154" s="705">
        <v>531</v>
      </c>
      <c r="H154" s="705" t="str">
        <f t="shared" si="6"/>
        <v>0531</v>
      </c>
      <c r="I154" s="705">
        <v>102</v>
      </c>
      <c r="J154" s="701">
        <v>32.15</v>
      </c>
    </row>
    <row r="155" spans="1:10" ht="12.75" x14ac:dyDescent="0.2">
      <c r="A155" s="700">
        <v>531</v>
      </c>
      <c r="B155" s="700" t="str">
        <f t="shared" si="5"/>
        <v>0531</v>
      </c>
      <c r="C155" s="700">
        <v>102</v>
      </c>
      <c r="D155" s="701">
        <v>33.590000000000003</v>
      </c>
      <c r="E155" s="701"/>
      <c r="F155" s="701"/>
      <c r="G155" s="705">
        <v>531</v>
      </c>
      <c r="H155" s="705" t="str">
        <f t="shared" si="6"/>
        <v>0531</v>
      </c>
      <c r="I155" s="705">
        <v>111</v>
      </c>
      <c r="J155" s="701">
        <v>49.03</v>
      </c>
    </row>
    <row r="156" spans="1:10" ht="12.75" x14ac:dyDescent="0.2">
      <c r="A156" s="700">
        <v>531</v>
      </c>
      <c r="B156" s="700" t="str">
        <f t="shared" si="5"/>
        <v>0531</v>
      </c>
      <c r="C156" s="700">
        <v>111</v>
      </c>
      <c r="D156" s="701">
        <v>47.5</v>
      </c>
      <c r="E156" s="701"/>
      <c r="F156" s="701"/>
      <c r="G156" s="705">
        <v>531</v>
      </c>
      <c r="H156" s="705" t="str">
        <f t="shared" si="6"/>
        <v>0531</v>
      </c>
      <c r="I156" s="705">
        <v>112</v>
      </c>
      <c r="J156" s="701">
        <v>26.5</v>
      </c>
    </row>
    <row r="157" spans="1:10" ht="12.75" x14ac:dyDescent="0.2">
      <c r="A157" s="700">
        <v>531</v>
      </c>
      <c r="B157" s="700" t="str">
        <f t="shared" si="5"/>
        <v>0531</v>
      </c>
      <c r="C157" s="700">
        <v>112</v>
      </c>
      <c r="D157" s="701">
        <v>25.5</v>
      </c>
      <c r="E157" s="701"/>
      <c r="F157" s="701"/>
      <c r="G157" s="705">
        <v>531</v>
      </c>
      <c r="H157" s="705" t="str">
        <f t="shared" si="6"/>
        <v>0531</v>
      </c>
      <c r="I157" s="705">
        <v>130</v>
      </c>
      <c r="J157" s="701">
        <v>70.78</v>
      </c>
    </row>
    <row r="158" spans="1:10" ht="12.75" x14ac:dyDescent="0.2">
      <c r="A158" s="700">
        <v>531</v>
      </c>
      <c r="B158" s="700" t="str">
        <f t="shared" si="5"/>
        <v>0531</v>
      </c>
      <c r="C158" s="700">
        <v>130</v>
      </c>
      <c r="D158" s="701">
        <v>74.88</v>
      </c>
      <c r="E158" s="701"/>
      <c r="F158" s="701"/>
      <c r="G158" s="705">
        <v>531</v>
      </c>
      <c r="H158" s="705" t="str">
        <f t="shared" si="6"/>
        <v>0531</v>
      </c>
      <c r="I158" s="705">
        <v>254</v>
      </c>
      <c r="J158" s="701">
        <v>2.5</v>
      </c>
    </row>
    <row r="159" spans="1:10" ht="12.75" x14ac:dyDescent="0.2">
      <c r="A159" s="700">
        <v>531</v>
      </c>
      <c r="B159" s="700" t="str">
        <f t="shared" si="5"/>
        <v>0531</v>
      </c>
      <c r="C159" s="700">
        <v>254</v>
      </c>
      <c r="D159" s="701">
        <v>3.5</v>
      </c>
      <c r="E159" s="701"/>
      <c r="F159" s="701"/>
      <c r="G159" s="705">
        <v>541</v>
      </c>
      <c r="H159" s="705" t="str">
        <f t="shared" si="6"/>
        <v>0541</v>
      </c>
      <c r="I159" s="705">
        <v>102</v>
      </c>
      <c r="J159" s="701">
        <v>326.04000000000002</v>
      </c>
    </row>
    <row r="160" spans="1:10" ht="12.75" x14ac:dyDescent="0.2">
      <c r="A160" s="700">
        <v>541</v>
      </c>
      <c r="B160" s="700" t="str">
        <f t="shared" si="5"/>
        <v>0541</v>
      </c>
      <c r="C160" s="700">
        <v>102</v>
      </c>
      <c r="D160" s="701">
        <v>330.81</v>
      </c>
      <c r="E160" s="701"/>
      <c r="F160" s="701"/>
      <c r="G160" s="705">
        <v>541</v>
      </c>
      <c r="H160" s="705" t="str">
        <f t="shared" si="6"/>
        <v>0541</v>
      </c>
      <c r="I160" s="705">
        <v>112</v>
      </c>
      <c r="J160" s="701">
        <v>136.35</v>
      </c>
    </row>
    <row r="161" spans="1:10" ht="12.75" x14ac:dyDescent="0.2">
      <c r="A161" s="700">
        <v>541</v>
      </c>
      <c r="B161" s="700" t="str">
        <f t="shared" si="5"/>
        <v>0541</v>
      </c>
      <c r="C161" s="700">
        <v>112</v>
      </c>
      <c r="D161" s="701">
        <v>133.22</v>
      </c>
      <c r="E161" s="701"/>
      <c r="F161" s="701"/>
      <c r="G161" s="705">
        <v>541</v>
      </c>
      <c r="H161" s="705" t="str">
        <f t="shared" si="6"/>
        <v>0541</v>
      </c>
      <c r="I161" s="705">
        <v>130</v>
      </c>
      <c r="J161" s="701">
        <v>57.26</v>
      </c>
    </row>
    <row r="162" spans="1:10" ht="12.75" x14ac:dyDescent="0.2">
      <c r="A162" s="700">
        <v>541</v>
      </c>
      <c r="B162" s="700" t="str">
        <f t="shared" si="5"/>
        <v>0541</v>
      </c>
      <c r="C162" s="700">
        <v>130</v>
      </c>
      <c r="D162" s="701">
        <v>59.13</v>
      </c>
      <c r="E162" s="701"/>
      <c r="F162" s="701"/>
      <c r="G162" s="705">
        <v>541</v>
      </c>
      <c r="H162" s="705" t="str">
        <f t="shared" si="6"/>
        <v>0541</v>
      </c>
      <c r="I162" s="705">
        <v>254</v>
      </c>
      <c r="J162" s="701">
        <v>1.5</v>
      </c>
    </row>
    <row r="163" spans="1:10" ht="12.75" x14ac:dyDescent="0.2">
      <c r="A163" s="700">
        <v>541</v>
      </c>
      <c r="B163" s="700" t="str">
        <f t="shared" si="5"/>
        <v>0541</v>
      </c>
      <c r="C163" s="700">
        <v>254</v>
      </c>
      <c r="D163" s="701">
        <v>1.5</v>
      </c>
      <c r="E163" s="701"/>
      <c r="F163" s="701"/>
      <c r="G163" s="705">
        <v>541</v>
      </c>
      <c r="H163" s="705" t="str">
        <f t="shared" si="6"/>
        <v>0541</v>
      </c>
      <c r="I163" s="705">
        <v>255</v>
      </c>
      <c r="J163" s="701">
        <v>1</v>
      </c>
    </row>
    <row r="164" spans="1:10" ht="12.75" x14ac:dyDescent="0.2">
      <c r="A164" s="700">
        <v>541</v>
      </c>
      <c r="B164" s="700" t="str">
        <f t="shared" si="5"/>
        <v>0541</v>
      </c>
      <c r="C164" s="700">
        <v>255</v>
      </c>
      <c r="D164" s="701">
        <v>1</v>
      </c>
      <c r="E164" s="701"/>
      <c r="F164" s="701"/>
      <c r="G164" s="705">
        <v>561</v>
      </c>
      <c r="H164" s="705" t="str">
        <f t="shared" si="6"/>
        <v>0561</v>
      </c>
      <c r="I164" s="705">
        <v>101</v>
      </c>
      <c r="J164" s="701">
        <v>65.760000000000005</v>
      </c>
    </row>
    <row r="165" spans="1:10" ht="12.75" x14ac:dyDescent="0.2">
      <c r="A165" s="700">
        <v>561</v>
      </c>
      <c r="B165" s="700" t="str">
        <f t="shared" si="5"/>
        <v>0561</v>
      </c>
      <c r="C165" s="700">
        <v>101</v>
      </c>
      <c r="D165" s="701">
        <v>63.5</v>
      </c>
      <c r="E165" s="701"/>
      <c r="F165" s="701"/>
      <c r="G165" s="705">
        <v>561</v>
      </c>
      <c r="H165" s="705" t="str">
        <f t="shared" si="6"/>
        <v>0561</v>
      </c>
      <c r="I165" s="705">
        <v>102</v>
      </c>
      <c r="J165" s="701">
        <v>49.06</v>
      </c>
    </row>
    <row r="166" spans="1:10" ht="12.75" x14ac:dyDescent="0.2">
      <c r="A166" s="700">
        <v>561</v>
      </c>
      <c r="B166" s="700" t="str">
        <f t="shared" si="5"/>
        <v>0561</v>
      </c>
      <c r="C166" s="700">
        <v>102</v>
      </c>
      <c r="D166" s="701">
        <v>49.71</v>
      </c>
      <c r="E166" s="701"/>
      <c r="F166" s="701"/>
      <c r="G166" s="705">
        <v>561</v>
      </c>
      <c r="H166" s="705" t="str">
        <f t="shared" si="6"/>
        <v>0561</v>
      </c>
      <c r="I166" s="705">
        <v>111</v>
      </c>
      <c r="J166" s="701">
        <v>34.85</v>
      </c>
    </row>
    <row r="167" spans="1:10" ht="12.75" x14ac:dyDescent="0.2">
      <c r="A167" s="700">
        <v>561</v>
      </c>
      <c r="B167" s="700" t="str">
        <f t="shared" si="5"/>
        <v>0561</v>
      </c>
      <c r="C167" s="700">
        <v>111</v>
      </c>
      <c r="D167" s="701">
        <v>23.81</v>
      </c>
      <c r="E167" s="701"/>
      <c r="F167" s="701"/>
      <c r="G167" s="705">
        <v>561</v>
      </c>
      <c r="H167" s="705" t="str">
        <f t="shared" si="6"/>
        <v>0561</v>
      </c>
      <c r="I167" s="705">
        <v>112</v>
      </c>
      <c r="J167" s="701">
        <v>16.5</v>
      </c>
    </row>
    <row r="168" spans="1:10" ht="12.75" x14ac:dyDescent="0.2">
      <c r="A168" s="700">
        <v>561</v>
      </c>
      <c r="B168" s="700" t="str">
        <f t="shared" si="5"/>
        <v>0561</v>
      </c>
      <c r="C168" s="700">
        <v>112</v>
      </c>
      <c r="D168" s="701">
        <v>15.5</v>
      </c>
      <c r="E168" s="701"/>
      <c r="F168" s="701"/>
      <c r="G168" s="705">
        <v>561</v>
      </c>
      <c r="H168" s="705" t="str">
        <f t="shared" si="6"/>
        <v>0561</v>
      </c>
      <c r="I168" s="705">
        <v>130</v>
      </c>
      <c r="J168" s="701">
        <v>79.099999999999994</v>
      </c>
    </row>
    <row r="169" spans="1:10" ht="12.75" x14ac:dyDescent="0.2">
      <c r="A169" s="700">
        <v>561</v>
      </c>
      <c r="B169" s="700" t="str">
        <f t="shared" si="5"/>
        <v>0561</v>
      </c>
      <c r="C169" s="700">
        <v>130</v>
      </c>
      <c r="D169" s="701">
        <v>82.25</v>
      </c>
      <c r="E169" s="701"/>
      <c r="F169" s="701"/>
      <c r="G169" s="705">
        <v>561</v>
      </c>
      <c r="H169" s="705" t="str">
        <f t="shared" si="6"/>
        <v>0561</v>
      </c>
      <c r="I169" s="705">
        <v>254</v>
      </c>
      <c r="J169" s="701">
        <v>2.31</v>
      </c>
    </row>
    <row r="170" spans="1:10" ht="12.75" x14ac:dyDescent="0.2">
      <c r="A170" s="700">
        <v>561</v>
      </c>
      <c r="B170" s="700" t="str">
        <f t="shared" si="5"/>
        <v>0561</v>
      </c>
      <c r="C170" s="700">
        <v>254</v>
      </c>
      <c r="D170" s="701">
        <v>2</v>
      </c>
      <c r="E170" s="701"/>
      <c r="F170" s="701"/>
      <c r="G170" s="705">
        <v>561</v>
      </c>
      <c r="H170" s="705" t="str">
        <f t="shared" si="6"/>
        <v>0561</v>
      </c>
      <c r="I170" s="705">
        <v>255</v>
      </c>
      <c r="J170" s="701">
        <v>1.2</v>
      </c>
    </row>
    <row r="171" spans="1:10" ht="12.75" x14ac:dyDescent="0.2">
      <c r="A171" s="700">
        <v>561</v>
      </c>
      <c r="B171" s="700" t="str">
        <f t="shared" si="5"/>
        <v>0561</v>
      </c>
      <c r="C171" s="700">
        <v>255</v>
      </c>
      <c r="D171" s="701">
        <v>0.5</v>
      </c>
      <c r="E171" s="701"/>
      <c r="F171" s="701"/>
      <c r="G171" s="705">
        <v>571</v>
      </c>
      <c r="H171" s="705" t="str">
        <f t="shared" si="6"/>
        <v>0571</v>
      </c>
      <c r="I171" s="705">
        <v>102</v>
      </c>
      <c r="J171" s="701">
        <v>2.56</v>
      </c>
    </row>
    <row r="172" spans="1:10" ht="12.75" x14ac:dyDescent="0.2">
      <c r="A172" s="700">
        <v>571</v>
      </c>
      <c r="B172" s="700" t="str">
        <f t="shared" si="5"/>
        <v>0571</v>
      </c>
      <c r="C172" s="700">
        <v>102</v>
      </c>
      <c r="D172" s="701">
        <v>2.85</v>
      </c>
      <c r="E172" s="701"/>
      <c r="F172" s="701"/>
      <c r="G172" s="705">
        <v>571</v>
      </c>
      <c r="H172" s="705" t="str">
        <f t="shared" si="6"/>
        <v>0571</v>
      </c>
      <c r="I172" s="705">
        <v>103</v>
      </c>
      <c r="J172" s="701">
        <v>54.84</v>
      </c>
    </row>
    <row r="173" spans="1:10" ht="12.75" x14ac:dyDescent="0.2">
      <c r="A173" s="700">
        <v>571</v>
      </c>
      <c r="B173" s="700" t="str">
        <f t="shared" si="5"/>
        <v>0571</v>
      </c>
      <c r="C173" s="700">
        <v>103</v>
      </c>
      <c r="D173" s="701">
        <v>27.28</v>
      </c>
      <c r="E173" s="701"/>
      <c r="F173" s="701"/>
      <c r="G173" s="705">
        <v>571</v>
      </c>
      <c r="H173" s="705" t="str">
        <f t="shared" si="6"/>
        <v>0571</v>
      </c>
      <c r="I173" s="705">
        <v>112</v>
      </c>
      <c r="J173" s="701">
        <v>0.48</v>
      </c>
    </row>
    <row r="174" spans="1:10" ht="12.75" x14ac:dyDescent="0.2">
      <c r="A174" s="700">
        <v>571</v>
      </c>
      <c r="B174" s="700" t="str">
        <f t="shared" si="5"/>
        <v>0571</v>
      </c>
      <c r="C174" s="700">
        <v>112</v>
      </c>
      <c r="D174" s="701">
        <v>0.46</v>
      </c>
      <c r="E174" s="701"/>
      <c r="F174" s="701"/>
      <c r="G174" s="705">
        <v>571</v>
      </c>
      <c r="H174" s="705" t="str">
        <f t="shared" si="6"/>
        <v>0571</v>
      </c>
      <c r="I174" s="705">
        <v>113</v>
      </c>
      <c r="J174" s="701">
        <v>20.6</v>
      </c>
    </row>
    <row r="175" spans="1:10" ht="12.75" x14ac:dyDescent="0.2">
      <c r="A175" s="700">
        <v>571</v>
      </c>
      <c r="B175" s="700" t="str">
        <f t="shared" si="5"/>
        <v>0571</v>
      </c>
      <c r="C175" s="700">
        <v>113</v>
      </c>
      <c r="D175" s="701">
        <v>9.43</v>
      </c>
      <c r="E175" s="701"/>
      <c r="F175" s="701"/>
      <c r="G175" s="705">
        <v>571</v>
      </c>
      <c r="H175" s="705" t="str">
        <f t="shared" si="6"/>
        <v>0571</v>
      </c>
      <c r="I175" s="705">
        <v>130</v>
      </c>
      <c r="J175" s="701">
        <v>5.25</v>
      </c>
    </row>
    <row r="176" spans="1:10" ht="12.75" x14ac:dyDescent="0.2">
      <c r="A176" s="700">
        <v>571</v>
      </c>
      <c r="B176" s="700" t="str">
        <f t="shared" si="5"/>
        <v>0571</v>
      </c>
      <c r="C176" s="700">
        <v>130</v>
      </c>
      <c r="D176" s="701">
        <v>1.49</v>
      </c>
      <c r="E176" s="701"/>
      <c r="F176" s="701"/>
      <c r="G176" s="705">
        <v>571</v>
      </c>
      <c r="H176" s="705" t="str">
        <f t="shared" si="6"/>
        <v>0571</v>
      </c>
      <c r="I176" s="705">
        <v>300</v>
      </c>
      <c r="J176" s="701">
        <v>0.76</v>
      </c>
    </row>
    <row r="177" spans="1:10" ht="12.75" x14ac:dyDescent="0.2">
      <c r="A177" s="700">
        <v>571</v>
      </c>
      <c r="B177" s="700" t="str">
        <f t="shared" si="5"/>
        <v>0571</v>
      </c>
      <c r="C177" s="700">
        <v>300</v>
      </c>
      <c r="D177" s="701">
        <v>0</v>
      </c>
      <c r="E177" s="701"/>
      <c r="F177" s="701"/>
      <c r="G177" s="705">
        <v>572</v>
      </c>
      <c r="H177" s="705" t="str">
        <f t="shared" si="6"/>
        <v>0572</v>
      </c>
      <c r="I177" s="705">
        <v>101</v>
      </c>
      <c r="J177" s="701">
        <v>93.83</v>
      </c>
    </row>
    <row r="178" spans="1:10" ht="12.75" x14ac:dyDescent="0.2">
      <c r="A178" s="700">
        <v>572</v>
      </c>
      <c r="B178" s="700" t="str">
        <f t="shared" si="5"/>
        <v>0572</v>
      </c>
      <c r="C178" s="700">
        <v>101</v>
      </c>
      <c r="D178" s="701">
        <v>97.81</v>
      </c>
      <c r="E178" s="701"/>
      <c r="F178" s="701"/>
      <c r="G178" s="705">
        <v>572</v>
      </c>
      <c r="H178" s="705" t="str">
        <f t="shared" si="6"/>
        <v>0572</v>
      </c>
      <c r="I178" s="705">
        <v>102</v>
      </c>
      <c r="J178" s="701">
        <v>29.86</v>
      </c>
    </row>
    <row r="179" spans="1:10" ht="12.75" x14ac:dyDescent="0.2">
      <c r="A179" s="700">
        <v>572</v>
      </c>
      <c r="B179" s="700" t="str">
        <f t="shared" si="5"/>
        <v>0572</v>
      </c>
      <c r="C179" s="700">
        <v>102</v>
      </c>
      <c r="D179" s="701">
        <v>30.04</v>
      </c>
      <c r="E179" s="701"/>
      <c r="F179" s="701"/>
      <c r="G179" s="705">
        <v>572</v>
      </c>
      <c r="H179" s="705" t="str">
        <f t="shared" si="6"/>
        <v>0572</v>
      </c>
      <c r="I179" s="705">
        <v>111</v>
      </c>
      <c r="J179" s="701">
        <v>54.84</v>
      </c>
    </row>
    <row r="180" spans="1:10" ht="12.75" x14ac:dyDescent="0.2">
      <c r="A180" s="700">
        <v>572</v>
      </c>
      <c r="B180" s="700" t="str">
        <f t="shared" si="5"/>
        <v>0572</v>
      </c>
      <c r="C180" s="700">
        <v>111</v>
      </c>
      <c r="D180" s="701">
        <v>47.19</v>
      </c>
      <c r="E180" s="701"/>
      <c r="F180" s="701"/>
      <c r="G180" s="705">
        <v>572</v>
      </c>
      <c r="H180" s="705" t="str">
        <f t="shared" si="6"/>
        <v>0572</v>
      </c>
      <c r="I180" s="705">
        <v>112</v>
      </c>
      <c r="J180" s="701">
        <v>35.5</v>
      </c>
    </row>
    <row r="181" spans="1:10" ht="12.75" x14ac:dyDescent="0.2">
      <c r="A181" s="700">
        <v>572</v>
      </c>
      <c r="B181" s="700" t="str">
        <f t="shared" si="5"/>
        <v>0572</v>
      </c>
      <c r="C181" s="700">
        <v>112</v>
      </c>
      <c r="D181" s="701">
        <v>34.479999999999997</v>
      </c>
      <c r="E181" s="701"/>
      <c r="F181" s="701"/>
      <c r="G181" s="705">
        <v>572</v>
      </c>
      <c r="H181" s="705" t="str">
        <f t="shared" si="6"/>
        <v>0572</v>
      </c>
      <c r="I181" s="705">
        <v>130</v>
      </c>
      <c r="J181" s="701">
        <v>45.28</v>
      </c>
    </row>
    <row r="182" spans="1:10" ht="12.75" x14ac:dyDescent="0.2">
      <c r="A182" s="700">
        <v>572</v>
      </c>
      <c r="B182" s="700" t="str">
        <f t="shared" si="5"/>
        <v>0572</v>
      </c>
      <c r="C182" s="700">
        <v>130</v>
      </c>
      <c r="D182" s="701">
        <v>46.11</v>
      </c>
      <c r="E182" s="701"/>
      <c r="F182" s="701"/>
      <c r="G182" s="705">
        <v>572</v>
      </c>
      <c r="H182" s="705" t="str">
        <f t="shared" si="6"/>
        <v>0572</v>
      </c>
      <c r="I182" s="705">
        <v>254</v>
      </c>
      <c r="J182" s="701">
        <v>0.5</v>
      </c>
    </row>
    <row r="183" spans="1:10" ht="12.75" x14ac:dyDescent="0.2">
      <c r="A183" s="700">
        <v>572</v>
      </c>
      <c r="B183" s="700" t="str">
        <f t="shared" si="5"/>
        <v>0572</v>
      </c>
      <c r="C183" s="700">
        <v>254</v>
      </c>
      <c r="D183" s="701">
        <v>0</v>
      </c>
      <c r="E183" s="701"/>
      <c r="F183" s="701"/>
      <c r="G183" s="705">
        <v>581</v>
      </c>
      <c r="H183" s="705" t="str">
        <f t="shared" si="6"/>
        <v>0581</v>
      </c>
      <c r="I183" s="705">
        <v>103</v>
      </c>
      <c r="J183" s="701">
        <v>558.64</v>
      </c>
    </row>
    <row r="184" spans="1:10" ht="12.75" x14ac:dyDescent="0.2">
      <c r="A184" s="700">
        <v>581</v>
      </c>
      <c r="B184" s="700" t="str">
        <f t="shared" si="5"/>
        <v>0581</v>
      </c>
      <c r="C184" s="700">
        <v>103</v>
      </c>
      <c r="D184" s="701">
        <v>570.14</v>
      </c>
      <c r="E184" s="701"/>
      <c r="F184" s="701"/>
      <c r="G184" s="705">
        <v>581</v>
      </c>
      <c r="H184" s="705" t="str">
        <f t="shared" si="6"/>
        <v>0581</v>
      </c>
      <c r="I184" s="705">
        <v>113</v>
      </c>
      <c r="J184" s="701">
        <v>137.06</v>
      </c>
    </row>
    <row r="185" spans="1:10" ht="12.75" x14ac:dyDescent="0.2">
      <c r="A185" s="700">
        <v>581</v>
      </c>
      <c r="B185" s="700" t="str">
        <f t="shared" si="5"/>
        <v>0581</v>
      </c>
      <c r="C185" s="700">
        <v>113</v>
      </c>
      <c r="D185" s="701">
        <v>145.93</v>
      </c>
      <c r="E185" s="701"/>
      <c r="F185" s="701"/>
      <c r="G185" s="705">
        <v>581</v>
      </c>
      <c r="H185" s="705" t="str">
        <f t="shared" si="6"/>
        <v>0581</v>
      </c>
      <c r="I185" s="705">
        <v>130</v>
      </c>
      <c r="J185" s="701">
        <v>84.4</v>
      </c>
    </row>
    <row r="186" spans="1:10" ht="12.75" x14ac:dyDescent="0.2">
      <c r="A186" s="700">
        <v>581</v>
      </c>
      <c r="B186" s="700" t="str">
        <f t="shared" si="5"/>
        <v>0581</v>
      </c>
      <c r="C186" s="700">
        <v>130</v>
      </c>
      <c r="D186" s="701">
        <v>98.79</v>
      </c>
      <c r="E186" s="701"/>
      <c r="F186" s="701"/>
      <c r="G186" s="705">
        <v>581</v>
      </c>
      <c r="H186" s="705" t="str">
        <f t="shared" si="6"/>
        <v>0581</v>
      </c>
      <c r="I186" s="705">
        <v>254</v>
      </c>
      <c r="J186" s="701">
        <v>1</v>
      </c>
    </row>
    <row r="187" spans="1:10" ht="12.75" x14ac:dyDescent="0.2">
      <c r="A187" s="700">
        <v>581</v>
      </c>
      <c r="B187" s="700" t="str">
        <f t="shared" si="5"/>
        <v>0581</v>
      </c>
      <c r="C187" s="700">
        <v>254</v>
      </c>
      <c r="D187" s="701">
        <v>0.5</v>
      </c>
      <c r="E187" s="701"/>
      <c r="F187" s="701"/>
      <c r="G187" s="705">
        <v>581</v>
      </c>
      <c r="H187" s="705" t="str">
        <f t="shared" si="6"/>
        <v>0581</v>
      </c>
      <c r="I187" s="705">
        <v>255</v>
      </c>
      <c r="J187" s="701">
        <v>1</v>
      </c>
    </row>
    <row r="188" spans="1:10" ht="12.75" x14ac:dyDescent="0.2">
      <c r="A188" s="700">
        <v>581</v>
      </c>
      <c r="B188" s="700" t="str">
        <f t="shared" si="5"/>
        <v>0581</v>
      </c>
      <c r="C188" s="700">
        <v>255</v>
      </c>
      <c r="D188" s="701">
        <v>1</v>
      </c>
      <c r="E188" s="701"/>
      <c r="F188" s="701"/>
      <c r="G188" s="705">
        <v>581</v>
      </c>
      <c r="H188" s="705" t="str">
        <f t="shared" si="6"/>
        <v>0581</v>
      </c>
      <c r="I188" s="705">
        <v>300</v>
      </c>
      <c r="J188" s="701">
        <v>55.6</v>
      </c>
    </row>
    <row r="189" spans="1:10" ht="12.75" x14ac:dyDescent="0.2">
      <c r="A189" s="700">
        <v>581</v>
      </c>
      <c r="B189" s="700" t="str">
        <f t="shared" si="5"/>
        <v>0581</v>
      </c>
      <c r="C189" s="700">
        <v>300</v>
      </c>
      <c r="D189" s="701">
        <v>59.71</v>
      </c>
      <c r="E189" s="701"/>
      <c r="F189" s="701"/>
      <c r="G189" s="705">
        <v>591</v>
      </c>
      <c r="H189" s="705" t="str">
        <f t="shared" si="6"/>
        <v>0591</v>
      </c>
      <c r="I189" s="705">
        <v>101</v>
      </c>
      <c r="J189" s="701">
        <v>105.61</v>
      </c>
    </row>
    <row r="190" spans="1:10" ht="12.75" x14ac:dyDescent="0.2">
      <c r="A190" s="700">
        <v>591</v>
      </c>
      <c r="B190" s="700" t="str">
        <f t="shared" si="5"/>
        <v>0591</v>
      </c>
      <c r="C190" s="700">
        <v>101</v>
      </c>
      <c r="D190" s="701">
        <v>106</v>
      </c>
      <c r="E190" s="701"/>
      <c r="F190" s="701"/>
      <c r="G190" s="705">
        <v>591</v>
      </c>
      <c r="H190" s="705" t="str">
        <f t="shared" si="6"/>
        <v>0591</v>
      </c>
      <c r="I190" s="705">
        <v>102</v>
      </c>
      <c r="J190" s="701">
        <v>75.569999999999993</v>
      </c>
    </row>
    <row r="191" spans="1:10" ht="12.75" x14ac:dyDescent="0.2">
      <c r="A191" s="700">
        <v>591</v>
      </c>
      <c r="B191" s="700" t="str">
        <f t="shared" si="5"/>
        <v>0591</v>
      </c>
      <c r="C191" s="700">
        <v>102</v>
      </c>
      <c r="D191" s="701">
        <v>75.03</v>
      </c>
      <c r="E191" s="701"/>
      <c r="F191" s="701"/>
      <c r="G191" s="705">
        <v>591</v>
      </c>
      <c r="H191" s="705" t="str">
        <f t="shared" si="6"/>
        <v>0591</v>
      </c>
      <c r="I191" s="705">
        <v>111</v>
      </c>
      <c r="J191" s="701">
        <v>61.88</v>
      </c>
    </row>
    <row r="192" spans="1:10" ht="12.75" x14ac:dyDescent="0.2">
      <c r="A192" s="700">
        <v>591</v>
      </c>
      <c r="B192" s="700" t="str">
        <f t="shared" si="5"/>
        <v>0591</v>
      </c>
      <c r="C192" s="700">
        <v>111</v>
      </c>
      <c r="D192" s="701">
        <v>55.7</v>
      </c>
      <c r="E192" s="701"/>
      <c r="F192" s="701"/>
      <c r="G192" s="705">
        <v>591</v>
      </c>
      <c r="H192" s="705" t="str">
        <f t="shared" si="6"/>
        <v>0591</v>
      </c>
      <c r="I192" s="705">
        <v>112</v>
      </c>
      <c r="J192" s="701">
        <v>21.5</v>
      </c>
    </row>
    <row r="193" spans="1:10" ht="12.75" x14ac:dyDescent="0.2">
      <c r="A193" s="700">
        <v>591</v>
      </c>
      <c r="B193" s="700" t="str">
        <f t="shared" si="5"/>
        <v>0591</v>
      </c>
      <c r="C193" s="700">
        <v>112</v>
      </c>
      <c r="D193" s="701">
        <v>21.5</v>
      </c>
      <c r="E193" s="701"/>
      <c r="F193" s="701"/>
      <c r="G193" s="705">
        <v>591</v>
      </c>
      <c r="H193" s="705" t="str">
        <f t="shared" si="6"/>
        <v>0591</v>
      </c>
      <c r="I193" s="705">
        <v>130</v>
      </c>
      <c r="J193" s="701">
        <v>91.79</v>
      </c>
    </row>
    <row r="194" spans="1:10" ht="12.75" x14ac:dyDescent="0.2">
      <c r="A194" s="700">
        <v>591</v>
      </c>
      <c r="B194" s="700" t="str">
        <f t="shared" ref="B194:B257" si="7">TEXT(A194,"0000")</f>
        <v>0591</v>
      </c>
      <c r="C194" s="700">
        <v>130</v>
      </c>
      <c r="D194" s="701">
        <v>93.85</v>
      </c>
      <c r="E194" s="701"/>
      <c r="F194" s="701"/>
      <c r="G194" s="705">
        <v>591</v>
      </c>
      <c r="H194" s="705" t="str">
        <f t="shared" si="6"/>
        <v>0591</v>
      </c>
      <c r="I194" s="705">
        <v>254</v>
      </c>
      <c r="J194" s="701">
        <v>5.63</v>
      </c>
    </row>
    <row r="195" spans="1:10" ht="12.75" x14ac:dyDescent="0.2">
      <c r="A195" s="700">
        <v>591</v>
      </c>
      <c r="B195" s="700" t="str">
        <f t="shared" si="7"/>
        <v>0591</v>
      </c>
      <c r="C195" s="700">
        <v>254</v>
      </c>
      <c r="D195" s="701">
        <v>3.5</v>
      </c>
      <c r="E195" s="701"/>
      <c r="F195" s="701"/>
      <c r="G195" s="705">
        <v>591</v>
      </c>
      <c r="H195" s="705" t="str">
        <f t="shared" ref="H195:H258" si="8">TEXT(G195,"0000")</f>
        <v>0591</v>
      </c>
      <c r="I195" s="705">
        <v>255</v>
      </c>
      <c r="J195" s="701">
        <v>0.5</v>
      </c>
    </row>
    <row r="196" spans="1:10" ht="12.75" x14ac:dyDescent="0.2">
      <c r="A196" s="700">
        <v>591</v>
      </c>
      <c r="B196" s="700" t="str">
        <f t="shared" si="7"/>
        <v>0591</v>
      </c>
      <c r="C196" s="700">
        <v>255</v>
      </c>
      <c r="D196" s="701">
        <v>0.5</v>
      </c>
      <c r="E196" s="701"/>
      <c r="F196" s="701"/>
      <c r="G196" s="705">
        <v>601</v>
      </c>
      <c r="H196" s="705" t="str">
        <f t="shared" si="8"/>
        <v>0601</v>
      </c>
      <c r="I196" s="705">
        <v>101</v>
      </c>
      <c r="J196" s="701">
        <v>142.21</v>
      </c>
    </row>
    <row r="197" spans="1:10" ht="12.75" x14ac:dyDescent="0.2">
      <c r="A197" s="700">
        <v>601</v>
      </c>
      <c r="B197" s="700" t="str">
        <f t="shared" si="7"/>
        <v>0601</v>
      </c>
      <c r="C197" s="700">
        <v>101</v>
      </c>
      <c r="D197" s="701">
        <v>148.36000000000001</v>
      </c>
      <c r="E197" s="701"/>
      <c r="F197" s="701"/>
      <c r="G197" s="705">
        <v>601</v>
      </c>
      <c r="H197" s="705" t="str">
        <f t="shared" si="8"/>
        <v>0601</v>
      </c>
      <c r="I197" s="705">
        <v>102</v>
      </c>
      <c r="J197" s="701">
        <v>105.27</v>
      </c>
    </row>
    <row r="198" spans="1:10" ht="12.75" x14ac:dyDescent="0.2">
      <c r="A198" s="700">
        <v>601</v>
      </c>
      <c r="B198" s="700" t="str">
        <f t="shared" si="7"/>
        <v>0601</v>
      </c>
      <c r="C198" s="700">
        <v>102</v>
      </c>
      <c r="D198" s="701">
        <v>105.98</v>
      </c>
      <c r="E198" s="701"/>
      <c r="F198" s="701"/>
      <c r="G198" s="705">
        <v>601</v>
      </c>
      <c r="H198" s="705" t="str">
        <f t="shared" si="8"/>
        <v>0601</v>
      </c>
      <c r="I198" s="705">
        <v>111</v>
      </c>
      <c r="J198" s="701">
        <v>49.59</v>
      </c>
    </row>
    <row r="199" spans="1:10" ht="12.75" x14ac:dyDescent="0.2">
      <c r="A199" s="700">
        <v>601</v>
      </c>
      <c r="B199" s="700" t="str">
        <f t="shared" si="7"/>
        <v>0601</v>
      </c>
      <c r="C199" s="700">
        <v>111</v>
      </c>
      <c r="D199" s="701">
        <v>44.05</v>
      </c>
      <c r="E199" s="701"/>
      <c r="F199" s="701"/>
      <c r="G199" s="705">
        <v>601</v>
      </c>
      <c r="H199" s="705" t="str">
        <f t="shared" si="8"/>
        <v>0601</v>
      </c>
      <c r="I199" s="705">
        <v>112</v>
      </c>
      <c r="J199" s="701">
        <v>23</v>
      </c>
    </row>
    <row r="200" spans="1:10" ht="12.75" x14ac:dyDescent="0.2">
      <c r="A200" s="700">
        <v>601</v>
      </c>
      <c r="B200" s="700" t="str">
        <f t="shared" si="7"/>
        <v>0601</v>
      </c>
      <c r="C200" s="700">
        <v>112</v>
      </c>
      <c r="D200" s="701">
        <v>23.51</v>
      </c>
      <c r="E200" s="701"/>
      <c r="F200" s="701"/>
      <c r="G200" s="705">
        <v>601</v>
      </c>
      <c r="H200" s="705" t="str">
        <f t="shared" si="8"/>
        <v>0601</v>
      </c>
      <c r="I200" s="705">
        <v>130</v>
      </c>
      <c r="J200" s="701">
        <v>183.26</v>
      </c>
    </row>
    <row r="201" spans="1:10" ht="12.75" x14ac:dyDescent="0.2">
      <c r="A201" s="700">
        <v>601</v>
      </c>
      <c r="B201" s="700" t="str">
        <f t="shared" si="7"/>
        <v>0601</v>
      </c>
      <c r="C201" s="700">
        <v>130</v>
      </c>
      <c r="D201" s="701">
        <v>188.36</v>
      </c>
      <c r="E201" s="701"/>
      <c r="F201" s="701"/>
      <c r="G201" s="705">
        <v>601</v>
      </c>
      <c r="H201" s="705" t="str">
        <f t="shared" si="8"/>
        <v>0601</v>
      </c>
      <c r="I201" s="705">
        <v>254</v>
      </c>
      <c r="J201" s="701">
        <v>1</v>
      </c>
    </row>
    <row r="202" spans="1:10" ht="12.75" x14ac:dyDescent="0.2">
      <c r="A202" s="700">
        <v>601</v>
      </c>
      <c r="B202" s="700" t="str">
        <f t="shared" si="7"/>
        <v>0601</v>
      </c>
      <c r="C202" s="700">
        <v>254</v>
      </c>
      <c r="D202" s="701">
        <v>1.5</v>
      </c>
      <c r="E202" s="701"/>
      <c r="F202" s="701"/>
      <c r="G202" s="705">
        <v>611</v>
      </c>
      <c r="H202" s="705" t="str">
        <f t="shared" si="8"/>
        <v>0611</v>
      </c>
      <c r="I202" s="705">
        <v>102</v>
      </c>
      <c r="J202" s="701">
        <v>427.33</v>
      </c>
    </row>
    <row r="203" spans="1:10" ht="12.75" x14ac:dyDescent="0.2">
      <c r="A203" s="700">
        <v>611</v>
      </c>
      <c r="B203" s="700" t="str">
        <f t="shared" si="7"/>
        <v>0611</v>
      </c>
      <c r="C203" s="700">
        <v>102</v>
      </c>
      <c r="D203" s="701">
        <v>430.43</v>
      </c>
      <c r="E203" s="701"/>
      <c r="F203" s="701"/>
      <c r="G203" s="705">
        <v>611</v>
      </c>
      <c r="H203" s="705" t="str">
        <f t="shared" si="8"/>
        <v>0611</v>
      </c>
      <c r="I203" s="705">
        <v>112</v>
      </c>
      <c r="J203" s="701">
        <v>119.27</v>
      </c>
    </row>
    <row r="204" spans="1:10" ht="12.75" x14ac:dyDescent="0.2">
      <c r="A204" s="700">
        <v>611</v>
      </c>
      <c r="B204" s="700" t="str">
        <f t="shared" si="7"/>
        <v>0611</v>
      </c>
      <c r="C204" s="700">
        <v>112</v>
      </c>
      <c r="D204" s="701">
        <v>120.32</v>
      </c>
      <c r="E204" s="701"/>
      <c r="F204" s="701"/>
      <c r="G204" s="705">
        <v>611</v>
      </c>
      <c r="H204" s="705" t="str">
        <f t="shared" si="8"/>
        <v>0611</v>
      </c>
      <c r="I204" s="705">
        <v>130</v>
      </c>
      <c r="J204" s="701">
        <v>93.47</v>
      </c>
    </row>
    <row r="205" spans="1:10" ht="12.75" x14ac:dyDescent="0.2">
      <c r="A205" s="700">
        <v>611</v>
      </c>
      <c r="B205" s="700" t="str">
        <f t="shared" si="7"/>
        <v>0611</v>
      </c>
      <c r="C205" s="700">
        <v>130</v>
      </c>
      <c r="D205" s="701">
        <v>96.27</v>
      </c>
      <c r="E205" s="701"/>
      <c r="F205" s="701"/>
      <c r="G205" s="705">
        <v>611</v>
      </c>
      <c r="H205" s="705" t="str">
        <f t="shared" si="8"/>
        <v>0611</v>
      </c>
      <c r="I205" s="705">
        <v>254</v>
      </c>
      <c r="J205" s="701">
        <v>0</v>
      </c>
    </row>
    <row r="206" spans="1:10" ht="12.75" x14ac:dyDescent="0.2">
      <c r="A206" s="700">
        <v>611</v>
      </c>
      <c r="B206" s="700" t="str">
        <f t="shared" si="7"/>
        <v>0611</v>
      </c>
      <c r="C206" s="700">
        <v>254</v>
      </c>
      <c r="D206" s="701">
        <v>1.01</v>
      </c>
      <c r="E206" s="701"/>
      <c r="F206" s="701"/>
      <c r="G206" s="705">
        <v>621</v>
      </c>
      <c r="H206" s="705" t="str">
        <f t="shared" si="8"/>
        <v>0621</v>
      </c>
      <c r="I206" s="705">
        <v>101</v>
      </c>
      <c r="J206" s="701">
        <v>110.76</v>
      </c>
    </row>
    <row r="207" spans="1:10" ht="12.75" x14ac:dyDescent="0.2">
      <c r="A207" s="700">
        <v>621</v>
      </c>
      <c r="B207" s="700" t="str">
        <f t="shared" si="7"/>
        <v>0621</v>
      </c>
      <c r="C207" s="700">
        <v>101</v>
      </c>
      <c r="D207" s="701">
        <v>109.23</v>
      </c>
      <c r="E207" s="701"/>
      <c r="F207" s="701"/>
      <c r="G207" s="705">
        <v>621</v>
      </c>
      <c r="H207" s="705" t="str">
        <f t="shared" si="8"/>
        <v>0621</v>
      </c>
      <c r="I207" s="705">
        <v>102</v>
      </c>
      <c r="J207" s="701">
        <v>72.41</v>
      </c>
    </row>
    <row r="208" spans="1:10" ht="12.75" x14ac:dyDescent="0.2">
      <c r="A208" s="700">
        <v>621</v>
      </c>
      <c r="B208" s="700" t="str">
        <f t="shared" si="7"/>
        <v>0621</v>
      </c>
      <c r="C208" s="700">
        <v>102</v>
      </c>
      <c r="D208" s="701">
        <v>74.760000000000005</v>
      </c>
      <c r="E208" s="701"/>
      <c r="F208" s="701"/>
      <c r="G208" s="705">
        <v>621</v>
      </c>
      <c r="H208" s="705" t="str">
        <f t="shared" si="8"/>
        <v>0621</v>
      </c>
      <c r="I208" s="705">
        <v>111</v>
      </c>
      <c r="J208" s="701">
        <v>64.209999999999994</v>
      </c>
    </row>
    <row r="209" spans="1:10" ht="12.75" x14ac:dyDescent="0.2">
      <c r="A209" s="700">
        <v>621</v>
      </c>
      <c r="B209" s="700" t="str">
        <f t="shared" si="7"/>
        <v>0621</v>
      </c>
      <c r="C209" s="700">
        <v>111</v>
      </c>
      <c r="D209" s="701">
        <v>58.06</v>
      </c>
      <c r="E209" s="701"/>
      <c r="F209" s="701"/>
      <c r="G209" s="705">
        <v>621</v>
      </c>
      <c r="H209" s="705" t="str">
        <f t="shared" si="8"/>
        <v>0621</v>
      </c>
      <c r="I209" s="705">
        <v>112</v>
      </c>
      <c r="J209" s="701">
        <v>33.49</v>
      </c>
    </row>
    <row r="210" spans="1:10" ht="12.75" x14ac:dyDescent="0.2">
      <c r="A210" s="700">
        <v>621</v>
      </c>
      <c r="B210" s="700" t="str">
        <f t="shared" si="7"/>
        <v>0621</v>
      </c>
      <c r="C210" s="700">
        <v>112</v>
      </c>
      <c r="D210" s="701">
        <v>29</v>
      </c>
      <c r="E210" s="701"/>
      <c r="F210" s="701"/>
      <c r="G210" s="705">
        <v>621</v>
      </c>
      <c r="H210" s="705" t="str">
        <f t="shared" si="8"/>
        <v>0621</v>
      </c>
      <c r="I210" s="705">
        <v>130</v>
      </c>
      <c r="J210" s="701">
        <v>179.72</v>
      </c>
    </row>
    <row r="211" spans="1:10" ht="12.75" x14ac:dyDescent="0.2">
      <c r="A211" s="700">
        <v>621</v>
      </c>
      <c r="B211" s="700" t="str">
        <f t="shared" si="7"/>
        <v>0621</v>
      </c>
      <c r="C211" s="700">
        <v>130</v>
      </c>
      <c r="D211" s="701">
        <v>181.3</v>
      </c>
      <c r="E211" s="701"/>
      <c r="F211" s="701"/>
      <c r="G211" s="705">
        <v>621</v>
      </c>
      <c r="H211" s="705" t="str">
        <f t="shared" si="8"/>
        <v>0621</v>
      </c>
      <c r="I211" s="705">
        <v>254</v>
      </c>
      <c r="J211" s="701">
        <v>2.5</v>
      </c>
    </row>
    <row r="212" spans="1:10" ht="12.75" x14ac:dyDescent="0.2">
      <c r="A212" s="700">
        <v>621</v>
      </c>
      <c r="B212" s="700" t="str">
        <f t="shared" si="7"/>
        <v>0621</v>
      </c>
      <c r="C212" s="700">
        <v>254</v>
      </c>
      <c r="D212" s="701">
        <v>2.5</v>
      </c>
      <c r="E212" s="701"/>
      <c r="F212" s="701"/>
      <c r="G212" s="705">
        <v>621</v>
      </c>
      <c r="H212" s="705" t="str">
        <f t="shared" si="8"/>
        <v>0621</v>
      </c>
      <c r="I212" s="705">
        <v>255</v>
      </c>
      <c r="J212" s="701">
        <v>0</v>
      </c>
    </row>
    <row r="213" spans="1:10" ht="12.75" x14ac:dyDescent="0.2">
      <c r="A213" s="700">
        <v>621</v>
      </c>
      <c r="B213" s="700" t="str">
        <f t="shared" si="7"/>
        <v>0621</v>
      </c>
      <c r="C213" s="700">
        <v>255</v>
      </c>
      <c r="D213" s="701">
        <v>0.5</v>
      </c>
      <c r="E213" s="701"/>
      <c r="F213" s="701"/>
      <c r="G213" s="705">
        <v>631</v>
      </c>
      <c r="H213" s="705" t="str">
        <f t="shared" si="8"/>
        <v>0631</v>
      </c>
      <c r="I213" s="705">
        <v>101</v>
      </c>
      <c r="J213" s="701">
        <v>89.73</v>
      </c>
    </row>
    <row r="214" spans="1:10" ht="12.75" x14ac:dyDescent="0.2">
      <c r="A214" s="700">
        <v>631</v>
      </c>
      <c r="B214" s="700" t="str">
        <f t="shared" si="7"/>
        <v>0631</v>
      </c>
      <c r="C214" s="700">
        <v>101</v>
      </c>
      <c r="D214" s="701">
        <v>90.09</v>
      </c>
      <c r="E214" s="701"/>
      <c r="F214" s="701"/>
      <c r="G214" s="705">
        <v>631</v>
      </c>
      <c r="H214" s="705" t="str">
        <f t="shared" si="8"/>
        <v>0631</v>
      </c>
      <c r="I214" s="705">
        <v>102</v>
      </c>
      <c r="J214" s="701">
        <v>62.64</v>
      </c>
    </row>
    <row r="215" spans="1:10" ht="12.75" x14ac:dyDescent="0.2">
      <c r="A215" s="700">
        <v>631</v>
      </c>
      <c r="B215" s="700" t="str">
        <f t="shared" si="7"/>
        <v>0631</v>
      </c>
      <c r="C215" s="700">
        <v>102</v>
      </c>
      <c r="D215" s="701">
        <v>62.94</v>
      </c>
      <c r="E215" s="701"/>
      <c r="F215" s="701"/>
      <c r="G215" s="705">
        <v>631</v>
      </c>
      <c r="H215" s="705" t="str">
        <f t="shared" si="8"/>
        <v>0631</v>
      </c>
      <c r="I215" s="705">
        <v>111</v>
      </c>
      <c r="J215" s="701">
        <v>46.39</v>
      </c>
    </row>
    <row r="216" spans="1:10" ht="12.75" x14ac:dyDescent="0.2">
      <c r="A216" s="700">
        <v>631</v>
      </c>
      <c r="B216" s="700" t="str">
        <f t="shared" si="7"/>
        <v>0631</v>
      </c>
      <c r="C216" s="700">
        <v>111</v>
      </c>
      <c r="D216" s="701">
        <v>46.82</v>
      </c>
      <c r="E216" s="701"/>
      <c r="F216" s="701"/>
      <c r="G216" s="705">
        <v>631</v>
      </c>
      <c r="H216" s="705" t="str">
        <f t="shared" si="8"/>
        <v>0631</v>
      </c>
      <c r="I216" s="705">
        <v>112</v>
      </c>
      <c r="J216" s="701">
        <v>27.94</v>
      </c>
    </row>
    <row r="217" spans="1:10" ht="12.75" x14ac:dyDescent="0.2">
      <c r="A217" s="700">
        <v>631</v>
      </c>
      <c r="B217" s="700" t="str">
        <f t="shared" si="7"/>
        <v>0631</v>
      </c>
      <c r="C217" s="700">
        <v>112</v>
      </c>
      <c r="D217" s="701">
        <v>27.57</v>
      </c>
      <c r="E217" s="701"/>
      <c r="F217" s="701"/>
      <c r="G217" s="705">
        <v>631</v>
      </c>
      <c r="H217" s="705" t="str">
        <f t="shared" si="8"/>
        <v>0631</v>
      </c>
      <c r="I217" s="705">
        <v>130</v>
      </c>
      <c r="J217" s="701">
        <v>128.12</v>
      </c>
    </row>
    <row r="218" spans="1:10" ht="12.75" x14ac:dyDescent="0.2">
      <c r="A218" s="700">
        <v>631</v>
      </c>
      <c r="B218" s="700" t="str">
        <f t="shared" si="7"/>
        <v>0631</v>
      </c>
      <c r="C218" s="700">
        <v>130</v>
      </c>
      <c r="D218" s="701">
        <v>128.81</v>
      </c>
      <c r="E218" s="701"/>
      <c r="F218" s="701"/>
      <c r="G218" s="705">
        <v>651</v>
      </c>
      <c r="H218" s="705" t="str">
        <f t="shared" si="8"/>
        <v>0651</v>
      </c>
      <c r="I218" s="705">
        <v>101</v>
      </c>
      <c r="J218" s="701">
        <v>129.24</v>
      </c>
    </row>
    <row r="219" spans="1:10" ht="12.75" x14ac:dyDescent="0.2">
      <c r="A219" s="700">
        <v>651</v>
      </c>
      <c r="B219" s="700" t="str">
        <f t="shared" si="7"/>
        <v>0651</v>
      </c>
      <c r="C219" s="700">
        <v>101</v>
      </c>
      <c r="D219" s="701">
        <v>131.85</v>
      </c>
      <c r="E219" s="701"/>
      <c r="F219" s="701"/>
      <c r="G219" s="705">
        <v>651</v>
      </c>
      <c r="H219" s="705" t="str">
        <f t="shared" si="8"/>
        <v>0651</v>
      </c>
      <c r="I219" s="705">
        <v>102</v>
      </c>
      <c r="J219" s="701">
        <v>79.930000000000007</v>
      </c>
    </row>
    <row r="220" spans="1:10" ht="12.75" x14ac:dyDescent="0.2">
      <c r="A220" s="700">
        <v>651</v>
      </c>
      <c r="B220" s="700" t="str">
        <f t="shared" si="7"/>
        <v>0651</v>
      </c>
      <c r="C220" s="700">
        <v>102</v>
      </c>
      <c r="D220" s="701">
        <v>77.709999999999994</v>
      </c>
      <c r="E220" s="701"/>
      <c r="F220" s="701"/>
      <c r="G220" s="705">
        <v>651</v>
      </c>
      <c r="H220" s="705" t="str">
        <f t="shared" si="8"/>
        <v>0651</v>
      </c>
      <c r="I220" s="705">
        <v>111</v>
      </c>
      <c r="J220" s="701">
        <v>49.24</v>
      </c>
    </row>
    <row r="221" spans="1:10" ht="12.75" x14ac:dyDescent="0.2">
      <c r="A221" s="700">
        <v>651</v>
      </c>
      <c r="B221" s="700" t="str">
        <f t="shared" si="7"/>
        <v>0651</v>
      </c>
      <c r="C221" s="700">
        <v>111</v>
      </c>
      <c r="D221" s="701">
        <v>49.89</v>
      </c>
      <c r="E221" s="701"/>
      <c r="F221" s="701"/>
      <c r="G221" s="705">
        <v>651</v>
      </c>
      <c r="H221" s="705" t="str">
        <f t="shared" si="8"/>
        <v>0651</v>
      </c>
      <c r="I221" s="705">
        <v>112</v>
      </c>
      <c r="J221" s="701">
        <v>36.46</v>
      </c>
    </row>
    <row r="222" spans="1:10" ht="12.75" x14ac:dyDescent="0.2">
      <c r="A222" s="700">
        <v>651</v>
      </c>
      <c r="B222" s="700" t="str">
        <f t="shared" si="7"/>
        <v>0651</v>
      </c>
      <c r="C222" s="700">
        <v>112</v>
      </c>
      <c r="D222" s="701">
        <v>35.03</v>
      </c>
      <c r="E222" s="701"/>
      <c r="F222" s="701"/>
      <c r="G222" s="705">
        <v>651</v>
      </c>
      <c r="H222" s="705" t="str">
        <f t="shared" si="8"/>
        <v>0651</v>
      </c>
      <c r="I222" s="705">
        <v>130</v>
      </c>
      <c r="J222" s="701">
        <v>197.33</v>
      </c>
    </row>
    <row r="223" spans="1:10" ht="12.75" x14ac:dyDescent="0.2">
      <c r="A223" s="700">
        <v>651</v>
      </c>
      <c r="B223" s="700" t="str">
        <f t="shared" si="7"/>
        <v>0651</v>
      </c>
      <c r="C223" s="700">
        <v>130</v>
      </c>
      <c r="D223" s="701">
        <v>202.84</v>
      </c>
      <c r="E223" s="701"/>
      <c r="F223" s="701"/>
      <c r="G223" s="705">
        <v>651</v>
      </c>
      <c r="H223" s="705" t="str">
        <f t="shared" si="8"/>
        <v>0651</v>
      </c>
      <c r="I223" s="705">
        <v>254</v>
      </c>
      <c r="J223" s="701">
        <v>2</v>
      </c>
    </row>
    <row r="224" spans="1:10" ht="12.75" x14ac:dyDescent="0.2">
      <c r="A224" s="700">
        <v>651</v>
      </c>
      <c r="B224" s="700" t="str">
        <f t="shared" si="7"/>
        <v>0651</v>
      </c>
      <c r="C224" s="700">
        <v>254</v>
      </c>
      <c r="D224" s="701">
        <v>2.5</v>
      </c>
      <c r="E224" s="701"/>
      <c r="F224" s="701"/>
      <c r="G224" s="705">
        <v>661</v>
      </c>
      <c r="H224" s="705" t="str">
        <f t="shared" si="8"/>
        <v>0661</v>
      </c>
      <c r="I224" s="705">
        <v>101</v>
      </c>
      <c r="J224" s="701">
        <v>157.79</v>
      </c>
    </row>
    <row r="225" spans="1:10" ht="12.75" x14ac:dyDescent="0.2">
      <c r="A225" s="700">
        <v>661</v>
      </c>
      <c r="B225" s="700" t="str">
        <f t="shared" si="7"/>
        <v>0661</v>
      </c>
      <c r="C225" s="700">
        <v>101</v>
      </c>
      <c r="D225" s="701">
        <v>177.05</v>
      </c>
      <c r="E225" s="701"/>
      <c r="F225" s="701"/>
      <c r="G225" s="705">
        <v>661</v>
      </c>
      <c r="H225" s="705" t="str">
        <f t="shared" si="8"/>
        <v>0661</v>
      </c>
      <c r="I225" s="705">
        <v>102</v>
      </c>
      <c r="J225" s="701">
        <v>92.77</v>
      </c>
    </row>
    <row r="226" spans="1:10" ht="12.75" x14ac:dyDescent="0.2">
      <c r="A226" s="700">
        <v>661</v>
      </c>
      <c r="B226" s="700" t="str">
        <f t="shared" si="7"/>
        <v>0661</v>
      </c>
      <c r="C226" s="700">
        <v>102</v>
      </c>
      <c r="D226" s="701">
        <v>91.36</v>
      </c>
      <c r="E226" s="701"/>
      <c r="F226" s="701"/>
      <c r="G226" s="705">
        <v>661</v>
      </c>
      <c r="H226" s="705" t="str">
        <f t="shared" si="8"/>
        <v>0661</v>
      </c>
      <c r="I226" s="705">
        <v>111</v>
      </c>
      <c r="J226" s="701">
        <v>94.86</v>
      </c>
    </row>
    <row r="227" spans="1:10" ht="12.75" x14ac:dyDescent="0.2">
      <c r="A227" s="700">
        <v>661</v>
      </c>
      <c r="B227" s="700" t="str">
        <f t="shared" si="7"/>
        <v>0661</v>
      </c>
      <c r="C227" s="700">
        <v>111</v>
      </c>
      <c r="D227" s="701">
        <v>73.849999999999994</v>
      </c>
      <c r="E227" s="701"/>
      <c r="F227" s="701"/>
      <c r="G227" s="705">
        <v>661</v>
      </c>
      <c r="H227" s="705" t="str">
        <f t="shared" si="8"/>
        <v>0661</v>
      </c>
      <c r="I227" s="705">
        <v>112</v>
      </c>
      <c r="J227" s="701">
        <v>52.11</v>
      </c>
    </row>
    <row r="228" spans="1:10" ht="12.75" x14ac:dyDescent="0.2">
      <c r="A228" s="700">
        <v>661</v>
      </c>
      <c r="B228" s="700" t="str">
        <f t="shared" si="7"/>
        <v>0661</v>
      </c>
      <c r="C228" s="700">
        <v>112</v>
      </c>
      <c r="D228" s="701">
        <v>53.89</v>
      </c>
      <c r="E228" s="701"/>
      <c r="F228" s="701"/>
      <c r="G228" s="705">
        <v>661</v>
      </c>
      <c r="H228" s="705" t="str">
        <f t="shared" si="8"/>
        <v>0661</v>
      </c>
      <c r="I228" s="705">
        <v>130</v>
      </c>
      <c r="J228" s="701">
        <v>11.44</v>
      </c>
    </row>
    <row r="229" spans="1:10" ht="12.75" x14ac:dyDescent="0.2">
      <c r="A229" s="700">
        <v>661</v>
      </c>
      <c r="B229" s="700" t="str">
        <f t="shared" si="7"/>
        <v>0661</v>
      </c>
      <c r="C229" s="700">
        <v>130</v>
      </c>
      <c r="D229" s="701">
        <v>13.47</v>
      </c>
      <c r="E229" s="701"/>
      <c r="F229" s="701"/>
      <c r="G229" s="705">
        <v>661</v>
      </c>
      <c r="H229" s="705" t="str">
        <f t="shared" si="8"/>
        <v>0661</v>
      </c>
      <c r="I229" s="705">
        <v>254</v>
      </c>
      <c r="J229" s="701">
        <v>2.37</v>
      </c>
    </row>
    <row r="230" spans="1:10" ht="12.75" x14ac:dyDescent="0.2">
      <c r="A230" s="700">
        <v>661</v>
      </c>
      <c r="B230" s="700" t="str">
        <f t="shared" si="7"/>
        <v>0661</v>
      </c>
      <c r="C230" s="700">
        <v>254</v>
      </c>
      <c r="D230" s="701">
        <v>2.86</v>
      </c>
      <c r="E230" s="701"/>
      <c r="F230" s="701"/>
      <c r="G230" s="705">
        <v>661</v>
      </c>
      <c r="H230" s="705" t="str">
        <f t="shared" si="8"/>
        <v>0661</v>
      </c>
      <c r="I230" s="705">
        <v>255</v>
      </c>
      <c r="J230" s="701">
        <v>0.5</v>
      </c>
    </row>
    <row r="231" spans="1:10" ht="12.75" x14ac:dyDescent="0.2">
      <c r="A231" s="700">
        <v>661</v>
      </c>
      <c r="B231" s="700" t="str">
        <f t="shared" si="7"/>
        <v>0661</v>
      </c>
      <c r="C231" s="700">
        <v>255</v>
      </c>
      <c r="D231" s="701">
        <v>0.5</v>
      </c>
      <c r="E231" s="701"/>
      <c r="F231" s="701"/>
      <c r="G231" s="705">
        <v>671</v>
      </c>
      <c r="H231" s="705" t="str">
        <f t="shared" si="8"/>
        <v>0671</v>
      </c>
      <c r="I231" s="705">
        <v>101</v>
      </c>
      <c r="J231" s="701">
        <v>65.55</v>
      </c>
    </row>
    <row r="232" spans="1:10" ht="12.75" x14ac:dyDescent="0.2">
      <c r="A232" s="700">
        <v>671</v>
      </c>
      <c r="B232" s="700" t="str">
        <f t="shared" si="7"/>
        <v>0671</v>
      </c>
      <c r="C232" s="700">
        <v>101</v>
      </c>
      <c r="D232" s="701">
        <v>68.89</v>
      </c>
      <c r="E232" s="701"/>
      <c r="F232" s="701"/>
      <c r="G232" s="705">
        <v>671</v>
      </c>
      <c r="H232" s="705" t="str">
        <f t="shared" si="8"/>
        <v>0671</v>
      </c>
      <c r="I232" s="705">
        <v>102</v>
      </c>
      <c r="J232" s="701">
        <v>69.86</v>
      </c>
    </row>
    <row r="233" spans="1:10" ht="12.75" x14ac:dyDescent="0.2">
      <c r="A233" s="700">
        <v>671</v>
      </c>
      <c r="B233" s="700" t="str">
        <f t="shared" si="7"/>
        <v>0671</v>
      </c>
      <c r="C233" s="700">
        <v>102</v>
      </c>
      <c r="D233" s="701">
        <v>69.77</v>
      </c>
      <c r="E233" s="701"/>
      <c r="F233" s="701"/>
      <c r="G233" s="705">
        <v>671</v>
      </c>
      <c r="H233" s="705" t="str">
        <f t="shared" si="8"/>
        <v>0671</v>
      </c>
      <c r="I233" s="705">
        <v>111</v>
      </c>
      <c r="J233" s="701">
        <v>33.090000000000003</v>
      </c>
    </row>
    <row r="234" spans="1:10" ht="12.75" x14ac:dyDescent="0.2">
      <c r="A234" s="700">
        <v>671</v>
      </c>
      <c r="B234" s="700" t="str">
        <f t="shared" si="7"/>
        <v>0671</v>
      </c>
      <c r="C234" s="700">
        <v>111</v>
      </c>
      <c r="D234" s="701">
        <v>29.55</v>
      </c>
      <c r="E234" s="701"/>
      <c r="F234" s="701"/>
      <c r="G234" s="705">
        <v>671</v>
      </c>
      <c r="H234" s="705" t="str">
        <f t="shared" si="8"/>
        <v>0671</v>
      </c>
      <c r="I234" s="705">
        <v>112</v>
      </c>
      <c r="J234" s="701">
        <v>23.54</v>
      </c>
    </row>
    <row r="235" spans="1:10" ht="12.75" x14ac:dyDescent="0.2">
      <c r="A235" s="700">
        <v>671</v>
      </c>
      <c r="B235" s="700" t="str">
        <f t="shared" si="7"/>
        <v>0671</v>
      </c>
      <c r="C235" s="700">
        <v>112</v>
      </c>
      <c r="D235" s="701">
        <v>22.52</v>
      </c>
      <c r="E235" s="701"/>
      <c r="F235" s="701"/>
      <c r="G235" s="705">
        <v>671</v>
      </c>
      <c r="H235" s="705" t="str">
        <f t="shared" si="8"/>
        <v>0671</v>
      </c>
      <c r="I235" s="705">
        <v>130</v>
      </c>
      <c r="J235" s="701">
        <v>207.72</v>
      </c>
    </row>
    <row r="236" spans="1:10" ht="12.75" x14ac:dyDescent="0.2">
      <c r="A236" s="700">
        <v>671</v>
      </c>
      <c r="B236" s="700" t="str">
        <f t="shared" si="7"/>
        <v>0671</v>
      </c>
      <c r="C236" s="700">
        <v>130</v>
      </c>
      <c r="D236" s="701">
        <v>214.19</v>
      </c>
      <c r="E236" s="701"/>
      <c r="F236" s="701"/>
      <c r="G236" s="705">
        <v>671</v>
      </c>
      <c r="H236" s="705" t="str">
        <f t="shared" si="8"/>
        <v>0671</v>
      </c>
      <c r="I236" s="705">
        <v>254</v>
      </c>
      <c r="J236" s="701">
        <v>0.5</v>
      </c>
    </row>
    <row r="237" spans="1:10" ht="12.75" x14ac:dyDescent="0.2">
      <c r="A237" s="700">
        <v>671</v>
      </c>
      <c r="B237" s="700" t="str">
        <f t="shared" si="7"/>
        <v>0671</v>
      </c>
      <c r="C237" s="700">
        <v>254</v>
      </c>
      <c r="D237" s="701">
        <v>0.5</v>
      </c>
      <c r="E237" s="701"/>
      <c r="F237" s="701"/>
      <c r="G237" s="705">
        <v>681</v>
      </c>
      <c r="H237" s="705" t="str">
        <f t="shared" si="8"/>
        <v>0681</v>
      </c>
      <c r="I237" s="705">
        <v>101</v>
      </c>
      <c r="J237" s="701">
        <v>94.4</v>
      </c>
    </row>
    <row r="238" spans="1:10" ht="12.75" x14ac:dyDescent="0.2">
      <c r="A238" s="700">
        <v>681</v>
      </c>
      <c r="B238" s="700" t="str">
        <f t="shared" si="7"/>
        <v>0681</v>
      </c>
      <c r="C238" s="700">
        <v>101</v>
      </c>
      <c r="D238" s="701">
        <v>92.74</v>
      </c>
      <c r="E238" s="701"/>
      <c r="F238" s="701"/>
      <c r="G238" s="705">
        <v>681</v>
      </c>
      <c r="H238" s="705" t="str">
        <f t="shared" si="8"/>
        <v>0681</v>
      </c>
      <c r="I238" s="705">
        <v>102</v>
      </c>
      <c r="J238" s="701">
        <v>90.63</v>
      </c>
    </row>
    <row r="239" spans="1:10" ht="12.75" x14ac:dyDescent="0.2">
      <c r="A239" s="700">
        <v>681</v>
      </c>
      <c r="B239" s="700" t="str">
        <f t="shared" si="7"/>
        <v>0681</v>
      </c>
      <c r="C239" s="700">
        <v>102</v>
      </c>
      <c r="D239" s="701">
        <v>92.8</v>
      </c>
      <c r="E239" s="701"/>
      <c r="F239" s="701"/>
      <c r="G239" s="705">
        <v>681</v>
      </c>
      <c r="H239" s="705" t="str">
        <f t="shared" si="8"/>
        <v>0681</v>
      </c>
      <c r="I239" s="705">
        <v>111</v>
      </c>
      <c r="J239" s="701">
        <v>25.25</v>
      </c>
    </row>
    <row r="240" spans="1:10" ht="12.75" x14ac:dyDescent="0.2">
      <c r="A240" s="700">
        <v>681</v>
      </c>
      <c r="B240" s="700" t="str">
        <f t="shared" si="7"/>
        <v>0681</v>
      </c>
      <c r="C240" s="700">
        <v>111</v>
      </c>
      <c r="D240" s="701">
        <v>22.43</v>
      </c>
      <c r="E240" s="701"/>
      <c r="F240" s="701"/>
      <c r="G240" s="705">
        <v>681</v>
      </c>
      <c r="H240" s="705" t="str">
        <f t="shared" si="8"/>
        <v>0681</v>
      </c>
      <c r="I240" s="705">
        <v>112</v>
      </c>
      <c r="J240" s="701">
        <v>28.57</v>
      </c>
    </row>
    <row r="241" spans="1:10" ht="12.75" x14ac:dyDescent="0.2">
      <c r="A241" s="700">
        <v>681</v>
      </c>
      <c r="B241" s="700" t="str">
        <f t="shared" si="7"/>
        <v>0681</v>
      </c>
      <c r="C241" s="700">
        <v>112</v>
      </c>
      <c r="D241" s="701">
        <v>28.9</v>
      </c>
      <c r="E241" s="701"/>
      <c r="F241" s="701"/>
      <c r="G241" s="705">
        <v>681</v>
      </c>
      <c r="H241" s="705" t="str">
        <f t="shared" si="8"/>
        <v>0681</v>
      </c>
      <c r="I241" s="705">
        <v>130</v>
      </c>
      <c r="J241" s="701">
        <v>134.81</v>
      </c>
    </row>
    <row r="242" spans="1:10" ht="12.75" x14ac:dyDescent="0.2">
      <c r="A242" s="700">
        <v>681</v>
      </c>
      <c r="B242" s="700" t="str">
        <f t="shared" si="7"/>
        <v>0681</v>
      </c>
      <c r="C242" s="700">
        <v>130</v>
      </c>
      <c r="D242" s="701">
        <v>137.16</v>
      </c>
      <c r="E242" s="701"/>
      <c r="F242" s="701"/>
      <c r="G242" s="705">
        <v>681</v>
      </c>
      <c r="H242" s="705" t="str">
        <f t="shared" si="8"/>
        <v>0681</v>
      </c>
      <c r="I242" s="705">
        <v>254</v>
      </c>
      <c r="J242" s="701">
        <v>4</v>
      </c>
    </row>
    <row r="243" spans="1:10" ht="12.75" x14ac:dyDescent="0.2">
      <c r="A243" s="700">
        <v>681</v>
      </c>
      <c r="B243" s="700" t="str">
        <f t="shared" si="7"/>
        <v>0681</v>
      </c>
      <c r="C243" s="700">
        <v>254</v>
      </c>
      <c r="D243" s="701">
        <v>3.5</v>
      </c>
      <c r="E243" s="701"/>
      <c r="F243" s="701"/>
      <c r="G243" s="705">
        <v>681</v>
      </c>
      <c r="H243" s="705" t="str">
        <f t="shared" si="8"/>
        <v>0681</v>
      </c>
      <c r="I243" s="705">
        <v>255</v>
      </c>
      <c r="J243" s="701">
        <v>1</v>
      </c>
    </row>
    <row r="244" spans="1:10" ht="12.75" x14ac:dyDescent="0.2">
      <c r="A244" s="700">
        <v>681</v>
      </c>
      <c r="B244" s="700" t="str">
        <f t="shared" si="7"/>
        <v>0681</v>
      </c>
      <c r="C244" s="700">
        <v>255</v>
      </c>
      <c r="D244" s="701">
        <v>1.56</v>
      </c>
      <c r="E244" s="701"/>
      <c r="F244" s="701"/>
      <c r="G244" s="705">
        <v>691</v>
      </c>
      <c r="H244" s="705" t="str">
        <f t="shared" si="8"/>
        <v>0691</v>
      </c>
      <c r="I244" s="705">
        <v>103</v>
      </c>
      <c r="J244" s="701">
        <v>657.63</v>
      </c>
    </row>
    <row r="245" spans="1:10" ht="12.75" x14ac:dyDescent="0.2">
      <c r="A245" s="700">
        <v>691</v>
      </c>
      <c r="B245" s="700" t="str">
        <f t="shared" si="7"/>
        <v>0691</v>
      </c>
      <c r="C245" s="700">
        <v>103</v>
      </c>
      <c r="D245" s="701">
        <v>674.06</v>
      </c>
      <c r="E245" s="701"/>
      <c r="F245" s="701"/>
      <c r="G245" s="705">
        <v>691</v>
      </c>
      <c r="H245" s="705" t="str">
        <f t="shared" si="8"/>
        <v>0691</v>
      </c>
      <c r="I245" s="705">
        <v>113</v>
      </c>
      <c r="J245" s="701">
        <v>200.92</v>
      </c>
    </row>
    <row r="246" spans="1:10" ht="12.75" x14ac:dyDescent="0.2">
      <c r="A246" s="700">
        <v>691</v>
      </c>
      <c r="B246" s="700" t="str">
        <f t="shared" si="7"/>
        <v>0691</v>
      </c>
      <c r="C246" s="700">
        <v>113</v>
      </c>
      <c r="D246" s="701">
        <v>212.64</v>
      </c>
      <c r="E246" s="701"/>
      <c r="F246" s="701"/>
      <c r="G246" s="705">
        <v>691</v>
      </c>
      <c r="H246" s="705" t="str">
        <f t="shared" si="8"/>
        <v>0691</v>
      </c>
      <c r="I246" s="705">
        <v>130</v>
      </c>
      <c r="J246" s="701">
        <v>142.19</v>
      </c>
    </row>
    <row r="247" spans="1:10" ht="12.75" x14ac:dyDescent="0.2">
      <c r="A247" s="700">
        <v>691</v>
      </c>
      <c r="B247" s="700" t="str">
        <f t="shared" si="7"/>
        <v>0691</v>
      </c>
      <c r="C247" s="700">
        <v>130</v>
      </c>
      <c r="D247" s="701">
        <v>175.27</v>
      </c>
      <c r="E247" s="701"/>
      <c r="F247" s="701"/>
      <c r="G247" s="705">
        <v>691</v>
      </c>
      <c r="H247" s="705" t="str">
        <f t="shared" si="8"/>
        <v>0691</v>
      </c>
      <c r="I247" s="705">
        <v>254</v>
      </c>
      <c r="J247" s="701">
        <v>1</v>
      </c>
    </row>
    <row r="248" spans="1:10" ht="12.75" x14ac:dyDescent="0.2">
      <c r="A248" s="700">
        <v>691</v>
      </c>
      <c r="B248" s="700" t="str">
        <f t="shared" si="7"/>
        <v>0691</v>
      </c>
      <c r="C248" s="700">
        <v>254</v>
      </c>
      <c r="D248" s="701">
        <v>1.5</v>
      </c>
      <c r="E248" s="701"/>
      <c r="F248" s="701"/>
      <c r="G248" s="705">
        <v>691</v>
      </c>
      <c r="H248" s="705" t="str">
        <f t="shared" si="8"/>
        <v>0691</v>
      </c>
      <c r="I248" s="705">
        <v>300</v>
      </c>
      <c r="J248" s="701">
        <v>131.72999999999999</v>
      </c>
    </row>
    <row r="249" spans="1:10" ht="12.75" x14ac:dyDescent="0.2">
      <c r="A249" s="700">
        <v>691</v>
      </c>
      <c r="B249" s="700" t="str">
        <f t="shared" si="7"/>
        <v>0691</v>
      </c>
      <c r="C249" s="700">
        <v>300</v>
      </c>
      <c r="D249" s="701">
        <v>138.97999999999999</v>
      </c>
      <c r="E249" s="701"/>
      <c r="F249" s="701"/>
      <c r="G249" s="705">
        <v>741</v>
      </c>
      <c r="H249" s="705" t="str">
        <f t="shared" si="8"/>
        <v>0741</v>
      </c>
      <c r="I249" s="705">
        <v>101</v>
      </c>
      <c r="J249" s="701">
        <v>116.97</v>
      </c>
    </row>
    <row r="250" spans="1:10" ht="12.75" x14ac:dyDescent="0.2">
      <c r="A250" s="700">
        <v>741</v>
      </c>
      <c r="B250" s="700" t="str">
        <f t="shared" si="7"/>
        <v>0741</v>
      </c>
      <c r="C250" s="700">
        <v>101</v>
      </c>
      <c r="D250" s="701">
        <v>124.21</v>
      </c>
      <c r="E250" s="701"/>
      <c r="F250" s="701"/>
      <c r="G250" s="705">
        <v>741</v>
      </c>
      <c r="H250" s="705" t="str">
        <f t="shared" si="8"/>
        <v>0741</v>
      </c>
      <c r="I250" s="705">
        <v>102</v>
      </c>
      <c r="J250" s="701">
        <v>82.08</v>
      </c>
    </row>
    <row r="251" spans="1:10" ht="12.75" x14ac:dyDescent="0.2">
      <c r="A251" s="700">
        <v>741</v>
      </c>
      <c r="B251" s="700" t="str">
        <f t="shared" si="7"/>
        <v>0741</v>
      </c>
      <c r="C251" s="700">
        <v>102</v>
      </c>
      <c r="D251" s="701">
        <v>86.4</v>
      </c>
      <c r="E251" s="701"/>
      <c r="F251" s="701"/>
      <c r="G251" s="705">
        <v>741</v>
      </c>
      <c r="H251" s="705" t="str">
        <f t="shared" si="8"/>
        <v>0741</v>
      </c>
      <c r="I251" s="705">
        <v>111</v>
      </c>
      <c r="J251" s="701">
        <v>33.39</v>
      </c>
    </row>
    <row r="252" spans="1:10" ht="12.75" x14ac:dyDescent="0.2">
      <c r="A252" s="700">
        <v>741</v>
      </c>
      <c r="B252" s="700" t="str">
        <f t="shared" si="7"/>
        <v>0741</v>
      </c>
      <c r="C252" s="700">
        <v>111</v>
      </c>
      <c r="D252" s="701">
        <v>29.75</v>
      </c>
      <c r="E252" s="701"/>
      <c r="F252" s="701"/>
      <c r="G252" s="705">
        <v>741</v>
      </c>
      <c r="H252" s="705" t="str">
        <f t="shared" si="8"/>
        <v>0741</v>
      </c>
      <c r="I252" s="705">
        <v>112</v>
      </c>
      <c r="J252" s="701">
        <v>14</v>
      </c>
    </row>
    <row r="253" spans="1:10" ht="12.75" x14ac:dyDescent="0.2">
      <c r="A253" s="700">
        <v>741</v>
      </c>
      <c r="B253" s="700" t="str">
        <f t="shared" si="7"/>
        <v>0741</v>
      </c>
      <c r="C253" s="700">
        <v>112</v>
      </c>
      <c r="D253" s="701">
        <v>15.51</v>
      </c>
      <c r="E253" s="701"/>
      <c r="F253" s="701"/>
      <c r="G253" s="705">
        <v>741</v>
      </c>
      <c r="H253" s="705" t="str">
        <f t="shared" si="8"/>
        <v>0741</v>
      </c>
      <c r="I253" s="705">
        <v>130</v>
      </c>
      <c r="J253" s="701">
        <v>278.95</v>
      </c>
    </row>
    <row r="254" spans="1:10" ht="12.75" x14ac:dyDescent="0.2">
      <c r="A254" s="700">
        <v>741</v>
      </c>
      <c r="B254" s="700" t="str">
        <f t="shared" si="7"/>
        <v>0741</v>
      </c>
      <c r="C254" s="700">
        <v>130</v>
      </c>
      <c r="D254" s="701">
        <v>288.58999999999997</v>
      </c>
      <c r="E254" s="701"/>
      <c r="F254" s="701"/>
      <c r="G254" s="705">
        <v>741</v>
      </c>
      <c r="H254" s="705" t="str">
        <f t="shared" si="8"/>
        <v>0741</v>
      </c>
      <c r="I254" s="705">
        <v>254</v>
      </c>
      <c r="J254" s="701">
        <v>0.25</v>
      </c>
    </row>
    <row r="255" spans="1:10" ht="12.75" x14ac:dyDescent="0.2">
      <c r="A255" s="700">
        <v>741</v>
      </c>
      <c r="B255" s="700" t="str">
        <f t="shared" si="7"/>
        <v>0741</v>
      </c>
      <c r="C255" s="700">
        <v>254</v>
      </c>
      <c r="D255" s="701">
        <v>0.25</v>
      </c>
      <c r="E255" s="701"/>
      <c r="F255" s="701"/>
      <c r="G255" s="705">
        <v>751</v>
      </c>
      <c r="H255" s="705" t="str">
        <f t="shared" si="8"/>
        <v>0751</v>
      </c>
      <c r="I255" s="705">
        <v>101</v>
      </c>
      <c r="J255" s="701">
        <v>70.36</v>
      </c>
    </row>
    <row r="256" spans="1:10" ht="12.75" x14ac:dyDescent="0.2">
      <c r="A256" s="700">
        <v>751</v>
      </c>
      <c r="B256" s="700" t="str">
        <f t="shared" si="7"/>
        <v>0751</v>
      </c>
      <c r="C256" s="700">
        <v>101</v>
      </c>
      <c r="D256" s="701">
        <v>68.23</v>
      </c>
      <c r="E256" s="701"/>
      <c r="F256" s="701"/>
      <c r="G256" s="705">
        <v>751</v>
      </c>
      <c r="H256" s="705" t="str">
        <f t="shared" si="8"/>
        <v>0751</v>
      </c>
      <c r="I256" s="705">
        <v>102</v>
      </c>
      <c r="J256" s="701">
        <v>35.119999999999997</v>
      </c>
    </row>
    <row r="257" spans="1:10" ht="12.75" x14ac:dyDescent="0.2">
      <c r="A257" s="700">
        <v>751</v>
      </c>
      <c r="B257" s="700" t="str">
        <f t="shared" si="7"/>
        <v>0751</v>
      </c>
      <c r="C257" s="700">
        <v>102</v>
      </c>
      <c r="D257" s="701">
        <v>34.64</v>
      </c>
      <c r="E257" s="701"/>
      <c r="F257" s="701"/>
      <c r="G257" s="705">
        <v>751</v>
      </c>
      <c r="H257" s="705" t="str">
        <f t="shared" si="8"/>
        <v>0751</v>
      </c>
      <c r="I257" s="705">
        <v>111</v>
      </c>
      <c r="J257" s="701">
        <v>62.71</v>
      </c>
    </row>
    <row r="258" spans="1:10" ht="12.75" x14ac:dyDescent="0.2">
      <c r="A258" s="700">
        <v>751</v>
      </c>
      <c r="B258" s="700" t="str">
        <f t="shared" ref="B258:B321" si="9">TEXT(A258,"0000")</f>
        <v>0751</v>
      </c>
      <c r="C258" s="700">
        <v>111</v>
      </c>
      <c r="D258" s="701">
        <v>62.8</v>
      </c>
      <c r="E258" s="701"/>
      <c r="F258" s="701"/>
      <c r="G258" s="705">
        <v>751</v>
      </c>
      <c r="H258" s="705" t="str">
        <f t="shared" si="8"/>
        <v>0751</v>
      </c>
      <c r="I258" s="705">
        <v>112</v>
      </c>
      <c r="J258" s="701">
        <v>26.05</v>
      </c>
    </row>
    <row r="259" spans="1:10" ht="12.75" x14ac:dyDescent="0.2">
      <c r="A259" s="700">
        <v>751</v>
      </c>
      <c r="B259" s="700" t="str">
        <f t="shared" si="9"/>
        <v>0751</v>
      </c>
      <c r="C259" s="700">
        <v>112</v>
      </c>
      <c r="D259" s="701">
        <v>24.99</v>
      </c>
      <c r="E259" s="701"/>
      <c r="F259" s="701"/>
      <c r="G259" s="705">
        <v>751</v>
      </c>
      <c r="H259" s="705" t="str">
        <f t="shared" ref="H259:H322" si="10">TEXT(G259,"0000")</f>
        <v>0751</v>
      </c>
      <c r="I259" s="705">
        <v>130</v>
      </c>
      <c r="J259" s="701">
        <v>56.83</v>
      </c>
    </row>
    <row r="260" spans="1:10" ht="12.75" x14ac:dyDescent="0.2">
      <c r="A260" s="700">
        <v>751</v>
      </c>
      <c r="B260" s="700" t="str">
        <f t="shared" si="9"/>
        <v>0751</v>
      </c>
      <c r="C260" s="700">
        <v>130</v>
      </c>
      <c r="D260" s="701">
        <v>58.37</v>
      </c>
      <c r="E260" s="701"/>
      <c r="F260" s="701"/>
      <c r="G260" s="705">
        <v>751</v>
      </c>
      <c r="H260" s="705" t="str">
        <f t="shared" si="10"/>
        <v>0751</v>
      </c>
      <c r="I260" s="705">
        <v>254</v>
      </c>
      <c r="J260" s="701">
        <v>1.5</v>
      </c>
    </row>
    <row r="261" spans="1:10" ht="12.75" x14ac:dyDescent="0.2">
      <c r="A261" s="700">
        <v>751</v>
      </c>
      <c r="B261" s="700" t="str">
        <f t="shared" si="9"/>
        <v>0751</v>
      </c>
      <c r="C261" s="700">
        <v>254</v>
      </c>
      <c r="D261" s="701">
        <v>1.5</v>
      </c>
      <c r="E261" s="701"/>
      <c r="F261" s="701"/>
      <c r="G261" s="705">
        <v>761</v>
      </c>
      <c r="H261" s="705" t="str">
        <f t="shared" si="10"/>
        <v>0761</v>
      </c>
      <c r="I261" s="705">
        <v>102</v>
      </c>
      <c r="J261" s="701">
        <v>233.26</v>
      </c>
    </row>
    <row r="262" spans="1:10" ht="12.75" x14ac:dyDescent="0.2">
      <c r="A262" s="700">
        <v>761</v>
      </c>
      <c r="B262" s="700" t="str">
        <f t="shared" si="9"/>
        <v>0761</v>
      </c>
      <c r="C262" s="700">
        <v>102</v>
      </c>
      <c r="D262" s="701">
        <v>234</v>
      </c>
      <c r="E262" s="701"/>
      <c r="F262" s="701"/>
      <c r="G262" s="705">
        <v>761</v>
      </c>
      <c r="H262" s="705" t="str">
        <f t="shared" si="10"/>
        <v>0761</v>
      </c>
      <c r="I262" s="705">
        <v>112</v>
      </c>
      <c r="J262" s="701">
        <v>91.21</v>
      </c>
    </row>
    <row r="263" spans="1:10" ht="12.75" x14ac:dyDescent="0.2">
      <c r="A263" s="700">
        <v>761</v>
      </c>
      <c r="B263" s="700" t="str">
        <f t="shared" si="9"/>
        <v>0761</v>
      </c>
      <c r="C263" s="700">
        <v>112</v>
      </c>
      <c r="D263" s="701">
        <v>90.48</v>
      </c>
      <c r="E263" s="701"/>
      <c r="F263" s="701"/>
      <c r="G263" s="705">
        <v>761</v>
      </c>
      <c r="H263" s="705" t="str">
        <f t="shared" si="10"/>
        <v>0761</v>
      </c>
      <c r="I263" s="705">
        <v>130</v>
      </c>
      <c r="J263" s="701">
        <v>35.4</v>
      </c>
    </row>
    <row r="264" spans="1:10" ht="12.75" x14ac:dyDescent="0.2">
      <c r="A264" s="700">
        <v>761</v>
      </c>
      <c r="B264" s="700" t="str">
        <f t="shared" si="9"/>
        <v>0761</v>
      </c>
      <c r="C264" s="700">
        <v>130</v>
      </c>
      <c r="D264" s="701">
        <v>39.04</v>
      </c>
      <c r="E264" s="701"/>
      <c r="F264" s="701"/>
      <c r="G264" s="705">
        <v>761</v>
      </c>
      <c r="H264" s="705" t="str">
        <f t="shared" si="10"/>
        <v>0761</v>
      </c>
      <c r="I264" s="705">
        <v>254</v>
      </c>
      <c r="J264" s="701">
        <v>0.5</v>
      </c>
    </row>
    <row r="265" spans="1:10" ht="12.75" x14ac:dyDescent="0.2">
      <c r="A265" s="700">
        <v>761</v>
      </c>
      <c r="B265" s="700" t="str">
        <f t="shared" si="9"/>
        <v>0761</v>
      </c>
      <c r="C265" s="700">
        <v>254</v>
      </c>
      <c r="D265" s="701">
        <v>0.5</v>
      </c>
      <c r="E265" s="701"/>
      <c r="F265" s="701"/>
      <c r="G265" s="705">
        <v>771</v>
      </c>
      <c r="H265" s="705" t="str">
        <f t="shared" si="10"/>
        <v>0771</v>
      </c>
      <c r="I265" s="705">
        <v>101</v>
      </c>
      <c r="J265" s="701">
        <v>95.1</v>
      </c>
    </row>
    <row r="266" spans="1:10" ht="12.75" x14ac:dyDescent="0.2">
      <c r="A266" s="700">
        <v>771</v>
      </c>
      <c r="B266" s="700" t="str">
        <f t="shared" si="9"/>
        <v>0771</v>
      </c>
      <c r="C266" s="700">
        <v>101</v>
      </c>
      <c r="D266" s="701">
        <v>96.32</v>
      </c>
      <c r="E266" s="701"/>
      <c r="F266" s="701"/>
      <c r="G266" s="705">
        <v>771</v>
      </c>
      <c r="H266" s="705" t="str">
        <f t="shared" si="10"/>
        <v>0771</v>
      </c>
      <c r="I266" s="705">
        <v>102</v>
      </c>
      <c r="J266" s="701">
        <v>54.59</v>
      </c>
    </row>
    <row r="267" spans="1:10" ht="12.75" x14ac:dyDescent="0.2">
      <c r="A267" s="700">
        <v>771</v>
      </c>
      <c r="B267" s="700" t="str">
        <f t="shared" si="9"/>
        <v>0771</v>
      </c>
      <c r="C267" s="700">
        <v>102</v>
      </c>
      <c r="D267" s="701">
        <v>53.42</v>
      </c>
      <c r="E267" s="701"/>
      <c r="F267" s="701"/>
      <c r="G267" s="705">
        <v>771</v>
      </c>
      <c r="H267" s="705" t="str">
        <f t="shared" si="10"/>
        <v>0771</v>
      </c>
      <c r="I267" s="705">
        <v>111</v>
      </c>
      <c r="J267" s="701">
        <v>69.53</v>
      </c>
    </row>
    <row r="268" spans="1:10" ht="12.75" x14ac:dyDescent="0.2">
      <c r="A268" s="700">
        <v>771</v>
      </c>
      <c r="B268" s="700" t="str">
        <f t="shared" si="9"/>
        <v>0771</v>
      </c>
      <c r="C268" s="700">
        <v>111</v>
      </c>
      <c r="D268" s="701">
        <v>64.69</v>
      </c>
      <c r="E268" s="701"/>
      <c r="F268" s="701"/>
      <c r="G268" s="705">
        <v>771</v>
      </c>
      <c r="H268" s="705" t="str">
        <f t="shared" si="10"/>
        <v>0771</v>
      </c>
      <c r="I268" s="705">
        <v>112</v>
      </c>
      <c r="J268" s="701">
        <v>24.51</v>
      </c>
    </row>
    <row r="269" spans="1:10" ht="12.75" x14ac:dyDescent="0.2">
      <c r="A269" s="700">
        <v>771</v>
      </c>
      <c r="B269" s="700" t="str">
        <f t="shared" si="9"/>
        <v>0771</v>
      </c>
      <c r="C269" s="700">
        <v>112</v>
      </c>
      <c r="D269" s="701">
        <v>22.01</v>
      </c>
      <c r="E269" s="701"/>
      <c r="F269" s="701"/>
      <c r="G269" s="705">
        <v>771</v>
      </c>
      <c r="H269" s="705" t="str">
        <f t="shared" si="10"/>
        <v>0771</v>
      </c>
      <c r="I269" s="705">
        <v>130</v>
      </c>
      <c r="J269" s="701">
        <v>101.62</v>
      </c>
    </row>
    <row r="270" spans="1:10" ht="12.75" x14ac:dyDescent="0.2">
      <c r="A270" s="700">
        <v>771</v>
      </c>
      <c r="B270" s="700" t="str">
        <f t="shared" si="9"/>
        <v>0771</v>
      </c>
      <c r="C270" s="700">
        <v>130</v>
      </c>
      <c r="D270" s="701">
        <v>110.23</v>
      </c>
      <c r="E270" s="701"/>
      <c r="F270" s="701"/>
      <c r="G270" s="705">
        <v>771</v>
      </c>
      <c r="H270" s="705" t="str">
        <f t="shared" si="10"/>
        <v>0771</v>
      </c>
      <c r="I270" s="705">
        <v>254</v>
      </c>
      <c r="J270" s="701">
        <v>3</v>
      </c>
    </row>
    <row r="271" spans="1:10" ht="12.75" x14ac:dyDescent="0.2">
      <c r="A271" s="700">
        <v>771</v>
      </c>
      <c r="B271" s="700" t="str">
        <f t="shared" si="9"/>
        <v>0771</v>
      </c>
      <c r="C271" s="700">
        <v>254</v>
      </c>
      <c r="D271" s="701">
        <v>2.75</v>
      </c>
      <c r="E271" s="701"/>
      <c r="F271" s="701"/>
      <c r="G271" s="705">
        <v>781</v>
      </c>
      <c r="H271" s="705" t="str">
        <f t="shared" si="10"/>
        <v>0781</v>
      </c>
      <c r="I271" s="705">
        <v>101</v>
      </c>
      <c r="J271" s="701">
        <v>87.33</v>
      </c>
    </row>
    <row r="272" spans="1:10" ht="12.75" x14ac:dyDescent="0.2">
      <c r="A272" s="700">
        <v>781</v>
      </c>
      <c r="B272" s="700" t="str">
        <f t="shared" si="9"/>
        <v>0781</v>
      </c>
      <c r="C272" s="700">
        <v>101</v>
      </c>
      <c r="D272" s="701">
        <v>85.88</v>
      </c>
      <c r="E272" s="701"/>
      <c r="F272" s="701"/>
      <c r="G272" s="705">
        <v>781</v>
      </c>
      <c r="H272" s="705" t="str">
        <f t="shared" si="10"/>
        <v>0781</v>
      </c>
      <c r="I272" s="705">
        <v>102</v>
      </c>
      <c r="J272" s="701">
        <v>40.630000000000003</v>
      </c>
    </row>
    <row r="273" spans="1:10" ht="12.75" x14ac:dyDescent="0.2">
      <c r="A273" s="700">
        <v>781</v>
      </c>
      <c r="B273" s="700" t="str">
        <f t="shared" si="9"/>
        <v>0781</v>
      </c>
      <c r="C273" s="700">
        <v>102</v>
      </c>
      <c r="D273" s="701">
        <v>39.549999999999997</v>
      </c>
      <c r="E273" s="701"/>
      <c r="F273" s="701"/>
      <c r="G273" s="705">
        <v>781</v>
      </c>
      <c r="H273" s="705" t="str">
        <f t="shared" si="10"/>
        <v>0781</v>
      </c>
      <c r="I273" s="705">
        <v>111</v>
      </c>
      <c r="J273" s="701">
        <v>29.16</v>
      </c>
    </row>
    <row r="274" spans="1:10" ht="12.75" x14ac:dyDescent="0.2">
      <c r="A274" s="700">
        <v>781</v>
      </c>
      <c r="B274" s="700" t="str">
        <f t="shared" si="9"/>
        <v>0781</v>
      </c>
      <c r="C274" s="700">
        <v>111</v>
      </c>
      <c r="D274" s="701">
        <v>29.6</v>
      </c>
      <c r="E274" s="701"/>
      <c r="F274" s="701"/>
      <c r="G274" s="705">
        <v>781</v>
      </c>
      <c r="H274" s="705" t="str">
        <f t="shared" si="10"/>
        <v>0781</v>
      </c>
      <c r="I274" s="705">
        <v>112</v>
      </c>
      <c r="J274" s="701">
        <v>25.03</v>
      </c>
    </row>
    <row r="275" spans="1:10" ht="12.75" x14ac:dyDescent="0.2">
      <c r="A275" s="700">
        <v>781</v>
      </c>
      <c r="B275" s="700" t="str">
        <f t="shared" si="9"/>
        <v>0781</v>
      </c>
      <c r="C275" s="700">
        <v>112</v>
      </c>
      <c r="D275" s="701">
        <v>24.99</v>
      </c>
      <c r="E275" s="701"/>
      <c r="F275" s="701"/>
      <c r="G275" s="705">
        <v>781</v>
      </c>
      <c r="H275" s="705" t="str">
        <f t="shared" si="10"/>
        <v>0781</v>
      </c>
      <c r="I275" s="705">
        <v>130</v>
      </c>
      <c r="J275" s="701">
        <v>88.75</v>
      </c>
    </row>
    <row r="276" spans="1:10" ht="12.75" x14ac:dyDescent="0.2">
      <c r="A276" s="700">
        <v>781</v>
      </c>
      <c r="B276" s="700" t="str">
        <f t="shared" si="9"/>
        <v>0781</v>
      </c>
      <c r="C276" s="700">
        <v>130</v>
      </c>
      <c r="D276" s="701">
        <v>91.7</v>
      </c>
      <c r="E276" s="701"/>
      <c r="F276" s="701"/>
      <c r="G276" s="705">
        <v>781</v>
      </c>
      <c r="H276" s="705" t="str">
        <f t="shared" si="10"/>
        <v>0781</v>
      </c>
      <c r="I276" s="705">
        <v>254</v>
      </c>
      <c r="J276" s="701">
        <v>3</v>
      </c>
    </row>
    <row r="277" spans="1:10" ht="12.75" x14ac:dyDescent="0.2">
      <c r="A277" s="700">
        <v>781</v>
      </c>
      <c r="B277" s="700" t="str">
        <f t="shared" si="9"/>
        <v>0781</v>
      </c>
      <c r="C277" s="700">
        <v>254</v>
      </c>
      <c r="D277" s="701">
        <v>3</v>
      </c>
      <c r="E277" s="701"/>
      <c r="F277" s="701"/>
      <c r="G277" s="705">
        <v>781</v>
      </c>
      <c r="H277" s="705" t="str">
        <f t="shared" si="10"/>
        <v>0781</v>
      </c>
      <c r="I277" s="705">
        <v>255</v>
      </c>
      <c r="J277" s="701">
        <v>0.5</v>
      </c>
    </row>
    <row r="278" spans="1:10" ht="12.75" x14ac:dyDescent="0.2">
      <c r="A278" s="700">
        <v>781</v>
      </c>
      <c r="B278" s="700" t="str">
        <f t="shared" si="9"/>
        <v>0781</v>
      </c>
      <c r="C278" s="700">
        <v>255</v>
      </c>
      <c r="D278" s="701">
        <v>0</v>
      </c>
      <c r="E278" s="701"/>
      <c r="F278" s="701"/>
      <c r="G278" s="705">
        <v>791</v>
      </c>
      <c r="H278" s="705" t="str">
        <f t="shared" si="10"/>
        <v>0791</v>
      </c>
      <c r="I278" s="705">
        <v>101</v>
      </c>
      <c r="J278" s="701">
        <v>87.67</v>
      </c>
    </row>
    <row r="279" spans="1:10" ht="12.75" x14ac:dyDescent="0.2">
      <c r="A279" s="700">
        <v>791</v>
      </c>
      <c r="B279" s="700" t="str">
        <f t="shared" si="9"/>
        <v>0791</v>
      </c>
      <c r="C279" s="700">
        <v>101</v>
      </c>
      <c r="D279" s="701">
        <v>91.69</v>
      </c>
      <c r="E279" s="701"/>
      <c r="F279" s="701"/>
      <c r="G279" s="705">
        <v>791</v>
      </c>
      <c r="H279" s="705" t="str">
        <f t="shared" si="10"/>
        <v>0791</v>
      </c>
      <c r="I279" s="705">
        <v>102</v>
      </c>
      <c r="J279" s="701">
        <v>40.68</v>
      </c>
    </row>
    <row r="280" spans="1:10" ht="12.75" x14ac:dyDescent="0.2">
      <c r="A280" s="700">
        <v>791</v>
      </c>
      <c r="B280" s="700" t="str">
        <f t="shared" si="9"/>
        <v>0791</v>
      </c>
      <c r="C280" s="700">
        <v>102</v>
      </c>
      <c r="D280" s="701">
        <v>42.27</v>
      </c>
      <c r="E280" s="701"/>
      <c r="F280" s="701"/>
      <c r="G280" s="705">
        <v>791</v>
      </c>
      <c r="H280" s="705" t="str">
        <f t="shared" si="10"/>
        <v>0791</v>
      </c>
      <c r="I280" s="705">
        <v>111</v>
      </c>
      <c r="J280" s="701">
        <v>19.5</v>
      </c>
    </row>
    <row r="281" spans="1:10" ht="12.75" x14ac:dyDescent="0.2">
      <c r="A281" s="700">
        <v>791</v>
      </c>
      <c r="B281" s="700" t="str">
        <f t="shared" si="9"/>
        <v>0791</v>
      </c>
      <c r="C281" s="700">
        <v>111</v>
      </c>
      <c r="D281" s="701">
        <v>18</v>
      </c>
      <c r="E281" s="701"/>
      <c r="F281" s="701"/>
      <c r="G281" s="705">
        <v>791</v>
      </c>
      <c r="H281" s="705" t="str">
        <f t="shared" si="10"/>
        <v>0791</v>
      </c>
      <c r="I281" s="705">
        <v>112</v>
      </c>
      <c r="J281" s="701">
        <v>26</v>
      </c>
    </row>
    <row r="282" spans="1:10" ht="12.75" x14ac:dyDescent="0.2">
      <c r="A282" s="700">
        <v>791</v>
      </c>
      <c r="B282" s="700" t="str">
        <f t="shared" si="9"/>
        <v>0791</v>
      </c>
      <c r="C282" s="700">
        <v>112</v>
      </c>
      <c r="D282" s="701">
        <v>24</v>
      </c>
      <c r="E282" s="701"/>
      <c r="F282" s="701"/>
      <c r="G282" s="705">
        <v>791</v>
      </c>
      <c r="H282" s="705" t="str">
        <f t="shared" si="10"/>
        <v>0791</v>
      </c>
      <c r="I282" s="705">
        <v>130</v>
      </c>
      <c r="J282" s="701">
        <v>17.64</v>
      </c>
    </row>
    <row r="283" spans="1:10" ht="12.75" x14ac:dyDescent="0.2">
      <c r="A283" s="700">
        <v>791</v>
      </c>
      <c r="B283" s="700" t="str">
        <f t="shared" si="9"/>
        <v>0791</v>
      </c>
      <c r="C283" s="700">
        <v>130</v>
      </c>
      <c r="D283" s="701">
        <v>18.46</v>
      </c>
      <c r="E283" s="701"/>
      <c r="F283" s="701"/>
      <c r="G283" s="705">
        <v>791</v>
      </c>
      <c r="H283" s="705" t="str">
        <f t="shared" si="10"/>
        <v>0791</v>
      </c>
      <c r="I283" s="705">
        <v>254</v>
      </c>
      <c r="J283" s="701">
        <v>0.5</v>
      </c>
    </row>
    <row r="284" spans="1:10" ht="12.75" x14ac:dyDescent="0.2">
      <c r="A284" s="700">
        <v>791</v>
      </c>
      <c r="B284" s="700" t="str">
        <f t="shared" si="9"/>
        <v>0791</v>
      </c>
      <c r="C284" s="700">
        <v>254</v>
      </c>
      <c r="D284" s="701">
        <v>0.5</v>
      </c>
      <c r="E284" s="701"/>
      <c r="F284" s="701"/>
      <c r="G284" s="705">
        <v>821</v>
      </c>
      <c r="H284" s="705" t="str">
        <f t="shared" si="10"/>
        <v>0821</v>
      </c>
      <c r="I284" s="705">
        <v>101</v>
      </c>
      <c r="J284" s="701">
        <v>103.88</v>
      </c>
    </row>
    <row r="285" spans="1:10" ht="12.75" x14ac:dyDescent="0.2">
      <c r="A285" s="700">
        <v>821</v>
      </c>
      <c r="B285" s="700" t="str">
        <f t="shared" si="9"/>
        <v>0821</v>
      </c>
      <c r="C285" s="700">
        <v>101</v>
      </c>
      <c r="D285" s="701">
        <v>104.8</v>
      </c>
      <c r="E285" s="701"/>
      <c r="F285" s="701"/>
      <c r="G285" s="705">
        <v>821</v>
      </c>
      <c r="H285" s="705" t="str">
        <f t="shared" si="10"/>
        <v>0821</v>
      </c>
      <c r="I285" s="705">
        <v>102</v>
      </c>
      <c r="J285" s="701">
        <v>46.07</v>
      </c>
    </row>
    <row r="286" spans="1:10" ht="12.75" x14ac:dyDescent="0.2">
      <c r="A286" s="700">
        <v>821</v>
      </c>
      <c r="B286" s="700" t="str">
        <f t="shared" si="9"/>
        <v>0821</v>
      </c>
      <c r="C286" s="700">
        <v>102</v>
      </c>
      <c r="D286" s="701">
        <v>47.08</v>
      </c>
      <c r="E286" s="701"/>
      <c r="F286" s="701"/>
      <c r="G286" s="705">
        <v>821</v>
      </c>
      <c r="H286" s="705" t="str">
        <f t="shared" si="10"/>
        <v>0821</v>
      </c>
      <c r="I286" s="705">
        <v>111</v>
      </c>
      <c r="J286" s="701">
        <v>27.01</v>
      </c>
    </row>
    <row r="287" spans="1:10" ht="12.75" x14ac:dyDescent="0.2">
      <c r="A287" s="700">
        <v>821</v>
      </c>
      <c r="B287" s="700" t="str">
        <f t="shared" si="9"/>
        <v>0821</v>
      </c>
      <c r="C287" s="700">
        <v>111</v>
      </c>
      <c r="D287" s="701">
        <v>25.55</v>
      </c>
      <c r="E287" s="701"/>
      <c r="F287" s="701"/>
      <c r="G287" s="705">
        <v>821</v>
      </c>
      <c r="H287" s="705" t="str">
        <f t="shared" si="10"/>
        <v>0821</v>
      </c>
      <c r="I287" s="705">
        <v>112</v>
      </c>
      <c r="J287" s="701">
        <v>19</v>
      </c>
    </row>
    <row r="288" spans="1:10" ht="12.75" x14ac:dyDescent="0.2">
      <c r="A288" s="700">
        <v>821</v>
      </c>
      <c r="B288" s="700" t="str">
        <f t="shared" si="9"/>
        <v>0821</v>
      </c>
      <c r="C288" s="700">
        <v>112</v>
      </c>
      <c r="D288" s="701">
        <v>19.96</v>
      </c>
      <c r="E288" s="701"/>
      <c r="F288" s="701"/>
      <c r="G288" s="705">
        <v>821</v>
      </c>
      <c r="H288" s="705" t="str">
        <f t="shared" si="10"/>
        <v>0821</v>
      </c>
      <c r="I288" s="705">
        <v>130</v>
      </c>
      <c r="J288" s="701">
        <v>52.5</v>
      </c>
    </row>
    <row r="289" spans="1:10" ht="12.75" x14ac:dyDescent="0.2">
      <c r="A289" s="700">
        <v>821</v>
      </c>
      <c r="B289" s="700" t="str">
        <f t="shared" si="9"/>
        <v>0821</v>
      </c>
      <c r="C289" s="700">
        <v>130</v>
      </c>
      <c r="D289" s="701">
        <v>54.01</v>
      </c>
      <c r="E289" s="701"/>
      <c r="F289" s="701"/>
      <c r="G289" s="705">
        <v>831</v>
      </c>
      <c r="H289" s="705" t="str">
        <f t="shared" si="10"/>
        <v>0831</v>
      </c>
      <c r="I289" s="705">
        <v>101</v>
      </c>
      <c r="J289" s="701">
        <v>75.78</v>
      </c>
    </row>
    <row r="290" spans="1:10" ht="12.75" x14ac:dyDescent="0.2">
      <c r="A290" s="700">
        <v>831</v>
      </c>
      <c r="B290" s="700" t="str">
        <f t="shared" si="9"/>
        <v>0831</v>
      </c>
      <c r="C290" s="700">
        <v>101</v>
      </c>
      <c r="D290" s="701">
        <v>81.489999999999995</v>
      </c>
      <c r="E290" s="701"/>
      <c r="F290" s="701"/>
      <c r="G290" s="705">
        <v>831</v>
      </c>
      <c r="H290" s="705" t="str">
        <f t="shared" si="10"/>
        <v>0831</v>
      </c>
      <c r="I290" s="705">
        <v>102</v>
      </c>
      <c r="J290" s="701">
        <v>36.24</v>
      </c>
    </row>
    <row r="291" spans="1:10" ht="12.75" x14ac:dyDescent="0.2">
      <c r="A291" s="700">
        <v>831</v>
      </c>
      <c r="B291" s="700" t="str">
        <f t="shared" si="9"/>
        <v>0831</v>
      </c>
      <c r="C291" s="700">
        <v>102</v>
      </c>
      <c r="D291" s="701">
        <v>36.32</v>
      </c>
      <c r="E291" s="701"/>
      <c r="F291" s="701"/>
      <c r="G291" s="705">
        <v>831</v>
      </c>
      <c r="H291" s="705" t="str">
        <f t="shared" si="10"/>
        <v>0831</v>
      </c>
      <c r="I291" s="705">
        <v>111</v>
      </c>
      <c r="J291" s="701">
        <v>44.02</v>
      </c>
    </row>
    <row r="292" spans="1:10" ht="12.75" x14ac:dyDescent="0.2">
      <c r="A292" s="700">
        <v>831</v>
      </c>
      <c r="B292" s="700" t="str">
        <f t="shared" si="9"/>
        <v>0831</v>
      </c>
      <c r="C292" s="700">
        <v>111</v>
      </c>
      <c r="D292" s="701">
        <v>42.52</v>
      </c>
      <c r="E292" s="701"/>
      <c r="F292" s="701"/>
      <c r="G292" s="705">
        <v>831</v>
      </c>
      <c r="H292" s="705" t="str">
        <f t="shared" si="10"/>
        <v>0831</v>
      </c>
      <c r="I292" s="705">
        <v>112</v>
      </c>
      <c r="J292" s="701">
        <v>14</v>
      </c>
    </row>
    <row r="293" spans="1:10" ht="12.75" x14ac:dyDescent="0.2">
      <c r="A293" s="700">
        <v>831</v>
      </c>
      <c r="B293" s="700" t="str">
        <f t="shared" si="9"/>
        <v>0831</v>
      </c>
      <c r="C293" s="700">
        <v>112</v>
      </c>
      <c r="D293" s="701">
        <v>14.54</v>
      </c>
      <c r="E293" s="701"/>
      <c r="F293" s="701"/>
      <c r="G293" s="705">
        <v>831</v>
      </c>
      <c r="H293" s="705" t="str">
        <f t="shared" si="10"/>
        <v>0831</v>
      </c>
      <c r="I293" s="705">
        <v>130</v>
      </c>
      <c r="J293" s="701">
        <v>84.92</v>
      </c>
    </row>
    <row r="294" spans="1:10" ht="12.75" x14ac:dyDescent="0.2">
      <c r="A294" s="700">
        <v>831</v>
      </c>
      <c r="B294" s="700" t="str">
        <f t="shared" si="9"/>
        <v>0831</v>
      </c>
      <c r="C294" s="700">
        <v>130</v>
      </c>
      <c r="D294" s="701">
        <v>81.66</v>
      </c>
      <c r="E294" s="701"/>
      <c r="F294" s="701"/>
      <c r="G294" s="705">
        <v>831</v>
      </c>
      <c r="H294" s="705" t="str">
        <f t="shared" si="10"/>
        <v>0831</v>
      </c>
      <c r="I294" s="705">
        <v>254</v>
      </c>
      <c r="J294" s="701">
        <v>0.5</v>
      </c>
    </row>
    <row r="295" spans="1:10" ht="12.75" x14ac:dyDescent="0.2">
      <c r="A295" s="700">
        <v>831</v>
      </c>
      <c r="B295" s="700" t="str">
        <f t="shared" si="9"/>
        <v>0831</v>
      </c>
      <c r="C295" s="700">
        <v>254</v>
      </c>
      <c r="D295" s="701">
        <v>0</v>
      </c>
      <c r="E295" s="701"/>
      <c r="F295" s="701"/>
      <c r="G295" s="705">
        <v>842</v>
      </c>
      <c r="H295" s="705" t="str">
        <f t="shared" si="10"/>
        <v>0842</v>
      </c>
      <c r="I295" s="705">
        <v>102</v>
      </c>
      <c r="J295" s="701">
        <v>5.52</v>
      </c>
    </row>
    <row r="296" spans="1:10" ht="12.75" x14ac:dyDescent="0.2">
      <c r="A296" s="700">
        <v>842</v>
      </c>
      <c r="B296" s="700" t="str">
        <f t="shared" si="9"/>
        <v>0842</v>
      </c>
      <c r="C296" s="700">
        <v>102</v>
      </c>
      <c r="D296" s="701">
        <v>3.11</v>
      </c>
      <c r="E296" s="701"/>
      <c r="F296" s="701"/>
      <c r="G296" s="705">
        <v>842</v>
      </c>
      <c r="H296" s="705" t="str">
        <f t="shared" si="10"/>
        <v>0842</v>
      </c>
      <c r="I296" s="705">
        <v>103</v>
      </c>
      <c r="J296" s="701">
        <v>24.23</v>
      </c>
    </row>
    <row r="297" spans="1:10" ht="12.75" x14ac:dyDescent="0.2">
      <c r="A297" s="700">
        <v>842</v>
      </c>
      <c r="B297" s="700" t="str">
        <f t="shared" si="9"/>
        <v>0842</v>
      </c>
      <c r="C297" s="700">
        <v>103</v>
      </c>
      <c r="D297" s="701">
        <v>32.630000000000003</v>
      </c>
      <c r="E297" s="701"/>
      <c r="F297" s="701"/>
      <c r="G297" s="705">
        <v>842</v>
      </c>
      <c r="H297" s="705" t="str">
        <f t="shared" si="10"/>
        <v>0842</v>
      </c>
      <c r="I297" s="705">
        <v>112</v>
      </c>
      <c r="J297" s="701">
        <v>6.99</v>
      </c>
    </row>
    <row r="298" spans="1:10" ht="12.75" x14ac:dyDescent="0.2">
      <c r="A298" s="700">
        <v>842</v>
      </c>
      <c r="B298" s="700" t="str">
        <f t="shared" si="9"/>
        <v>0842</v>
      </c>
      <c r="C298" s="700">
        <v>112</v>
      </c>
      <c r="D298" s="701">
        <v>4.38</v>
      </c>
      <c r="E298" s="701"/>
      <c r="F298" s="701"/>
      <c r="G298" s="705">
        <v>842</v>
      </c>
      <c r="H298" s="705" t="str">
        <f t="shared" si="10"/>
        <v>0842</v>
      </c>
      <c r="I298" s="705">
        <v>113</v>
      </c>
      <c r="J298" s="701">
        <v>9.8800000000000008</v>
      </c>
    </row>
    <row r="299" spans="1:10" ht="12.75" x14ac:dyDescent="0.2">
      <c r="A299" s="700">
        <v>842</v>
      </c>
      <c r="B299" s="700" t="str">
        <f t="shared" si="9"/>
        <v>0842</v>
      </c>
      <c r="C299" s="700">
        <v>113</v>
      </c>
      <c r="D299" s="701">
        <v>13.58</v>
      </c>
      <c r="E299" s="701"/>
      <c r="F299" s="701"/>
      <c r="G299" s="705">
        <v>842</v>
      </c>
      <c r="H299" s="705" t="str">
        <f t="shared" si="10"/>
        <v>0842</v>
      </c>
      <c r="I299" s="705">
        <v>130</v>
      </c>
      <c r="J299" s="701">
        <v>1.25</v>
      </c>
    </row>
    <row r="300" spans="1:10" ht="12.75" x14ac:dyDescent="0.2">
      <c r="A300" s="700">
        <v>842</v>
      </c>
      <c r="B300" s="700" t="str">
        <f t="shared" si="9"/>
        <v>0842</v>
      </c>
      <c r="C300" s="700">
        <v>130</v>
      </c>
      <c r="D300" s="701">
        <v>1.24</v>
      </c>
      <c r="E300" s="701"/>
      <c r="F300" s="701"/>
      <c r="G300" s="705">
        <v>842</v>
      </c>
      <c r="H300" s="705" t="str">
        <f t="shared" si="10"/>
        <v>0842</v>
      </c>
      <c r="I300" s="705">
        <v>300</v>
      </c>
      <c r="J300" s="701">
        <v>0.94</v>
      </c>
    </row>
    <row r="301" spans="1:10" ht="12.75" x14ac:dyDescent="0.2">
      <c r="A301" s="700">
        <v>842</v>
      </c>
      <c r="B301" s="700" t="str">
        <f t="shared" si="9"/>
        <v>0842</v>
      </c>
      <c r="C301" s="700">
        <v>300</v>
      </c>
      <c r="D301" s="701">
        <v>1.74</v>
      </c>
      <c r="E301" s="701"/>
      <c r="F301" s="701"/>
      <c r="G301" s="705">
        <v>862</v>
      </c>
      <c r="H301" s="705" t="str">
        <f t="shared" si="10"/>
        <v>0862</v>
      </c>
      <c r="I301" s="705">
        <v>103</v>
      </c>
      <c r="J301" s="701">
        <v>478.12</v>
      </c>
    </row>
    <row r="302" spans="1:10" ht="12.75" x14ac:dyDescent="0.2">
      <c r="A302" s="700">
        <v>862</v>
      </c>
      <c r="B302" s="700" t="str">
        <f t="shared" si="9"/>
        <v>0862</v>
      </c>
      <c r="C302" s="700">
        <v>103</v>
      </c>
      <c r="D302" s="701">
        <v>496.7</v>
      </c>
      <c r="E302" s="701"/>
      <c r="F302" s="701"/>
      <c r="G302" s="705">
        <v>862</v>
      </c>
      <c r="H302" s="705" t="str">
        <f t="shared" si="10"/>
        <v>0862</v>
      </c>
      <c r="I302" s="705">
        <v>113</v>
      </c>
      <c r="J302" s="701">
        <v>140.22</v>
      </c>
    </row>
    <row r="303" spans="1:10" ht="12.75" x14ac:dyDescent="0.2">
      <c r="A303" s="700">
        <v>862</v>
      </c>
      <c r="B303" s="700" t="str">
        <f t="shared" si="9"/>
        <v>0862</v>
      </c>
      <c r="C303" s="700">
        <v>113</v>
      </c>
      <c r="D303" s="701">
        <v>146.79</v>
      </c>
      <c r="E303" s="701"/>
      <c r="F303" s="701"/>
      <c r="G303" s="705">
        <v>862</v>
      </c>
      <c r="H303" s="705" t="str">
        <f t="shared" si="10"/>
        <v>0862</v>
      </c>
      <c r="I303" s="705">
        <v>130</v>
      </c>
      <c r="J303" s="701">
        <v>73.290000000000006</v>
      </c>
    </row>
    <row r="304" spans="1:10" ht="12.75" x14ac:dyDescent="0.2">
      <c r="A304" s="700">
        <v>862</v>
      </c>
      <c r="B304" s="700" t="str">
        <f t="shared" si="9"/>
        <v>0862</v>
      </c>
      <c r="C304" s="700">
        <v>130</v>
      </c>
      <c r="D304" s="701">
        <v>81.99</v>
      </c>
      <c r="E304" s="701"/>
      <c r="F304" s="701"/>
      <c r="G304" s="705">
        <v>862</v>
      </c>
      <c r="H304" s="705" t="str">
        <f t="shared" si="10"/>
        <v>0862</v>
      </c>
      <c r="I304" s="705">
        <v>300</v>
      </c>
      <c r="J304" s="701">
        <v>56.07</v>
      </c>
    </row>
    <row r="305" spans="1:10" ht="12.75" x14ac:dyDescent="0.2">
      <c r="A305" s="700">
        <v>862</v>
      </c>
      <c r="B305" s="700" t="str">
        <f t="shared" si="9"/>
        <v>0862</v>
      </c>
      <c r="C305" s="700">
        <v>300</v>
      </c>
      <c r="D305" s="701">
        <v>59.55</v>
      </c>
      <c r="E305" s="701"/>
      <c r="F305" s="701"/>
      <c r="G305" s="705">
        <v>871</v>
      </c>
      <c r="H305" s="705" t="str">
        <f t="shared" si="10"/>
        <v>0871</v>
      </c>
      <c r="I305" s="705">
        <v>101</v>
      </c>
      <c r="J305" s="701">
        <v>120.61</v>
      </c>
    </row>
    <row r="306" spans="1:10" ht="12.75" x14ac:dyDescent="0.2">
      <c r="A306" s="700">
        <v>871</v>
      </c>
      <c r="B306" s="700" t="str">
        <f t="shared" si="9"/>
        <v>0871</v>
      </c>
      <c r="C306" s="700">
        <v>101</v>
      </c>
      <c r="D306" s="701">
        <v>118.49</v>
      </c>
      <c r="E306" s="701"/>
      <c r="F306" s="701"/>
      <c r="G306" s="705">
        <v>871</v>
      </c>
      <c r="H306" s="705" t="str">
        <f t="shared" si="10"/>
        <v>0871</v>
      </c>
      <c r="I306" s="705">
        <v>102</v>
      </c>
      <c r="J306" s="701">
        <v>155.37</v>
      </c>
    </row>
    <row r="307" spans="1:10" ht="12.75" x14ac:dyDescent="0.2">
      <c r="A307" s="700">
        <v>871</v>
      </c>
      <c r="B307" s="700" t="str">
        <f t="shared" si="9"/>
        <v>0871</v>
      </c>
      <c r="C307" s="700">
        <v>102</v>
      </c>
      <c r="D307" s="701">
        <v>163.44</v>
      </c>
      <c r="E307" s="701"/>
      <c r="F307" s="701"/>
      <c r="G307" s="705">
        <v>871</v>
      </c>
      <c r="H307" s="705" t="str">
        <f t="shared" si="10"/>
        <v>0871</v>
      </c>
      <c r="I307" s="705">
        <v>111</v>
      </c>
      <c r="J307" s="701">
        <v>17.010000000000002</v>
      </c>
    </row>
    <row r="308" spans="1:10" ht="12.75" x14ac:dyDescent="0.2">
      <c r="A308" s="700">
        <v>871</v>
      </c>
      <c r="B308" s="700" t="str">
        <f t="shared" si="9"/>
        <v>0871</v>
      </c>
      <c r="C308" s="700">
        <v>111</v>
      </c>
      <c r="D308" s="701">
        <v>15.52</v>
      </c>
      <c r="E308" s="701"/>
      <c r="F308" s="701"/>
      <c r="G308" s="705">
        <v>871</v>
      </c>
      <c r="H308" s="705" t="str">
        <f t="shared" si="10"/>
        <v>0871</v>
      </c>
      <c r="I308" s="705">
        <v>112</v>
      </c>
      <c r="J308" s="701">
        <v>33.450000000000003</v>
      </c>
    </row>
    <row r="309" spans="1:10" ht="12.75" x14ac:dyDescent="0.2">
      <c r="A309" s="700">
        <v>871</v>
      </c>
      <c r="B309" s="700" t="str">
        <f t="shared" si="9"/>
        <v>0871</v>
      </c>
      <c r="C309" s="700">
        <v>112</v>
      </c>
      <c r="D309" s="701">
        <v>35.159999999999997</v>
      </c>
      <c r="E309" s="701"/>
      <c r="F309" s="701"/>
      <c r="G309" s="705">
        <v>871</v>
      </c>
      <c r="H309" s="705" t="str">
        <f t="shared" si="10"/>
        <v>0871</v>
      </c>
      <c r="I309" s="705">
        <v>130</v>
      </c>
      <c r="J309" s="701">
        <v>30.94</v>
      </c>
    </row>
    <row r="310" spans="1:10" ht="12.75" x14ac:dyDescent="0.2">
      <c r="A310" s="700">
        <v>871</v>
      </c>
      <c r="B310" s="700" t="str">
        <f t="shared" si="9"/>
        <v>0871</v>
      </c>
      <c r="C310" s="700">
        <v>130</v>
      </c>
      <c r="D310" s="701">
        <v>32.85</v>
      </c>
      <c r="E310" s="701"/>
      <c r="F310" s="701"/>
      <c r="G310" s="705">
        <v>881</v>
      </c>
      <c r="H310" s="705" t="str">
        <f t="shared" si="10"/>
        <v>0881</v>
      </c>
      <c r="I310" s="705">
        <v>101</v>
      </c>
      <c r="J310" s="701">
        <v>99.87</v>
      </c>
    </row>
    <row r="311" spans="1:10" ht="12.75" x14ac:dyDescent="0.2">
      <c r="A311" s="700">
        <v>881</v>
      </c>
      <c r="B311" s="700" t="str">
        <f t="shared" si="9"/>
        <v>0881</v>
      </c>
      <c r="C311" s="700">
        <v>101</v>
      </c>
      <c r="D311" s="701">
        <v>98.89</v>
      </c>
      <c r="E311" s="701"/>
      <c r="F311" s="701"/>
      <c r="G311" s="705">
        <v>881</v>
      </c>
      <c r="H311" s="705" t="str">
        <f t="shared" si="10"/>
        <v>0881</v>
      </c>
      <c r="I311" s="705">
        <v>102</v>
      </c>
      <c r="J311" s="701">
        <v>52.23</v>
      </c>
    </row>
    <row r="312" spans="1:10" ht="12.75" x14ac:dyDescent="0.2">
      <c r="A312" s="700">
        <v>881</v>
      </c>
      <c r="B312" s="700" t="str">
        <f t="shared" si="9"/>
        <v>0881</v>
      </c>
      <c r="C312" s="700">
        <v>102</v>
      </c>
      <c r="D312" s="701">
        <v>52.68</v>
      </c>
      <c r="E312" s="701"/>
      <c r="F312" s="701"/>
      <c r="G312" s="705">
        <v>881</v>
      </c>
      <c r="H312" s="705" t="str">
        <f t="shared" si="10"/>
        <v>0881</v>
      </c>
      <c r="I312" s="705">
        <v>111</v>
      </c>
      <c r="J312" s="701">
        <v>22.6</v>
      </c>
    </row>
    <row r="313" spans="1:10" ht="12.75" x14ac:dyDescent="0.2">
      <c r="A313" s="700">
        <v>881</v>
      </c>
      <c r="B313" s="700" t="str">
        <f t="shared" si="9"/>
        <v>0881</v>
      </c>
      <c r="C313" s="700">
        <v>111</v>
      </c>
      <c r="D313" s="701">
        <v>24.6</v>
      </c>
      <c r="E313" s="701"/>
      <c r="F313" s="701"/>
      <c r="G313" s="705">
        <v>881</v>
      </c>
      <c r="H313" s="705" t="str">
        <f t="shared" si="10"/>
        <v>0881</v>
      </c>
      <c r="I313" s="705">
        <v>112</v>
      </c>
      <c r="J313" s="701">
        <v>9</v>
      </c>
    </row>
    <row r="314" spans="1:10" ht="12.75" x14ac:dyDescent="0.2">
      <c r="A314" s="700">
        <v>881</v>
      </c>
      <c r="B314" s="700" t="str">
        <f t="shared" si="9"/>
        <v>0881</v>
      </c>
      <c r="C314" s="700">
        <v>112</v>
      </c>
      <c r="D314" s="701">
        <v>9</v>
      </c>
      <c r="E314" s="701"/>
      <c r="F314" s="701"/>
      <c r="G314" s="705">
        <v>881</v>
      </c>
      <c r="H314" s="705" t="str">
        <f t="shared" si="10"/>
        <v>0881</v>
      </c>
      <c r="I314" s="705">
        <v>130</v>
      </c>
      <c r="J314" s="701">
        <v>12.94</v>
      </c>
    </row>
    <row r="315" spans="1:10" ht="12.75" x14ac:dyDescent="0.2">
      <c r="A315" s="700">
        <v>881</v>
      </c>
      <c r="B315" s="700" t="str">
        <f t="shared" si="9"/>
        <v>0881</v>
      </c>
      <c r="C315" s="700">
        <v>130</v>
      </c>
      <c r="D315" s="701">
        <v>12.37</v>
      </c>
      <c r="E315" s="701"/>
      <c r="F315" s="701"/>
      <c r="G315" s="705">
        <v>911</v>
      </c>
      <c r="H315" s="705" t="str">
        <f t="shared" si="10"/>
        <v>0911</v>
      </c>
      <c r="I315" s="705">
        <v>101</v>
      </c>
      <c r="J315" s="701">
        <v>44.97</v>
      </c>
    </row>
    <row r="316" spans="1:10" ht="12.75" x14ac:dyDescent="0.2">
      <c r="A316" s="700">
        <v>911</v>
      </c>
      <c r="B316" s="700" t="str">
        <f t="shared" si="9"/>
        <v>0911</v>
      </c>
      <c r="C316" s="700">
        <v>101</v>
      </c>
      <c r="D316" s="701">
        <v>47.84</v>
      </c>
      <c r="E316" s="701"/>
      <c r="F316" s="701"/>
      <c r="G316" s="705">
        <v>911</v>
      </c>
      <c r="H316" s="705" t="str">
        <f t="shared" si="10"/>
        <v>0911</v>
      </c>
      <c r="I316" s="705">
        <v>102</v>
      </c>
      <c r="J316" s="701">
        <v>24.32</v>
      </c>
    </row>
    <row r="317" spans="1:10" ht="12.75" x14ac:dyDescent="0.2">
      <c r="A317" s="700">
        <v>911</v>
      </c>
      <c r="B317" s="700" t="str">
        <f t="shared" si="9"/>
        <v>0911</v>
      </c>
      <c r="C317" s="700">
        <v>102</v>
      </c>
      <c r="D317" s="701">
        <v>24.05</v>
      </c>
      <c r="E317" s="701"/>
      <c r="F317" s="701"/>
      <c r="G317" s="705">
        <v>911</v>
      </c>
      <c r="H317" s="705" t="str">
        <f t="shared" si="10"/>
        <v>0911</v>
      </c>
      <c r="I317" s="705">
        <v>111</v>
      </c>
      <c r="J317" s="701">
        <v>17.989999999999998</v>
      </c>
    </row>
    <row r="318" spans="1:10" ht="12.75" x14ac:dyDescent="0.2">
      <c r="A318" s="700">
        <v>911</v>
      </c>
      <c r="B318" s="700" t="str">
        <f t="shared" si="9"/>
        <v>0911</v>
      </c>
      <c r="C318" s="700">
        <v>111</v>
      </c>
      <c r="D318" s="701">
        <v>15</v>
      </c>
      <c r="E318" s="701"/>
      <c r="F318" s="701"/>
      <c r="G318" s="705">
        <v>911</v>
      </c>
      <c r="H318" s="705" t="str">
        <f t="shared" si="10"/>
        <v>0911</v>
      </c>
      <c r="I318" s="705">
        <v>112</v>
      </c>
      <c r="J318" s="701">
        <v>15.5</v>
      </c>
    </row>
    <row r="319" spans="1:10" ht="12.75" x14ac:dyDescent="0.2">
      <c r="A319" s="700">
        <v>911</v>
      </c>
      <c r="B319" s="700" t="str">
        <f t="shared" si="9"/>
        <v>0911</v>
      </c>
      <c r="C319" s="700">
        <v>112</v>
      </c>
      <c r="D319" s="701">
        <v>14</v>
      </c>
      <c r="E319" s="701"/>
      <c r="F319" s="701"/>
      <c r="G319" s="705">
        <v>911</v>
      </c>
      <c r="H319" s="705" t="str">
        <f t="shared" si="10"/>
        <v>0911</v>
      </c>
      <c r="I319" s="705">
        <v>130</v>
      </c>
      <c r="J319" s="701">
        <v>56.68</v>
      </c>
    </row>
    <row r="320" spans="1:10" ht="12.75" x14ac:dyDescent="0.2">
      <c r="A320" s="700">
        <v>911</v>
      </c>
      <c r="B320" s="700" t="str">
        <f t="shared" si="9"/>
        <v>0911</v>
      </c>
      <c r="C320" s="700">
        <v>130</v>
      </c>
      <c r="D320" s="701">
        <v>60.54</v>
      </c>
      <c r="E320" s="701"/>
      <c r="F320" s="701"/>
      <c r="G320" s="705">
        <v>931</v>
      </c>
      <c r="H320" s="705" t="str">
        <f t="shared" si="10"/>
        <v>0931</v>
      </c>
      <c r="I320" s="705">
        <v>101</v>
      </c>
      <c r="J320" s="701">
        <v>103.29</v>
      </c>
    </row>
    <row r="321" spans="1:10" ht="12.75" x14ac:dyDescent="0.2">
      <c r="A321" s="700">
        <v>931</v>
      </c>
      <c r="B321" s="700" t="str">
        <f t="shared" si="9"/>
        <v>0931</v>
      </c>
      <c r="C321" s="700">
        <v>101</v>
      </c>
      <c r="D321" s="701">
        <v>110.13</v>
      </c>
      <c r="E321" s="701"/>
      <c r="F321" s="701"/>
      <c r="G321" s="705">
        <v>931</v>
      </c>
      <c r="H321" s="705" t="str">
        <f t="shared" si="10"/>
        <v>0931</v>
      </c>
      <c r="I321" s="705">
        <v>102</v>
      </c>
      <c r="J321" s="701">
        <v>52.29</v>
      </c>
    </row>
    <row r="322" spans="1:10" ht="12.75" x14ac:dyDescent="0.2">
      <c r="A322" s="700">
        <v>931</v>
      </c>
      <c r="B322" s="700" t="str">
        <f t="shared" ref="B322:B385" si="11">TEXT(A322,"0000")</f>
        <v>0931</v>
      </c>
      <c r="C322" s="700">
        <v>102</v>
      </c>
      <c r="D322" s="701">
        <v>53.43</v>
      </c>
      <c r="E322" s="701"/>
      <c r="F322" s="701"/>
      <c r="G322" s="705">
        <v>931</v>
      </c>
      <c r="H322" s="705" t="str">
        <f t="shared" si="10"/>
        <v>0931</v>
      </c>
      <c r="I322" s="705">
        <v>111</v>
      </c>
      <c r="J322" s="701">
        <v>57.27</v>
      </c>
    </row>
    <row r="323" spans="1:10" ht="12.75" x14ac:dyDescent="0.2">
      <c r="A323" s="700">
        <v>931</v>
      </c>
      <c r="B323" s="700" t="str">
        <f t="shared" si="11"/>
        <v>0931</v>
      </c>
      <c r="C323" s="700">
        <v>111</v>
      </c>
      <c r="D323" s="701">
        <v>54.42</v>
      </c>
      <c r="E323" s="701"/>
      <c r="F323" s="701"/>
      <c r="G323" s="705">
        <v>931</v>
      </c>
      <c r="H323" s="705" t="str">
        <f t="shared" ref="H323:H386" si="12">TEXT(G323,"0000")</f>
        <v>0931</v>
      </c>
      <c r="I323" s="705">
        <v>112</v>
      </c>
      <c r="J323" s="701">
        <v>40.46</v>
      </c>
    </row>
    <row r="324" spans="1:10" ht="12.75" x14ac:dyDescent="0.2">
      <c r="A324" s="700">
        <v>931</v>
      </c>
      <c r="B324" s="700" t="str">
        <f t="shared" si="11"/>
        <v>0931</v>
      </c>
      <c r="C324" s="700">
        <v>112</v>
      </c>
      <c r="D324" s="701">
        <v>40.04</v>
      </c>
      <c r="E324" s="701"/>
      <c r="F324" s="701"/>
      <c r="G324" s="705">
        <v>931</v>
      </c>
      <c r="H324" s="705" t="str">
        <f t="shared" si="12"/>
        <v>0931</v>
      </c>
      <c r="I324" s="705">
        <v>130</v>
      </c>
      <c r="J324" s="701">
        <v>47.43</v>
      </c>
    </row>
    <row r="325" spans="1:10" ht="12.75" x14ac:dyDescent="0.2">
      <c r="A325" s="700">
        <v>931</v>
      </c>
      <c r="B325" s="700" t="str">
        <f t="shared" si="11"/>
        <v>0931</v>
      </c>
      <c r="C325" s="700">
        <v>130</v>
      </c>
      <c r="D325" s="701">
        <v>51.35</v>
      </c>
      <c r="E325" s="701"/>
      <c r="F325" s="701"/>
      <c r="G325" s="705">
        <v>931</v>
      </c>
      <c r="H325" s="705" t="str">
        <f t="shared" si="12"/>
        <v>0931</v>
      </c>
      <c r="I325" s="705">
        <v>254</v>
      </c>
      <c r="J325" s="701">
        <v>2.5</v>
      </c>
    </row>
    <row r="326" spans="1:10" ht="12.75" x14ac:dyDescent="0.2">
      <c r="A326" s="700">
        <v>931</v>
      </c>
      <c r="B326" s="700" t="str">
        <f t="shared" si="11"/>
        <v>0931</v>
      </c>
      <c r="C326" s="700">
        <v>254</v>
      </c>
      <c r="D326" s="701">
        <v>2.5</v>
      </c>
      <c r="E326" s="701"/>
      <c r="F326" s="701"/>
      <c r="G326" s="705">
        <v>951</v>
      </c>
      <c r="H326" s="705" t="str">
        <f t="shared" si="12"/>
        <v>0951</v>
      </c>
      <c r="I326" s="705">
        <v>101</v>
      </c>
      <c r="J326" s="701">
        <v>57.6</v>
      </c>
    </row>
    <row r="327" spans="1:10" ht="12.75" x14ac:dyDescent="0.2">
      <c r="A327" s="700">
        <v>951</v>
      </c>
      <c r="B327" s="700" t="str">
        <f t="shared" si="11"/>
        <v>0951</v>
      </c>
      <c r="C327" s="700">
        <v>101</v>
      </c>
      <c r="D327" s="701">
        <v>61.42</v>
      </c>
      <c r="E327" s="701"/>
      <c r="F327" s="701"/>
      <c r="G327" s="705">
        <v>951</v>
      </c>
      <c r="H327" s="705" t="str">
        <f t="shared" si="12"/>
        <v>0951</v>
      </c>
      <c r="I327" s="705">
        <v>102</v>
      </c>
      <c r="J327" s="701">
        <v>30.37</v>
      </c>
    </row>
    <row r="328" spans="1:10" ht="12.75" x14ac:dyDescent="0.2">
      <c r="A328" s="700">
        <v>951</v>
      </c>
      <c r="B328" s="700" t="str">
        <f t="shared" si="11"/>
        <v>0951</v>
      </c>
      <c r="C328" s="700">
        <v>102</v>
      </c>
      <c r="D328" s="701">
        <v>29.74</v>
      </c>
      <c r="E328" s="701"/>
      <c r="F328" s="701"/>
      <c r="G328" s="705">
        <v>951</v>
      </c>
      <c r="H328" s="705" t="str">
        <f t="shared" si="12"/>
        <v>0951</v>
      </c>
      <c r="I328" s="705">
        <v>111</v>
      </c>
      <c r="J328" s="701">
        <v>15.52</v>
      </c>
    </row>
    <row r="329" spans="1:10" ht="12.75" x14ac:dyDescent="0.2">
      <c r="A329" s="700">
        <v>951</v>
      </c>
      <c r="B329" s="700" t="str">
        <f t="shared" si="11"/>
        <v>0951</v>
      </c>
      <c r="C329" s="700">
        <v>111</v>
      </c>
      <c r="D329" s="701">
        <v>13.99</v>
      </c>
      <c r="E329" s="701"/>
      <c r="F329" s="701"/>
      <c r="G329" s="705">
        <v>951</v>
      </c>
      <c r="H329" s="705" t="str">
        <f t="shared" si="12"/>
        <v>0951</v>
      </c>
      <c r="I329" s="705">
        <v>112</v>
      </c>
      <c r="J329" s="701">
        <v>13.5</v>
      </c>
    </row>
    <row r="330" spans="1:10" ht="12.75" x14ac:dyDescent="0.2">
      <c r="A330" s="700">
        <v>951</v>
      </c>
      <c r="B330" s="700" t="str">
        <f t="shared" si="11"/>
        <v>0951</v>
      </c>
      <c r="C330" s="700">
        <v>112</v>
      </c>
      <c r="D330" s="701">
        <v>13.87</v>
      </c>
      <c r="E330" s="701"/>
      <c r="F330" s="701"/>
      <c r="G330" s="705">
        <v>951</v>
      </c>
      <c r="H330" s="705" t="str">
        <f t="shared" si="12"/>
        <v>0951</v>
      </c>
      <c r="I330" s="705">
        <v>130</v>
      </c>
      <c r="J330" s="701">
        <v>16.809999999999999</v>
      </c>
    </row>
    <row r="331" spans="1:10" ht="12.75" x14ac:dyDescent="0.2">
      <c r="A331" s="700">
        <v>951</v>
      </c>
      <c r="B331" s="700" t="str">
        <f t="shared" si="11"/>
        <v>0951</v>
      </c>
      <c r="C331" s="700">
        <v>130</v>
      </c>
      <c r="D331" s="701">
        <v>19.27</v>
      </c>
      <c r="E331" s="701"/>
      <c r="F331" s="701"/>
      <c r="G331" s="705">
        <v>961</v>
      </c>
      <c r="H331" s="705" t="str">
        <f t="shared" si="12"/>
        <v>0961</v>
      </c>
      <c r="I331" s="705">
        <v>102</v>
      </c>
      <c r="J331" s="701">
        <v>0.14000000000000001</v>
      </c>
    </row>
    <row r="332" spans="1:10" ht="12.75" x14ac:dyDescent="0.2">
      <c r="A332" s="700">
        <v>961</v>
      </c>
      <c r="B332" s="700" t="str">
        <f t="shared" si="11"/>
        <v>0961</v>
      </c>
      <c r="C332" s="700">
        <v>102</v>
      </c>
      <c r="D332" s="701">
        <v>0.14000000000000001</v>
      </c>
      <c r="E332" s="701"/>
      <c r="F332" s="701"/>
      <c r="G332" s="705">
        <v>961</v>
      </c>
      <c r="H332" s="705" t="str">
        <f t="shared" si="12"/>
        <v>0961</v>
      </c>
      <c r="I332" s="705">
        <v>103</v>
      </c>
      <c r="J332" s="701">
        <v>990.24</v>
      </c>
    </row>
    <row r="333" spans="1:10" ht="12.75" x14ac:dyDescent="0.2">
      <c r="A333" s="700">
        <v>961</v>
      </c>
      <c r="B333" s="700" t="str">
        <f t="shared" si="11"/>
        <v>0961</v>
      </c>
      <c r="C333" s="700">
        <v>103</v>
      </c>
      <c r="D333" s="701">
        <v>990.99</v>
      </c>
      <c r="E333" s="701"/>
      <c r="F333" s="701"/>
      <c r="G333" s="705">
        <v>961</v>
      </c>
      <c r="H333" s="705" t="str">
        <f t="shared" si="12"/>
        <v>0961</v>
      </c>
      <c r="I333" s="705">
        <v>112</v>
      </c>
      <c r="J333" s="701">
        <v>0.08</v>
      </c>
    </row>
    <row r="334" spans="1:10" ht="12.75" x14ac:dyDescent="0.2">
      <c r="A334" s="700">
        <v>961</v>
      </c>
      <c r="B334" s="700" t="str">
        <f t="shared" si="11"/>
        <v>0961</v>
      </c>
      <c r="C334" s="700">
        <v>112</v>
      </c>
      <c r="D334" s="701">
        <v>0.08</v>
      </c>
      <c r="E334" s="701"/>
      <c r="F334" s="701"/>
      <c r="G334" s="705">
        <v>961</v>
      </c>
      <c r="H334" s="705" t="str">
        <f t="shared" si="12"/>
        <v>0961</v>
      </c>
      <c r="I334" s="705">
        <v>113</v>
      </c>
      <c r="J334" s="701">
        <v>178.49</v>
      </c>
    </row>
    <row r="335" spans="1:10" ht="12.75" x14ac:dyDescent="0.2">
      <c r="A335" s="700">
        <v>961</v>
      </c>
      <c r="B335" s="700" t="str">
        <f t="shared" si="11"/>
        <v>0961</v>
      </c>
      <c r="C335" s="700">
        <v>113</v>
      </c>
      <c r="D335" s="701">
        <v>180.78</v>
      </c>
      <c r="E335" s="701"/>
      <c r="F335" s="701"/>
      <c r="G335" s="705">
        <v>961</v>
      </c>
      <c r="H335" s="705" t="str">
        <f t="shared" si="12"/>
        <v>0961</v>
      </c>
      <c r="I335" s="705">
        <v>130</v>
      </c>
      <c r="J335" s="701">
        <v>66.11</v>
      </c>
    </row>
    <row r="336" spans="1:10" ht="12.75" x14ac:dyDescent="0.2">
      <c r="A336" s="700">
        <v>961</v>
      </c>
      <c r="B336" s="700" t="str">
        <f t="shared" si="11"/>
        <v>0961</v>
      </c>
      <c r="C336" s="700">
        <v>130</v>
      </c>
      <c r="D336" s="701">
        <v>74.069999999999993</v>
      </c>
      <c r="E336" s="701"/>
      <c r="F336" s="701"/>
      <c r="G336" s="705">
        <v>961</v>
      </c>
      <c r="H336" s="705" t="str">
        <f t="shared" si="12"/>
        <v>0961</v>
      </c>
      <c r="I336" s="705">
        <v>254</v>
      </c>
      <c r="J336" s="701">
        <v>0.97</v>
      </c>
    </row>
    <row r="337" spans="1:10" ht="12.75" x14ac:dyDescent="0.2">
      <c r="A337" s="700">
        <v>961</v>
      </c>
      <c r="B337" s="700" t="str">
        <f t="shared" si="11"/>
        <v>0961</v>
      </c>
      <c r="C337" s="700">
        <v>254</v>
      </c>
      <c r="D337" s="701">
        <v>1.47</v>
      </c>
      <c r="E337" s="701"/>
      <c r="F337" s="701"/>
      <c r="G337" s="705">
        <v>961</v>
      </c>
      <c r="H337" s="705" t="str">
        <f t="shared" si="12"/>
        <v>0961</v>
      </c>
      <c r="I337" s="705">
        <v>255</v>
      </c>
      <c r="J337" s="701">
        <v>0.33</v>
      </c>
    </row>
    <row r="338" spans="1:10" ht="12.75" x14ac:dyDescent="0.2">
      <c r="A338" s="700">
        <v>961</v>
      </c>
      <c r="B338" s="700" t="str">
        <f t="shared" si="11"/>
        <v>0961</v>
      </c>
      <c r="C338" s="700">
        <v>255</v>
      </c>
      <c r="D338" s="701">
        <v>0.33</v>
      </c>
      <c r="E338" s="701"/>
      <c r="F338" s="701"/>
      <c r="G338" s="705">
        <v>961</v>
      </c>
      <c r="H338" s="705" t="str">
        <f t="shared" si="12"/>
        <v>0961</v>
      </c>
      <c r="I338" s="705">
        <v>300</v>
      </c>
      <c r="J338" s="701">
        <v>25.21</v>
      </c>
    </row>
    <row r="339" spans="1:10" ht="12.75" x14ac:dyDescent="0.2">
      <c r="A339" s="700">
        <v>961</v>
      </c>
      <c r="B339" s="700" t="str">
        <f t="shared" si="11"/>
        <v>0961</v>
      </c>
      <c r="C339" s="700">
        <v>300</v>
      </c>
      <c r="D339" s="701">
        <v>26.39</v>
      </c>
      <c r="E339" s="701"/>
      <c r="F339" s="701"/>
      <c r="G339" s="705">
        <v>1101</v>
      </c>
      <c r="H339" s="705" t="str">
        <f t="shared" si="12"/>
        <v>1101</v>
      </c>
      <c r="I339" s="705">
        <v>101</v>
      </c>
      <c r="J339" s="701">
        <v>75.17</v>
      </c>
    </row>
    <row r="340" spans="1:10" ht="12.75" x14ac:dyDescent="0.2">
      <c r="A340" s="700">
        <v>1101</v>
      </c>
      <c r="B340" s="700" t="str">
        <f t="shared" si="11"/>
        <v>1101</v>
      </c>
      <c r="C340" s="700">
        <v>101</v>
      </c>
      <c r="D340" s="701">
        <v>77.06</v>
      </c>
      <c r="E340" s="701"/>
      <c r="F340" s="701"/>
      <c r="G340" s="705">
        <v>1101</v>
      </c>
      <c r="H340" s="705" t="str">
        <f t="shared" si="12"/>
        <v>1101</v>
      </c>
      <c r="I340" s="705">
        <v>102</v>
      </c>
      <c r="J340" s="701">
        <v>35.659999999999997</v>
      </c>
    </row>
    <row r="341" spans="1:10" ht="12.75" x14ac:dyDescent="0.2">
      <c r="A341" s="700">
        <v>1101</v>
      </c>
      <c r="B341" s="700" t="str">
        <f t="shared" si="11"/>
        <v>1101</v>
      </c>
      <c r="C341" s="700">
        <v>102</v>
      </c>
      <c r="D341" s="701">
        <v>37.04</v>
      </c>
      <c r="E341" s="701"/>
      <c r="F341" s="701"/>
      <c r="G341" s="705">
        <v>1101</v>
      </c>
      <c r="H341" s="705" t="str">
        <f t="shared" si="12"/>
        <v>1101</v>
      </c>
      <c r="I341" s="705">
        <v>111</v>
      </c>
      <c r="J341" s="701">
        <v>11.78</v>
      </c>
    </row>
    <row r="342" spans="1:10" ht="12.75" x14ac:dyDescent="0.2">
      <c r="A342" s="700">
        <v>1101</v>
      </c>
      <c r="B342" s="700" t="str">
        <f t="shared" si="11"/>
        <v>1101</v>
      </c>
      <c r="C342" s="700">
        <v>111</v>
      </c>
      <c r="D342" s="701">
        <v>10.53</v>
      </c>
      <c r="E342" s="701"/>
      <c r="F342" s="701"/>
      <c r="G342" s="705">
        <v>1101</v>
      </c>
      <c r="H342" s="705" t="str">
        <f t="shared" si="12"/>
        <v>1101</v>
      </c>
      <c r="I342" s="705">
        <v>112</v>
      </c>
      <c r="J342" s="701">
        <v>6.52</v>
      </c>
    </row>
    <row r="343" spans="1:10" ht="12.75" x14ac:dyDescent="0.2">
      <c r="A343" s="700">
        <v>1101</v>
      </c>
      <c r="B343" s="700" t="str">
        <f t="shared" si="11"/>
        <v>1101</v>
      </c>
      <c r="C343" s="700">
        <v>112</v>
      </c>
      <c r="D343" s="701">
        <v>6</v>
      </c>
      <c r="E343" s="701"/>
      <c r="F343" s="701"/>
      <c r="G343" s="705">
        <v>1101</v>
      </c>
      <c r="H343" s="705" t="str">
        <f t="shared" si="12"/>
        <v>1101</v>
      </c>
      <c r="I343" s="705">
        <v>130</v>
      </c>
      <c r="J343" s="701">
        <v>15.21</v>
      </c>
    </row>
    <row r="344" spans="1:10" ht="12.75" x14ac:dyDescent="0.2">
      <c r="A344" s="700">
        <v>1101</v>
      </c>
      <c r="B344" s="700" t="str">
        <f t="shared" si="11"/>
        <v>1101</v>
      </c>
      <c r="C344" s="700">
        <v>130</v>
      </c>
      <c r="D344" s="701">
        <v>13.99</v>
      </c>
      <c r="E344" s="701"/>
      <c r="F344" s="701"/>
      <c r="G344" s="705">
        <v>1232</v>
      </c>
      <c r="H344" s="705" t="str">
        <f t="shared" si="12"/>
        <v>1232</v>
      </c>
      <c r="I344" s="705">
        <v>102</v>
      </c>
      <c r="J344" s="701">
        <v>226.97</v>
      </c>
    </row>
    <row r="345" spans="1:10" ht="12.75" x14ac:dyDescent="0.2">
      <c r="A345" s="700">
        <v>1232</v>
      </c>
      <c r="B345" s="700" t="str">
        <f t="shared" si="11"/>
        <v>1232</v>
      </c>
      <c r="C345" s="700">
        <v>102</v>
      </c>
      <c r="D345" s="701">
        <v>229.25</v>
      </c>
      <c r="E345" s="701"/>
      <c r="F345" s="701"/>
      <c r="G345" s="705">
        <v>1232</v>
      </c>
      <c r="H345" s="705" t="str">
        <f t="shared" si="12"/>
        <v>1232</v>
      </c>
      <c r="I345" s="705">
        <v>112</v>
      </c>
      <c r="J345" s="701">
        <v>51.49</v>
      </c>
    </row>
    <row r="346" spans="1:10" ht="12.75" x14ac:dyDescent="0.2">
      <c r="A346" s="700">
        <v>1232</v>
      </c>
      <c r="B346" s="700" t="str">
        <f t="shared" si="11"/>
        <v>1232</v>
      </c>
      <c r="C346" s="700">
        <v>112</v>
      </c>
      <c r="D346" s="701">
        <v>50.09</v>
      </c>
      <c r="E346" s="701"/>
      <c r="F346" s="701"/>
      <c r="G346" s="705">
        <v>1232</v>
      </c>
      <c r="H346" s="705" t="str">
        <f t="shared" si="12"/>
        <v>1232</v>
      </c>
      <c r="I346" s="705">
        <v>130</v>
      </c>
      <c r="J346" s="701">
        <v>24.49</v>
      </c>
    </row>
    <row r="347" spans="1:10" ht="12.75" x14ac:dyDescent="0.2">
      <c r="A347" s="700">
        <v>1232</v>
      </c>
      <c r="B347" s="700" t="str">
        <f t="shared" si="11"/>
        <v>1232</v>
      </c>
      <c r="C347" s="700">
        <v>130</v>
      </c>
      <c r="D347" s="701">
        <v>25.72</v>
      </c>
      <c r="E347" s="701"/>
      <c r="F347" s="701"/>
      <c r="G347" s="705">
        <v>1241</v>
      </c>
      <c r="H347" s="705" t="str">
        <f t="shared" si="12"/>
        <v>1241</v>
      </c>
      <c r="I347" s="705">
        <v>101</v>
      </c>
      <c r="J347" s="701">
        <v>90.91</v>
      </c>
    </row>
    <row r="348" spans="1:10" ht="12.75" x14ac:dyDescent="0.2">
      <c r="A348" s="700">
        <v>1241</v>
      </c>
      <c r="B348" s="700" t="str">
        <f t="shared" si="11"/>
        <v>1241</v>
      </c>
      <c r="C348" s="700">
        <v>101</v>
      </c>
      <c r="D348" s="701">
        <v>93.64</v>
      </c>
      <c r="E348" s="701"/>
      <c r="F348" s="701"/>
      <c r="G348" s="705">
        <v>1241</v>
      </c>
      <c r="H348" s="705" t="str">
        <f t="shared" si="12"/>
        <v>1241</v>
      </c>
      <c r="I348" s="705">
        <v>102</v>
      </c>
      <c r="J348" s="701">
        <v>61.09</v>
      </c>
    </row>
    <row r="349" spans="1:10" ht="12.75" x14ac:dyDescent="0.2">
      <c r="A349" s="700">
        <v>1241</v>
      </c>
      <c r="B349" s="700" t="str">
        <f t="shared" si="11"/>
        <v>1241</v>
      </c>
      <c r="C349" s="700">
        <v>102</v>
      </c>
      <c r="D349" s="701">
        <v>60.06</v>
      </c>
      <c r="E349" s="701"/>
      <c r="F349" s="701"/>
      <c r="G349" s="705">
        <v>1241</v>
      </c>
      <c r="H349" s="705" t="str">
        <f t="shared" si="12"/>
        <v>1241</v>
      </c>
      <c r="I349" s="705">
        <v>111</v>
      </c>
      <c r="J349" s="701">
        <v>78.06</v>
      </c>
    </row>
    <row r="350" spans="1:10" ht="12.75" x14ac:dyDescent="0.2">
      <c r="A350" s="700">
        <v>1241</v>
      </c>
      <c r="B350" s="700" t="str">
        <f t="shared" si="11"/>
        <v>1241</v>
      </c>
      <c r="C350" s="700">
        <v>111</v>
      </c>
      <c r="D350" s="701">
        <v>76.02</v>
      </c>
      <c r="E350" s="701"/>
      <c r="F350" s="701"/>
      <c r="G350" s="705">
        <v>1241</v>
      </c>
      <c r="H350" s="705" t="str">
        <f t="shared" si="12"/>
        <v>1241</v>
      </c>
      <c r="I350" s="705">
        <v>112</v>
      </c>
      <c r="J350" s="701">
        <v>44</v>
      </c>
    </row>
    <row r="351" spans="1:10" ht="12.75" x14ac:dyDescent="0.2">
      <c r="A351" s="700">
        <v>1241</v>
      </c>
      <c r="B351" s="700" t="str">
        <f t="shared" si="11"/>
        <v>1241</v>
      </c>
      <c r="C351" s="700">
        <v>112</v>
      </c>
      <c r="D351" s="701">
        <v>46.54</v>
      </c>
      <c r="E351" s="701"/>
      <c r="F351" s="701"/>
      <c r="G351" s="705">
        <v>1241</v>
      </c>
      <c r="H351" s="705" t="str">
        <f t="shared" si="12"/>
        <v>1241</v>
      </c>
      <c r="I351" s="705">
        <v>130</v>
      </c>
      <c r="J351" s="701">
        <v>61.79</v>
      </c>
    </row>
    <row r="352" spans="1:10" ht="12.75" x14ac:dyDescent="0.2">
      <c r="A352" s="700">
        <v>1241</v>
      </c>
      <c r="B352" s="700" t="str">
        <f t="shared" si="11"/>
        <v>1241</v>
      </c>
      <c r="C352" s="700">
        <v>130</v>
      </c>
      <c r="D352" s="701">
        <v>61.82</v>
      </c>
      <c r="E352" s="701"/>
      <c r="F352" s="701"/>
      <c r="G352" s="705">
        <v>1241</v>
      </c>
      <c r="H352" s="705" t="str">
        <f t="shared" si="12"/>
        <v>1241</v>
      </c>
      <c r="I352" s="705">
        <v>254</v>
      </c>
      <c r="J352" s="701">
        <v>6.51</v>
      </c>
    </row>
    <row r="353" spans="1:10" ht="12.75" x14ac:dyDescent="0.2">
      <c r="A353" s="700">
        <v>1241</v>
      </c>
      <c r="B353" s="700" t="str">
        <f t="shared" si="11"/>
        <v>1241</v>
      </c>
      <c r="C353" s="700">
        <v>254</v>
      </c>
      <c r="D353" s="701">
        <v>3.49</v>
      </c>
      <c r="E353" s="701"/>
      <c r="F353" s="701"/>
      <c r="G353" s="705">
        <v>1241</v>
      </c>
      <c r="H353" s="705" t="str">
        <f t="shared" si="12"/>
        <v>1241</v>
      </c>
      <c r="I353" s="705">
        <v>255</v>
      </c>
      <c r="J353" s="701">
        <v>0.5</v>
      </c>
    </row>
    <row r="354" spans="1:10" ht="12.75" x14ac:dyDescent="0.2">
      <c r="A354" s="700">
        <v>1241</v>
      </c>
      <c r="B354" s="700" t="str">
        <f t="shared" si="11"/>
        <v>1241</v>
      </c>
      <c r="C354" s="700">
        <v>255</v>
      </c>
      <c r="D354" s="701">
        <v>0.5</v>
      </c>
      <c r="E354" s="701"/>
      <c r="F354" s="701"/>
      <c r="G354" s="705">
        <v>1251</v>
      </c>
      <c r="H354" s="705" t="str">
        <f t="shared" si="12"/>
        <v>1251</v>
      </c>
      <c r="I354" s="705">
        <v>101</v>
      </c>
      <c r="J354" s="701">
        <v>71.739999999999995</v>
      </c>
    </row>
    <row r="355" spans="1:10" ht="12.75" x14ac:dyDescent="0.2">
      <c r="A355" s="700">
        <v>1251</v>
      </c>
      <c r="B355" s="700" t="str">
        <f t="shared" si="11"/>
        <v>1251</v>
      </c>
      <c r="C355" s="700">
        <v>101</v>
      </c>
      <c r="D355" s="701">
        <v>73.569999999999993</v>
      </c>
      <c r="E355" s="701"/>
      <c r="F355" s="701"/>
      <c r="G355" s="705">
        <v>1251</v>
      </c>
      <c r="H355" s="705" t="str">
        <f t="shared" si="12"/>
        <v>1251</v>
      </c>
      <c r="I355" s="705">
        <v>102</v>
      </c>
      <c r="J355" s="701">
        <v>29.34</v>
      </c>
    </row>
    <row r="356" spans="1:10" ht="12.75" x14ac:dyDescent="0.2">
      <c r="A356" s="700">
        <v>1251</v>
      </c>
      <c r="B356" s="700" t="str">
        <f t="shared" si="11"/>
        <v>1251</v>
      </c>
      <c r="C356" s="700">
        <v>102</v>
      </c>
      <c r="D356" s="701">
        <v>27.87</v>
      </c>
      <c r="E356" s="701"/>
      <c r="F356" s="701"/>
      <c r="G356" s="705">
        <v>1251</v>
      </c>
      <c r="H356" s="705" t="str">
        <f t="shared" si="12"/>
        <v>1251</v>
      </c>
      <c r="I356" s="705">
        <v>111</v>
      </c>
      <c r="J356" s="701">
        <v>11.56</v>
      </c>
    </row>
    <row r="357" spans="1:10" ht="12.75" x14ac:dyDescent="0.2">
      <c r="A357" s="700">
        <v>1251</v>
      </c>
      <c r="B357" s="700" t="str">
        <f t="shared" si="11"/>
        <v>1251</v>
      </c>
      <c r="C357" s="700">
        <v>111</v>
      </c>
      <c r="D357" s="701">
        <v>9.5</v>
      </c>
      <c r="E357" s="701"/>
      <c r="F357" s="701"/>
      <c r="G357" s="705">
        <v>1251</v>
      </c>
      <c r="H357" s="705" t="str">
        <f t="shared" si="12"/>
        <v>1251</v>
      </c>
      <c r="I357" s="705">
        <v>112</v>
      </c>
      <c r="J357" s="701">
        <v>5.5</v>
      </c>
    </row>
    <row r="358" spans="1:10" ht="12.75" x14ac:dyDescent="0.2">
      <c r="A358" s="700">
        <v>1251</v>
      </c>
      <c r="B358" s="700" t="str">
        <f t="shared" si="11"/>
        <v>1251</v>
      </c>
      <c r="C358" s="700">
        <v>112</v>
      </c>
      <c r="D358" s="701">
        <v>5</v>
      </c>
      <c r="E358" s="701"/>
      <c r="F358" s="701"/>
      <c r="G358" s="705">
        <v>1251</v>
      </c>
      <c r="H358" s="705" t="str">
        <f t="shared" si="12"/>
        <v>1251</v>
      </c>
      <c r="I358" s="705">
        <v>130</v>
      </c>
      <c r="J358" s="701">
        <v>18.59</v>
      </c>
    </row>
    <row r="359" spans="1:10" ht="12.75" x14ac:dyDescent="0.2">
      <c r="A359" s="700">
        <v>1251</v>
      </c>
      <c r="B359" s="700" t="str">
        <f t="shared" si="11"/>
        <v>1251</v>
      </c>
      <c r="C359" s="700">
        <v>130</v>
      </c>
      <c r="D359" s="701">
        <v>18.559999999999999</v>
      </c>
      <c r="E359" s="701"/>
      <c r="F359" s="701"/>
      <c r="G359" s="705">
        <v>1321</v>
      </c>
      <c r="H359" s="705" t="str">
        <f t="shared" si="12"/>
        <v>1321</v>
      </c>
      <c r="I359" s="705">
        <v>101</v>
      </c>
      <c r="J359" s="701">
        <v>74.09</v>
      </c>
    </row>
    <row r="360" spans="1:10" ht="12.75" x14ac:dyDescent="0.2">
      <c r="A360" s="700">
        <v>1321</v>
      </c>
      <c r="B360" s="700" t="str">
        <f t="shared" si="11"/>
        <v>1321</v>
      </c>
      <c r="C360" s="700">
        <v>101</v>
      </c>
      <c r="D360" s="701">
        <v>72.25</v>
      </c>
      <c r="E360" s="701"/>
      <c r="F360" s="701"/>
      <c r="G360" s="705">
        <v>1321</v>
      </c>
      <c r="H360" s="705" t="str">
        <f t="shared" si="12"/>
        <v>1321</v>
      </c>
      <c r="I360" s="705">
        <v>102</v>
      </c>
      <c r="J360" s="701">
        <v>34.33</v>
      </c>
    </row>
    <row r="361" spans="1:10" ht="12.75" x14ac:dyDescent="0.2">
      <c r="A361" s="700">
        <v>1321</v>
      </c>
      <c r="B361" s="700" t="str">
        <f t="shared" si="11"/>
        <v>1321</v>
      </c>
      <c r="C361" s="700">
        <v>102</v>
      </c>
      <c r="D361" s="701">
        <v>34.840000000000003</v>
      </c>
      <c r="E361" s="701"/>
      <c r="F361" s="701"/>
      <c r="G361" s="705">
        <v>1321</v>
      </c>
      <c r="H361" s="705" t="str">
        <f t="shared" si="12"/>
        <v>1321</v>
      </c>
      <c r="I361" s="705">
        <v>111</v>
      </c>
      <c r="J361" s="701">
        <v>14.5</v>
      </c>
    </row>
    <row r="362" spans="1:10" ht="12.75" x14ac:dyDescent="0.2">
      <c r="A362" s="700">
        <v>1321</v>
      </c>
      <c r="B362" s="700" t="str">
        <f t="shared" si="11"/>
        <v>1321</v>
      </c>
      <c r="C362" s="700">
        <v>111</v>
      </c>
      <c r="D362" s="701">
        <v>11.5</v>
      </c>
      <c r="E362" s="701"/>
      <c r="F362" s="701"/>
      <c r="G362" s="705">
        <v>1321</v>
      </c>
      <c r="H362" s="705" t="str">
        <f t="shared" si="12"/>
        <v>1321</v>
      </c>
      <c r="I362" s="705">
        <v>112</v>
      </c>
      <c r="J362" s="701">
        <v>10</v>
      </c>
    </row>
    <row r="363" spans="1:10" ht="12.75" x14ac:dyDescent="0.2">
      <c r="A363" s="700">
        <v>1321</v>
      </c>
      <c r="B363" s="700" t="str">
        <f t="shared" si="11"/>
        <v>1321</v>
      </c>
      <c r="C363" s="700">
        <v>112</v>
      </c>
      <c r="D363" s="701">
        <v>10</v>
      </c>
      <c r="E363" s="701"/>
      <c r="F363" s="701"/>
      <c r="G363" s="705">
        <v>1321</v>
      </c>
      <c r="H363" s="705" t="str">
        <f t="shared" si="12"/>
        <v>1321</v>
      </c>
      <c r="I363" s="705">
        <v>130</v>
      </c>
      <c r="J363" s="701">
        <v>6.41</v>
      </c>
    </row>
    <row r="364" spans="1:10" ht="12.75" x14ac:dyDescent="0.2">
      <c r="A364" s="700">
        <v>1321</v>
      </c>
      <c r="B364" s="700" t="str">
        <f t="shared" si="11"/>
        <v>1321</v>
      </c>
      <c r="C364" s="700">
        <v>130</v>
      </c>
      <c r="D364" s="701">
        <v>5.99</v>
      </c>
      <c r="E364" s="701"/>
      <c r="F364" s="701"/>
      <c r="G364" s="705">
        <v>1361</v>
      </c>
      <c r="H364" s="705" t="str">
        <f t="shared" si="12"/>
        <v>1361</v>
      </c>
      <c r="I364" s="705">
        <v>102</v>
      </c>
      <c r="J364" s="701">
        <v>1.51</v>
      </c>
    </row>
    <row r="365" spans="1:10" ht="12.75" x14ac:dyDescent="0.2">
      <c r="A365" s="700">
        <v>1361</v>
      </c>
      <c r="B365" s="700" t="str">
        <f t="shared" si="11"/>
        <v>1361</v>
      </c>
      <c r="C365" s="700">
        <v>102</v>
      </c>
      <c r="D365" s="701">
        <v>1.64</v>
      </c>
      <c r="E365" s="701"/>
      <c r="F365" s="701"/>
      <c r="G365" s="705">
        <v>1361</v>
      </c>
      <c r="H365" s="705" t="str">
        <f t="shared" si="12"/>
        <v>1361</v>
      </c>
      <c r="I365" s="705">
        <v>103</v>
      </c>
      <c r="J365" s="701">
        <v>953.18</v>
      </c>
    </row>
    <row r="366" spans="1:10" ht="12.75" x14ac:dyDescent="0.2">
      <c r="A366" s="700">
        <v>1361</v>
      </c>
      <c r="B366" s="700" t="str">
        <f t="shared" si="11"/>
        <v>1361</v>
      </c>
      <c r="C366" s="700">
        <v>103</v>
      </c>
      <c r="D366" s="701">
        <v>974.11</v>
      </c>
      <c r="E366" s="701"/>
      <c r="F366" s="701"/>
      <c r="G366" s="705">
        <v>1361</v>
      </c>
      <c r="H366" s="705" t="str">
        <f t="shared" si="12"/>
        <v>1361</v>
      </c>
      <c r="I366" s="705">
        <v>112</v>
      </c>
      <c r="J366" s="701">
        <v>0.19</v>
      </c>
    </row>
    <row r="367" spans="1:10" ht="12.75" x14ac:dyDescent="0.2">
      <c r="A367" s="700">
        <v>1361</v>
      </c>
      <c r="B367" s="700" t="str">
        <f t="shared" si="11"/>
        <v>1361</v>
      </c>
      <c r="C367" s="700">
        <v>112</v>
      </c>
      <c r="D367" s="701">
        <v>0.19</v>
      </c>
      <c r="E367" s="701"/>
      <c r="F367" s="701"/>
      <c r="G367" s="705">
        <v>1361</v>
      </c>
      <c r="H367" s="705" t="str">
        <f t="shared" si="12"/>
        <v>1361</v>
      </c>
      <c r="I367" s="705">
        <v>113</v>
      </c>
      <c r="J367" s="701">
        <v>190.26</v>
      </c>
    </row>
    <row r="368" spans="1:10" ht="12.75" x14ac:dyDescent="0.2">
      <c r="A368" s="700">
        <v>1361</v>
      </c>
      <c r="B368" s="700" t="str">
        <f t="shared" si="11"/>
        <v>1361</v>
      </c>
      <c r="C368" s="700">
        <v>113</v>
      </c>
      <c r="D368" s="701">
        <v>199.42</v>
      </c>
      <c r="E368" s="701"/>
      <c r="F368" s="701"/>
      <c r="G368" s="705">
        <v>1361</v>
      </c>
      <c r="H368" s="705" t="str">
        <f t="shared" si="12"/>
        <v>1361</v>
      </c>
      <c r="I368" s="705">
        <v>130</v>
      </c>
      <c r="J368" s="701">
        <v>219.19</v>
      </c>
    </row>
    <row r="369" spans="1:10" ht="12.75" x14ac:dyDescent="0.2">
      <c r="A369" s="700">
        <v>1361</v>
      </c>
      <c r="B369" s="700" t="str">
        <f t="shared" si="11"/>
        <v>1361</v>
      </c>
      <c r="C369" s="700">
        <v>130</v>
      </c>
      <c r="D369" s="701">
        <v>229.54</v>
      </c>
      <c r="E369" s="701"/>
      <c r="F369" s="701"/>
      <c r="G369" s="705">
        <v>1361</v>
      </c>
      <c r="H369" s="705" t="str">
        <f t="shared" si="12"/>
        <v>1361</v>
      </c>
      <c r="I369" s="705">
        <v>254</v>
      </c>
      <c r="J369" s="701">
        <v>4.46</v>
      </c>
    </row>
    <row r="370" spans="1:10" ht="12.75" x14ac:dyDescent="0.2">
      <c r="A370" s="700">
        <v>1361</v>
      </c>
      <c r="B370" s="700" t="str">
        <f t="shared" si="11"/>
        <v>1361</v>
      </c>
      <c r="C370" s="700">
        <v>254</v>
      </c>
      <c r="D370" s="701">
        <v>4.54</v>
      </c>
      <c r="E370" s="701"/>
      <c r="F370" s="701"/>
      <c r="G370" s="705">
        <v>1361</v>
      </c>
      <c r="H370" s="705" t="str">
        <f t="shared" si="12"/>
        <v>1361</v>
      </c>
      <c r="I370" s="705">
        <v>255</v>
      </c>
      <c r="J370" s="701">
        <v>0.5</v>
      </c>
    </row>
    <row r="371" spans="1:10" ht="12.75" x14ac:dyDescent="0.2">
      <c r="A371" s="700">
        <v>1361</v>
      </c>
      <c r="B371" s="700" t="str">
        <f t="shared" si="11"/>
        <v>1361</v>
      </c>
      <c r="C371" s="700">
        <v>255</v>
      </c>
      <c r="D371" s="701">
        <v>0.5</v>
      </c>
      <c r="E371" s="701"/>
      <c r="F371" s="701"/>
      <c r="G371" s="705">
        <v>1361</v>
      </c>
      <c r="H371" s="705" t="str">
        <f t="shared" si="12"/>
        <v>1361</v>
      </c>
      <c r="I371" s="705">
        <v>300</v>
      </c>
      <c r="J371" s="701">
        <v>78.680000000000007</v>
      </c>
    </row>
    <row r="372" spans="1:10" ht="12.75" x14ac:dyDescent="0.2">
      <c r="A372" s="700">
        <v>1361</v>
      </c>
      <c r="B372" s="700" t="str">
        <f t="shared" si="11"/>
        <v>1361</v>
      </c>
      <c r="C372" s="700">
        <v>300</v>
      </c>
      <c r="D372" s="701">
        <v>83.56</v>
      </c>
      <c r="E372" s="701"/>
      <c r="F372" s="701"/>
      <c r="G372" s="705">
        <v>1371</v>
      </c>
      <c r="H372" s="705" t="str">
        <f t="shared" si="12"/>
        <v>1371</v>
      </c>
      <c r="I372" s="705">
        <v>103</v>
      </c>
      <c r="J372" s="701">
        <v>675.96</v>
      </c>
    </row>
    <row r="373" spans="1:10" ht="12.75" x14ac:dyDescent="0.2">
      <c r="A373" s="700">
        <v>1371</v>
      </c>
      <c r="B373" s="700" t="str">
        <f t="shared" si="11"/>
        <v>1371</v>
      </c>
      <c r="C373" s="700">
        <v>103</v>
      </c>
      <c r="D373" s="701">
        <v>708.05</v>
      </c>
      <c r="E373" s="701"/>
      <c r="F373" s="701"/>
      <c r="G373" s="705">
        <v>1371</v>
      </c>
      <c r="H373" s="705" t="str">
        <f t="shared" si="12"/>
        <v>1371</v>
      </c>
      <c r="I373" s="705">
        <v>113</v>
      </c>
      <c r="J373" s="701">
        <v>193.62</v>
      </c>
    </row>
    <row r="374" spans="1:10" ht="12.75" x14ac:dyDescent="0.2">
      <c r="A374" s="700">
        <v>1371</v>
      </c>
      <c r="B374" s="700" t="str">
        <f t="shared" si="11"/>
        <v>1371</v>
      </c>
      <c r="C374" s="700">
        <v>113</v>
      </c>
      <c r="D374" s="701">
        <v>199.42</v>
      </c>
      <c r="E374" s="701"/>
      <c r="F374" s="701"/>
      <c r="G374" s="705">
        <v>1371</v>
      </c>
      <c r="H374" s="705" t="str">
        <f t="shared" si="12"/>
        <v>1371</v>
      </c>
      <c r="I374" s="705">
        <v>130</v>
      </c>
      <c r="J374" s="701">
        <v>68.239999999999995</v>
      </c>
    </row>
    <row r="375" spans="1:10" ht="12.75" x14ac:dyDescent="0.2">
      <c r="A375" s="700">
        <v>1371</v>
      </c>
      <c r="B375" s="700" t="str">
        <f t="shared" si="11"/>
        <v>1371</v>
      </c>
      <c r="C375" s="700">
        <v>130</v>
      </c>
      <c r="D375" s="701">
        <v>70.12</v>
      </c>
      <c r="E375" s="701"/>
      <c r="F375" s="701"/>
      <c r="G375" s="705">
        <v>1371</v>
      </c>
      <c r="H375" s="705" t="str">
        <f t="shared" si="12"/>
        <v>1371</v>
      </c>
      <c r="I375" s="705">
        <v>300</v>
      </c>
      <c r="J375" s="701">
        <v>114.05</v>
      </c>
    </row>
    <row r="376" spans="1:10" ht="12.75" x14ac:dyDescent="0.2">
      <c r="A376" s="700">
        <v>1371</v>
      </c>
      <c r="B376" s="700" t="str">
        <f t="shared" si="11"/>
        <v>1371</v>
      </c>
      <c r="C376" s="700">
        <v>300</v>
      </c>
      <c r="D376" s="701">
        <v>116.19</v>
      </c>
      <c r="E376" s="701"/>
      <c r="F376" s="701"/>
      <c r="G376" s="705">
        <v>1391</v>
      </c>
      <c r="H376" s="705" t="str">
        <f t="shared" si="12"/>
        <v>1391</v>
      </c>
      <c r="I376" s="705">
        <v>101</v>
      </c>
      <c r="J376" s="701">
        <v>99.32</v>
      </c>
    </row>
    <row r="377" spans="1:10" ht="12.75" x14ac:dyDescent="0.2">
      <c r="A377" s="700">
        <v>1391</v>
      </c>
      <c r="B377" s="700" t="str">
        <f t="shared" si="11"/>
        <v>1391</v>
      </c>
      <c r="C377" s="700">
        <v>101</v>
      </c>
      <c r="D377" s="701">
        <v>103.27</v>
      </c>
      <c r="E377" s="701"/>
      <c r="F377" s="701"/>
      <c r="G377" s="705">
        <v>1391</v>
      </c>
      <c r="H377" s="705" t="str">
        <f t="shared" si="12"/>
        <v>1391</v>
      </c>
      <c r="I377" s="705">
        <v>102</v>
      </c>
      <c r="J377" s="701">
        <v>60.63</v>
      </c>
    </row>
    <row r="378" spans="1:10" ht="12.75" x14ac:dyDescent="0.2">
      <c r="A378" s="700">
        <v>1391</v>
      </c>
      <c r="B378" s="700" t="str">
        <f t="shared" si="11"/>
        <v>1391</v>
      </c>
      <c r="C378" s="700">
        <v>102</v>
      </c>
      <c r="D378" s="701">
        <v>60.54</v>
      </c>
      <c r="E378" s="701"/>
      <c r="F378" s="701"/>
      <c r="G378" s="705">
        <v>1391</v>
      </c>
      <c r="H378" s="705" t="str">
        <f t="shared" si="12"/>
        <v>1391</v>
      </c>
      <c r="I378" s="705">
        <v>111</v>
      </c>
      <c r="J378" s="701">
        <v>30.21</v>
      </c>
    </row>
    <row r="379" spans="1:10" ht="12.75" x14ac:dyDescent="0.2">
      <c r="A379" s="700">
        <v>1391</v>
      </c>
      <c r="B379" s="700" t="str">
        <f t="shared" si="11"/>
        <v>1391</v>
      </c>
      <c r="C379" s="700">
        <v>111</v>
      </c>
      <c r="D379" s="701">
        <v>29.33</v>
      </c>
      <c r="E379" s="701"/>
      <c r="F379" s="701"/>
      <c r="G379" s="705">
        <v>1391</v>
      </c>
      <c r="H379" s="705" t="str">
        <f t="shared" si="12"/>
        <v>1391</v>
      </c>
      <c r="I379" s="705">
        <v>112</v>
      </c>
      <c r="J379" s="701">
        <v>22.67</v>
      </c>
    </row>
    <row r="380" spans="1:10" ht="12.75" x14ac:dyDescent="0.2">
      <c r="A380" s="700">
        <v>1391</v>
      </c>
      <c r="B380" s="700" t="str">
        <f t="shared" si="11"/>
        <v>1391</v>
      </c>
      <c r="C380" s="700">
        <v>112</v>
      </c>
      <c r="D380" s="701">
        <v>22.28</v>
      </c>
      <c r="E380" s="701"/>
      <c r="F380" s="701"/>
      <c r="G380" s="705">
        <v>1391</v>
      </c>
      <c r="H380" s="705" t="str">
        <f t="shared" si="12"/>
        <v>1391</v>
      </c>
      <c r="I380" s="705">
        <v>130</v>
      </c>
      <c r="J380" s="701">
        <v>80.069999999999993</v>
      </c>
    </row>
    <row r="381" spans="1:10" ht="12.75" x14ac:dyDescent="0.2">
      <c r="A381" s="700">
        <v>1391</v>
      </c>
      <c r="B381" s="700" t="str">
        <f t="shared" si="11"/>
        <v>1391</v>
      </c>
      <c r="C381" s="700">
        <v>130</v>
      </c>
      <c r="D381" s="701">
        <v>77.25</v>
      </c>
      <c r="E381" s="701"/>
      <c r="F381" s="701"/>
      <c r="G381" s="705">
        <v>1391</v>
      </c>
      <c r="H381" s="705" t="str">
        <f t="shared" si="12"/>
        <v>1391</v>
      </c>
      <c r="I381" s="705">
        <v>254</v>
      </c>
      <c r="J381" s="701">
        <v>2.0699999999999998</v>
      </c>
    </row>
    <row r="382" spans="1:10" ht="12.75" x14ac:dyDescent="0.2">
      <c r="A382" s="700">
        <v>1391</v>
      </c>
      <c r="B382" s="700" t="str">
        <f t="shared" si="11"/>
        <v>1391</v>
      </c>
      <c r="C382" s="700">
        <v>254</v>
      </c>
      <c r="D382" s="701">
        <v>2.93</v>
      </c>
      <c r="E382" s="701"/>
      <c r="F382" s="701"/>
      <c r="G382" s="705">
        <v>1391</v>
      </c>
      <c r="H382" s="705" t="str">
        <f t="shared" si="12"/>
        <v>1391</v>
      </c>
      <c r="I382" s="705">
        <v>255</v>
      </c>
      <c r="J382" s="701">
        <v>0.5</v>
      </c>
    </row>
    <row r="383" spans="1:10" ht="12.75" x14ac:dyDescent="0.2">
      <c r="A383" s="700">
        <v>1391</v>
      </c>
      <c r="B383" s="700" t="str">
        <f t="shared" si="11"/>
        <v>1391</v>
      </c>
      <c r="C383" s="700">
        <v>255</v>
      </c>
      <c r="D383" s="701">
        <v>0.5</v>
      </c>
      <c r="E383" s="701"/>
      <c r="F383" s="701"/>
      <c r="G383" s="705">
        <v>1401</v>
      </c>
      <c r="H383" s="705" t="str">
        <f t="shared" si="12"/>
        <v>1401</v>
      </c>
      <c r="I383" s="705">
        <v>101</v>
      </c>
      <c r="J383" s="701">
        <v>96.22</v>
      </c>
    </row>
    <row r="384" spans="1:10" ht="12.75" x14ac:dyDescent="0.2">
      <c r="A384" s="700">
        <v>1401</v>
      </c>
      <c r="B384" s="700" t="str">
        <f t="shared" si="11"/>
        <v>1401</v>
      </c>
      <c r="C384" s="700">
        <v>101</v>
      </c>
      <c r="D384" s="701">
        <v>93.04</v>
      </c>
      <c r="E384" s="701"/>
      <c r="F384" s="701"/>
      <c r="G384" s="705">
        <v>1401</v>
      </c>
      <c r="H384" s="705" t="str">
        <f t="shared" si="12"/>
        <v>1401</v>
      </c>
      <c r="I384" s="705">
        <v>102</v>
      </c>
      <c r="J384" s="701">
        <v>51.6</v>
      </c>
    </row>
    <row r="385" spans="1:10" ht="12.75" x14ac:dyDescent="0.2">
      <c r="A385" s="700">
        <v>1401</v>
      </c>
      <c r="B385" s="700" t="str">
        <f t="shared" si="11"/>
        <v>1401</v>
      </c>
      <c r="C385" s="700">
        <v>102</v>
      </c>
      <c r="D385" s="701">
        <v>52.32</v>
      </c>
      <c r="E385" s="701"/>
      <c r="F385" s="701"/>
      <c r="G385" s="705">
        <v>1401</v>
      </c>
      <c r="H385" s="705" t="str">
        <f t="shared" si="12"/>
        <v>1401</v>
      </c>
      <c r="I385" s="705">
        <v>111</v>
      </c>
      <c r="J385" s="701">
        <v>14.14</v>
      </c>
    </row>
    <row r="386" spans="1:10" ht="12.75" x14ac:dyDescent="0.2">
      <c r="A386" s="700">
        <v>1401</v>
      </c>
      <c r="B386" s="700" t="str">
        <f t="shared" ref="B386:B449" si="13">TEXT(A386,"0000")</f>
        <v>1401</v>
      </c>
      <c r="C386" s="700">
        <v>111</v>
      </c>
      <c r="D386" s="701">
        <v>11.53</v>
      </c>
      <c r="E386" s="701"/>
      <c r="F386" s="701"/>
      <c r="G386" s="705">
        <v>1401</v>
      </c>
      <c r="H386" s="705" t="str">
        <f t="shared" si="12"/>
        <v>1401</v>
      </c>
      <c r="I386" s="705">
        <v>112</v>
      </c>
      <c r="J386" s="701">
        <v>8.52</v>
      </c>
    </row>
    <row r="387" spans="1:10" ht="12.75" x14ac:dyDescent="0.2">
      <c r="A387" s="700">
        <v>1401</v>
      </c>
      <c r="B387" s="700" t="str">
        <f t="shared" si="13"/>
        <v>1401</v>
      </c>
      <c r="C387" s="700">
        <v>112</v>
      </c>
      <c r="D387" s="701">
        <v>6.46</v>
      </c>
      <c r="E387" s="701"/>
      <c r="F387" s="701"/>
      <c r="G387" s="705">
        <v>1401</v>
      </c>
      <c r="H387" s="705" t="str">
        <f t="shared" ref="H387:H450" si="14">TEXT(G387,"0000")</f>
        <v>1401</v>
      </c>
      <c r="I387" s="705">
        <v>130</v>
      </c>
      <c r="J387" s="701">
        <v>47.26</v>
      </c>
    </row>
    <row r="388" spans="1:10" ht="12.75" x14ac:dyDescent="0.2">
      <c r="A388" s="700">
        <v>1401</v>
      </c>
      <c r="B388" s="700" t="str">
        <f t="shared" si="13"/>
        <v>1401</v>
      </c>
      <c r="C388" s="700">
        <v>130</v>
      </c>
      <c r="D388" s="701">
        <v>46.86</v>
      </c>
      <c r="E388" s="701"/>
      <c r="F388" s="701"/>
      <c r="G388" s="705">
        <v>1411</v>
      </c>
      <c r="H388" s="705" t="str">
        <f t="shared" si="14"/>
        <v>1411</v>
      </c>
      <c r="I388" s="705">
        <v>101</v>
      </c>
      <c r="J388" s="701">
        <v>135.29</v>
      </c>
    </row>
    <row r="389" spans="1:10" ht="12.75" x14ac:dyDescent="0.2">
      <c r="A389" s="700">
        <v>1411</v>
      </c>
      <c r="B389" s="700" t="str">
        <f t="shared" si="13"/>
        <v>1411</v>
      </c>
      <c r="C389" s="700">
        <v>101</v>
      </c>
      <c r="D389" s="701">
        <v>128.19</v>
      </c>
      <c r="E389" s="701"/>
      <c r="F389" s="701"/>
      <c r="G389" s="705">
        <v>1411</v>
      </c>
      <c r="H389" s="705" t="str">
        <f t="shared" si="14"/>
        <v>1411</v>
      </c>
      <c r="I389" s="705">
        <v>102</v>
      </c>
      <c r="J389" s="701">
        <v>56.25</v>
      </c>
    </row>
    <row r="390" spans="1:10" ht="12.75" x14ac:dyDescent="0.2">
      <c r="A390" s="700">
        <v>1411</v>
      </c>
      <c r="B390" s="700" t="str">
        <f t="shared" si="13"/>
        <v>1411</v>
      </c>
      <c r="C390" s="700">
        <v>102</v>
      </c>
      <c r="D390" s="701">
        <v>55.02</v>
      </c>
      <c r="E390" s="701"/>
      <c r="F390" s="701"/>
      <c r="G390" s="705">
        <v>1411</v>
      </c>
      <c r="H390" s="705" t="str">
        <f t="shared" si="14"/>
        <v>1411</v>
      </c>
      <c r="I390" s="705">
        <v>111</v>
      </c>
      <c r="J390" s="701">
        <v>50.45</v>
      </c>
    </row>
    <row r="391" spans="1:10" ht="12.75" x14ac:dyDescent="0.2">
      <c r="A391" s="700">
        <v>1411</v>
      </c>
      <c r="B391" s="700" t="str">
        <f t="shared" si="13"/>
        <v>1411</v>
      </c>
      <c r="C391" s="700">
        <v>111</v>
      </c>
      <c r="D391" s="701">
        <v>41.19</v>
      </c>
      <c r="E391" s="701"/>
      <c r="F391" s="701"/>
      <c r="G391" s="705">
        <v>1411</v>
      </c>
      <c r="H391" s="705" t="str">
        <f t="shared" si="14"/>
        <v>1411</v>
      </c>
      <c r="I391" s="705">
        <v>112</v>
      </c>
      <c r="J391" s="701">
        <v>16</v>
      </c>
    </row>
    <row r="392" spans="1:10" ht="12.75" x14ac:dyDescent="0.2">
      <c r="A392" s="700">
        <v>1411</v>
      </c>
      <c r="B392" s="700" t="str">
        <f t="shared" si="13"/>
        <v>1411</v>
      </c>
      <c r="C392" s="700">
        <v>112</v>
      </c>
      <c r="D392" s="701">
        <v>15.94</v>
      </c>
      <c r="E392" s="701"/>
      <c r="F392" s="701"/>
      <c r="G392" s="705">
        <v>1411</v>
      </c>
      <c r="H392" s="705" t="str">
        <f t="shared" si="14"/>
        <v>1411</v>
      </c>
      <c r="I392" s="705">
        <v>130</v>
      </c>
      <c r="J392" s="701">
        <v>73.47</v>
      </c>
    </row>
    <row r="393" spans="1:10" ht="12.75" x14ac:dyDescent="0.2">
      <c r="A393" s="700">
        <v>1411</v>
      </c>
      <c r="B393" s="700" t="str">
        <f t="shared" si="13"/>
        <v>1411</v>
      </c>
      <c r="C393" s="700">
        <v>130</v>
      </c>
      <c r="D393" s="701">
        <v>74.97</v>
      </c>
      <c r="E393" s="701"/>
      <c r="F393" s="701"/>
      <c r="G393" s="705">
        <v>1411</v>
      </c>
      <c r="H393" s="705" t="str">
        <f t="shared" si="14"/>
        <v>1411</v>
      </c>
      <c r="I393" s="705">
        <v>254</v>
      </c>
      <c r="J393" s="701">
        <v>2.5</v>
      </c>
    </row>
    <row r="394" spans="1:10" ht="12.75" x14ac:dyDescent="0.2">
      <c r="A394" s="700">
        <v>1411</v>
      </c>
      <c r="B394" s="700" t="str">
        <f t="shared" si="13"/>
        <v>1411</v>
      </c>
      <c r="C394" s="700">
        <v>254</v>
      </c>
      <c r="D394" s="701">
        <v>1</v>
      </c>
      <c r="E394" s="701"/>
      <c r="F394" s="701"/>
      <c r="G394" s="705">
        <v>1421</v>
      </c>
      <c r="H394" s="705" t="str">
        <f t="shared" si="14"/>
        <v>1421</v>
      </c>
      <c r="I394" s="705">
        <v>101</v>
      </c>
      <c r="J394" s="701">
        <v>144.91</v>
      </c>
    </row>
    <row r="395" spans="1:10" ht="12.75" x14ac:dyDescent="0.2">
      <c r="A395" s="700">
        <v>1421</v>
      </c>
      <c r="B395" s="700" t="str">
        <f t="shared" si="13"/>
        <v>1421</v>
      </c>
      <c r="C395" s="700">
        <v>101</v>
      </c>
      <c r="D395" s="701">
        <v>146.93</v>
      </c>
      <c r="E395" s="701"/>
      <c r="F395" s="701"/>
      <c r="G395" s="705">
        <v>1421</v>
      </c>
      <c r="H395" s="705" t="str">
        <f t="shared" si="14"/>
        <v>1421</v>
      </c>
      <c r="I395" s="705">
        <v>102</v>
      </c>
      <c r="J395" s="701">
        <v>66.88</v>
      </c>
    </row>
    <row r="396" spans="1:10" ht="12.75" x14ac:dyDescent="0.2">
      <c r="A396" s="700">
        <v>1421</v>
      </c>
      <c r="B396" s="700" t="str">
        <f t="shared" si="13"/>
        <v>1421</v>
      </c>
      <c r="C396" s="700">
        <v>102</v>
      </c>
      <c r="D396" s="701">
        <v>68.010000000000005</v>
      </c>
      <c r="E396" s="701"/>
      <c r="F396" s="701"/>
      <c r="G396" s="705">
        <v>1421</v>
      </c>
      <c r="H396" s="705" t="str">
        <f t="shared" si="14"/>
        <v>1421</v>
      </c>
      <c r="I396" s="705">
        <v>111</v>
      </c>
      <c r="J396" s="701">
        <v>71.73</v>
      </c>
    </row>
    <row r="397" spans="1:10" ht="12.75" x14ac:dyDescent="0.2">
      <c r="A397" s="700">
        <v>1421</v>
      </c>
      <c r="B397" s="700" t="str">
        <f t="shared" si="13"/>
        <v>1421</v>
      </c>
      <c r="C397" s="700">
        <v>111</v>
      </c>
      <c r="D397" s="701">
        <v>73.31</v>
      </c>
      <c r="E397" s="701"/>
      <c r="F397" s="701"/>
      <c r="G397" s="705">
        <v>1421</v>
      </c>
      <c r="H397" s="705" t="str">
        <f t="shared" si="14"/>
        <v>1421</v>
      </c>
      <c r="I397" s="705">
        <v>112</v>
      </c>
      <c r="J397" s="701">
        <v>25.5</v>
      </c>
    </row>
    <row r="398" spans="1:10" ht="12.75" x14ac:dyDescent="0.2">
      <c r="A398" s="700">
        <v>1421</v>
      </c>
      <c r="B398" s="700" t="str">
        <f t="shared" si="13"/>
        <v>1421</v>
      </c>
      <c r="C398" s="700">
        <v>112</v>
      </c>
      <c r="D398" s="701">
        <v>24.98</v>
      </c>
      <c r="E398" s="701"/>
      <c r="F398" s="701"/>
      <c r="G398" s="705">
        <v>1421</v>
      </c>
      <c r="H398" s="705" t="str">
        <f t="shared" si="14"/>
        <v>1421</v>
      </c>
      <c r="I398" s="705">
        <v>130</v>
      </c>
      <c r="J398" s="701">
        <v>39.64</v>
      </c>
    </row>
    <row r="399" spans="1:10" ht="12.75" x14ac:dyDescent="0.2">
      <c r="A399" s="700">
        <v>1421</v>
      </c>
      <c r="B399" s="700" t="str">
        <f t="shared" si="13"/>
        <v>1421</v>
      </c>
      <c r="C399" s="700">
        <v>130</v>
      </c>
      <c r="D399" s="701">
        <v>42.1</v>
      </c>
      <c r="E399" s="701"/>
      <c r="F399" s="701"/>
      <c r="G399" s="705">
        <v>1421</v>
      </c>
      <c r="H399" s="705" t="str">
        <f t="shared" si="14"/>
        <v>1421</v>
      </c>
      <c r="I399" s="705">
        <v>254</v>
      </c>
      <c r="J399" s="701">
        <v>0.5</v>
      </c>
    </row>
    <row r="400" spans="1:10" ht="12.75" x14ac:dyDescent="0.2">
      <c r="A400" s="700">
        <v>1421</v>
      </c>
      <c r="B400" s="700" t="str">
        <f t="shared" si="13"/>
        <v>1421</v>
      </c>
      <c r="C400" s="700">
        <v>254</v>
      </c>
      <c r="D400" s="701">
        <v>0</v>
      </c>
      <c r="E400" s="701"/>
      <c r="F400" s="701"/>
      <c r="G400" s="705">
        <v>1441</v>
      </c>
      <c r="H400" s="705" t="str">
        <f t="shared" si="14"/>
        <v>1441</v>
      </c>
      <c r="I400" s="705">
        <v>101</v>
      </c>
      <c r="J400" s="701">
        <v>89.48</v>
      </c>
    </row>
    <row r="401" spans="1:10" ht="12.75" x14ac:dyDescent="0.2">
      <c r="A401" s="700">
        <v>1441</v>
      </c>
      <c r="B401" s="700" t="str">
        <f t="shared" si="13"/>
        <v>1441</v>
      </c>
      <c r="C401" s="700">
        <v>101</v>
      </c>
      <c r="D401" s="701">
        <v>87.8</v>
      </c>
      <c r="E401" s="701"/>
      <c r="F401" s="701"/>
      <c r="G401" s="705">
        <v>1441</v>
      </c>
      <c r="H401" s="705" t="str">
        <f t="shared" si="14"/>
        <v>1441</v>
      </c>
      <c r="I401" s="705">
        <v>102</v>
      </c>
      <c r="J401" s="701">
        <v>55.66</v>
      </c>
    </row>
    <row r="402" spans="1:10" ht="12.75" x14ac:dyDescent="0.2">
      <c r="A402" s="700">
        <v>1441</v>
      </c>
      <c r="B402" s="700" t="str">
        <f t="shared" si="13"/>
        <v>1441</v>
      </c>
      <c r="C402" s="700">
        <v>102</v>
      </c>
      <c r="D402" s="701">
        <v>53.82</v>
      </c>
      <c r="E402" s="701"/>
      <c r="F402" s="701"/>
      <c r="G402" s="705">
        <v>1441</v>
      </c>
      <c r="H402" s="705" t="str">
        <f t="shared" si="14"/>
        <v>1441</v>
      </c>
      <c r="I402" s="705">
        <v>111</v>
      </c>
      <c r="J402" s="701">
        <v>28.5</v>
      </c>
    </row>
    <row r="403" spans="1:10" ht="12.75" x14ac:dyDescent="0.2">
      <c r="A403" s="700">
        <v>1441</v>
      </c>
      <c r="B403" s="700" t="str">
        <f t="shared" si="13"/>
        <v>1441</v>
      </c>
      <c r="C403" s="700">
        <v>111</v>
      </c>
      <c r="D403" s="701">
        <v>25</v>
      </c>
      <c r="E403" s="701"/>
      <c r="F403" s="701"/>
      <c r="G403" s="705">
        <v>1441</v>
      </c>
      <c r="H403" s="705" t="str">
        <f t="shared" si="14"/>
        <v>1441</v>
      </c>
      <c r="I403" s="705">
        <v>112</v>
      </c>
      <c r="J403" s="701">
        <v>29.5</v>
      </c>
    </row>
    <row r="404" spans="1:10" ht="12.75" x14ac:dyDescent="0.2">
      <c r="A404" s="700">
        <v>1441</v>
      </c>
      <c r="B404" s="700" t="str">
        <f t="shared" si="13"/>
        <v>1441</v>
      </c>
      <c r="C404" s="700">
        <v>112</v>
      </c>
      <c r="D404" s="701">
        <v>28</v>
      </c>
      <c r="E404" s="701"/>
      <c r="F404" s="701"/>
      <c r="G404" s="705">
        <v>1441</v>
      </c>
      <c r="H404" s="705" t="str">
        <f t="shared" si="14"/>
        <v>1441</v>
      </c>
      <c r="I404" s="705">
        <v>130</v>
      </c>
      <c r="J404" s="701">
        <v>116.6</v>
      </c>
    </row>
    <row r="405" spans="1:10" ht="12.75" x14ac:dyDescent="0.2">
      <c r="A405" s="700">
        <v>1441</v>
      </c>
      <c r="B405" s="700" t="str">
        <f t="shared" si="13"/>
        <v>1441</v>
      </c>
      <c r="C405" s="700">
        <v>130</v>
      </c>
      <c r="D405" s="701">
        <v>115.38</v>
      </c>
      <c r="E405" s="701"/>
      <c r="F405" s="701"/>
      <c r="G405" s="705">
        <v>1441</v>
      </c>
      <c r="H405" s="705" t="str">
        <f t="shared" si="14"/>
        <v>1441</v>
      </c>
      <c r="I405" s="705">
        <v>254</v>
      </c>
      <c r="J405" s="701">
        <v>0</v>
      </c>
    </row>
    <row r="406" spans="1:10" ht="12.75" x14ac:dyDescent="0.2">
      <c r="A406" s="700">
        <v>1441</v>
      </c>
      <c r="B406" s="700" t="str">
        <f t="shared" si="13"/>
        <v>1441</v>
      </c>
      <c r="C406" s="700">
        <v>254</v>
      </c>
      <c r="D406" s="701">
        <v>0.5</v>
      </c>
      <c r="E406" s="701"/>
      <c r="F406" s="701"/>
      <c r="G406" s="705">
        <v>1451</v>
      </c>
      <c r="H406" s="705" t="str">
        <f t="shared" si="14"/>
        <v>1451</v>
      </c>
      <c r="I406" s="705">
        <v>101</v>
      </c>
      <c r="J406" s="701">
        <v>156.26</v>
      </c>
    </row>
    <row r="407" spans="1:10" ht="12.75" x14ac:dyDescent="0.2">
      <c r="A407" s="700">
        <v>1451</v>
      </c>
      <c r="B407" s="700" t="str">
        <f t="shared" si="13"/>
        <v>1451</v>
      </c>
      <c r="C407" s="700">
        <v>101</v>
      </c>
      <c r="D407" s="701">
        <v>175.77</v>
      </c>
      <c r="E407" s="701"/>
      <c r="F407" s="701"/>
      <c r="G407" s="705">
        <v>1451</v>
      </c>
      <c r="H407" s="705" t="str">
        <f t="shared" si="14"/>
        <v>1451</v>
      </c>
      <c r="I407" s="705">
        <v>102</v>
      </c>
      <c r="J407" s="701">
        <v>216.71</v>
      </c>
    </row>
    <row r="408" spans="1:10" ht="12.75" x14ac:dyDescent="0.2">
      <c r="A408" s="700">
        <v>1451</v>
      </c>
      <c r="B408" s="700" t="str">
        <f t="shared" si="13"/>
        <v>1451</v>
      </c>
      <c r="C408" s="700">
        <v>102</v>
      </c>
      <c r="D408" s="701">
        <v>213.59</v>
      </c>
      <c r="E408" s="701"/>
      <c r="F408" s="701"/>
      <c r="G408" s="705">
        <v>1451</v>
      </c>
      <c r="H408" s="705" t="str">
        <f t="shared" si="14"/>
        <v>1451</v>
      </c>
      <c r="I408" s="705">
        <v>111</v>
      </c>
      <c r="J408" s="701">
        <v>111.96</v>
      </c>
    </row>
    <row r="409" spans="1:10" ht="12.75" x14ac:dyDescent="0.2">
      <c r="A409" s="700">
        <v>1451</v>
      </c>
      <c r="B409" s="700" t="str">
        <f t="shared" si="13"/>
        <v>1451</v>
      </c>
      <c r="C409" s="700">
        <v>111</v>
      </c>
      <c r="D409" s="701">
        <v>92.96</v>
      </c>
      <c r="E409" s="701"/>
      <c r="F409" s="701"/>
      <c r="G409" s="705">
        <v>1451</v>
      </c>
      <c r="H409" s="705" t="str">
        <f t="shared" si="14"/>
        <v>1451</v>
      </c>
      <c r="I409" s="705">
        <v>112</v>
      </c>
      <c r="J409" s="701">
        <v>91.07</v>
      </c>
    </row>
    <row r="410" spans="1:10" ht="12.75" x14ac:dyDescent="0.2">
      <c r="A410" s="700">
        <v>1451</v>
      </c>
      <c r="B410" s="700" t="str">
        <f t="shared" si="13"/>
        <v>1451</v>
      </c>
      <c r="C410" s="700">
        <v>112</v>
      </c>
      <c r="D410" s="701">
        <v>97.45</v>
      </c>
      <c r="E410" s="701"/>
      <c r="F410" s="701"/>
      <c r="G410" s="705">
        <v>1451</v>
      </c>
      <c r="H410" s="705" t="str">
        <f t="shared" si="14"/>
        <v>1451</v>
      </c>
      <c r="I410" s="705">
        <v>130</v>
      </c>
      <c r="J410" s="701">
        <v>26.21</v>
      </c>
    </row>
    <row r="411" spans="1:10" ht="12.75" x14ac:dyDescent="0.2">
      <c r="A411" s="700">
        <v>1451</v>
      </c>
      <c r="B411" s="700" t="str">
        <f t="shared" si="13"/>
        <v>1451</v>
      </c>
      <c r="C411" s="700">
        <v>130</v>
      </c>
      <c r="D411" s="701">
        <v>24.61</v>
      </c>
      <c r="E411" s="701"/>
      <c r="F411" s="701"/>
      <c r="G411" s="705">
        <v>1461</v>
      </c>
      <c r="H411" s="705" t="str">
        <f t="shared" si="14"/>
        <v>1461</v>
      </c>
      <c r="I411" s="705">
        <v>102</v>
      </c>
      <c r="J411" s="701">
        <v>70.099999999999994</v>
      </c>
    </row>
    <row r="412" spans="1:10" ht="12.75" x14ac:dyDescent="0.2">
      <c r="A412" s="700">
        <v>1461</v>
      </c>
      <c r="B412" s="700" t="str">
        <f t="shared" si="13"/>
        <v>1461</v>
      </c>
      <c r="C412" s="700">
        <v>102</v>
      </c>
      <c r="D412" s="701">
        <v>73.58</v>
      </c>
      <c r="E412" s="701"/>
      <c r="F412" s="701"/>
      <c r="G412" s="705">
        <v>1461</v>
      </c>
      <c r="H412" s="705" t="str">
        <f t="shared" si="14"/>
        <v>1461</v>
      </c>
      <c r="I412" s="705">
        <v>103</v>
      </c>
      <c r="J412" s="701">
        <v>203.7</v>
      </c>
    </row>
    <row r="413" spans="1:10" ht="12.75" x14ac:dyDescent="0.2">
      <c r="A413" s="700">
        <v>1461</v>
      </c>
      <c r="B413" s="700" t="str">
        <f t="shared" si="13"/>
        <v>1461</v>
      </c>
      <c r="C413" s="700">
        <v>103</v>
      </c>
      <c r="D413" s="701">
        <v>207.4</v>
      </c>
      <c r="E413" s="701"/>
      <c r="F413" s="701"/>
      <c r="G413" s="705">
        <v>1461</v>
      </c>
      <c r="H413" s="705" t="str">
        <f t="shared" si="14"/>
        <v>1461</v>
      </c>
      <c r="I413" s="705">
        <v>112</v>
      </c>
      <c r="J413" s="701">
        <v>10.01</v>
      </c>
    </row>
    <row r="414" spans="1:10" ht="12.75" x14ac:dyDescent="0.2">
      <c r="A414" s="700">
        <v>1461</v>
      </c>
      <c r="B414" s="700" t="str">
        <f t="shared" si="13"/>
        <v>1461</v>
      </c>
      <c r="C414" s="700">
        <v>112</v>
      </c>
      <c r="D414" s="701">
        <v>9.99</v>
      </c>
      <c r="E414" s="701"/>
      <c r="F414" s="701"/>
      <c r="G414" s="705">
        <v>1461</v>
      </c>
      <c r="H414" s="705" t="str">
        <f t="shared" si="14"/>
        <v>1461</v>
      </c>
      <c r="I414" s="705">
        <v>113</v>
      </c>
      <c r="J414" s="701">
        <v>32.42</v>
      </c>
    </row>
    <row r="415" spans="1:10" ht="12.75" x14ac:dyDescent="0.2">
      <c r="A415" s="700">
        <v>1461</v>
      </c>
      <c r="B415" s="700" t="str">
        <f t="shared" si="13"/>
        <v>1461</v>
      </c>
      <c r="C415" s="700">
        <v>113</v>
      </c>
      <c r="D415" s="701">
        <v>34.729999999999997</v>
      </c>
      <c r="E415" s="701"/>
      <c r="F415" s="701"/>
      <c r="G415" s="705">
        <v>1461</v>
      </c>
      <c r="H415" s="705" t="str">
        <f t="shared" si="14"/>
        <v>1461</v>
      </c>
      <c r="I415" s="705">
        <v>130</v>
      </c>
      <c r="J415" s="701">
        <v>9.67</v>
      </c>
    </row>
    <row r="416" spans="1:10" ht="12.75" x14ac:dyDescent="0.2">
      <c r="A416" s="700">
        <v>1461</v>
      </c>
      <c r="B416" s="700" t="str">
        <f t="shared" si="13"/>
        <v>1461</v>
      </c>
      <c r="C416" s="700">
        <v>130</v>
      </c>
      <c r="D416" s="701">
        <v>10.220000000000001</v>
      </c>
      <c r="E416" s="701"/>
      <c r="F416" s="701"/>
      <c r="G416" s="705">
        <v>1461</v>
      </c>
      <c r="H416" s="705" t="str">
        <f t="shared" si="14"/>
        <v>1461</v>
      </c>
      <c r="I416" s="705">
        <v>300</v>
      </c>
      <c r="J416" s="701">
        <v>79.33</v>
      </c>
    </row>
    <row r="417" spans="1:10" ht="12.75" x14ac:dyDescent="0.2">
      <c r="A417" s="700">
        <v>1461</v>
      </c>
      <c r="B417" s="700" t="str">
        <f t="shared" si="13"/>
        <v>1461</v>
      </c>
      <c r="C417" s="700">
        <v>300</v>
      </c>
      <c r="D417" s="701">
        <v>89.24</v>
      </c>
      <c r="E417" s="701"/>
      <c r="F417" s="701"/>
      <c r="G417" s="705">
        <v>1491</v>
      </c>
      <c r="H417" s="705" t="str">
        <f t="shared" si="14"/>
        <v>1491</v>
      </c>
      <c r="I417" s="705">
        <v>102</v>
      </c>
      <c r="J417" s="701">
        <v>342.58</v>
      </c>
    </row>
    <row r="418" spans="1:10" ht="12.75" x14ac:dyDescent="0.2">
      <c r="A418" s="700">
        <v>1491</v>
      </c>
      <c r="B418" s="700" t="str">
        <f t="shared" si="13"/>
        <v>1491</v>
      </c>
      <c r="C418" s="700">
        <v>102</v>
      </c>
      <c r="D418" s="701">
        <v>340.32</v>
      </c>
      <c r="E418" s="701"/>
      <c r="F418" s="701"/>
      <c r="G418" s="705">
        <v>1491</v>
      </c>
      <c r="H418" s="705" t="str">
        <f t="shared" si="14"/>
        <v>1491</v>
      </c>
      <c r="I418" s="705">
        <v>112</v>
      </c>
      <c r="J418" s="701">
        <v>119.63</v>
      </c>
    </row>
    <row r="419" spans="1:10" ht="12.75" x14ac:dyDescent="0.2">
      <c r="A419" s="700">
        <v>1491</v>
      </c>
      <c r="B419" s="700" t="str">
        <f t="shared" si="13"/>
        <v>1491</v>
      </c>
      <c r="C419" s="700">
        <v>112</v>
      </c>
      <c r="D419" s="701">
        <v>118.22</v>
      </c>
      <c r="E419" s="701"/>
      <c r="F419" s="701"/>
      <c r="G419" s="705">
        <v>1491</v>
      </c>
      <c r="H419" s="705" t="str">
        <f t="shared" si="14"/>
        <v>1491</v>
      </c>
      <c r="I419" s="705">
        <v>130</v>
      </c>
      <c r="J419" s="701">
        <v>42.73</v>
      </c>
    </row>
    <row r="420" spans="1:10" ht="12.75" x14ac:dyDescent="0.2">
      <c r="A420" s="700">
        <v>1491</v>
      </c>
      <c r="B420" s="700" t="str">
        <f t="shared" si="13"/>
        <v>1491</v>
      </c>
      <c r="C420" s="700">
        <v>130</v>
      </c>
      <c r="D420" s="701">
        <v>46.07</v>
      </c>
      <c r="E420" s="701"/>
      <c r="F420" s="701"/>
      <c r="G420" s="705">
        <v>1491</v>
      </c>
      <c r="H420" s="705" t="str">
        <f t="shared" si="14"/>
        <v>1491</v>
      </c>
      <c r="I420" s="705">
        <v>254</v>
      </c>
      <c r="J420" s="701">
        <v>1.38</v>
      </c>
    </row>
    <row r="421" spans="1:10" ht="12.75" x14ac:dyDescent="0.2">
      <c r="A421" s="700">
        <v>1491</v>
      </c>
      <c r="B421" s="700" t="str">
        <f t="shared" si="13"/>
        <v>1491</v>
      </c>
      <c r="C421" s="700">
        <v>254</v>
      </c>
      <c r="D421" s="701">
        <v>0.88</v>
      </c>
      <c r="E421" s="701"/>
      <c r="F421" s="701"/>
      <c r="G421" s="705">
        <v>1531</v>
      </c>
      <c r="H421" s="705" t="str">
        <f t="shared" si="14"/>
        <v>1531</v>
      </c>
      <c r="I421" s="705">
        <v>101</v>
      </c>
      <c r="J421" s="701">
        <v>134.44999999999999</v>
      </c>
    </row>
    <row r="422" spans="1:10" ht="12.75" x14ac:dyDescent="0.2">
      <c r="A422" s="700">
        <v>1531</v>
      </c>
      <c r="B422" s="700" t="str">
        <f t="shared" si="13"/>
        <v>1531</v>
      </c>
      <c r="C422" s="700">
        <v>101</v>
      </c>
      <c r="D422" s="701">
        <v>142.34</v>
      </c>
      <c r="E422" s="701"/>
      <c r="F422" s="701"/>
      <c r="G422" s="705">
        <v>1531</v>
      </c>
      <c r="H422" s="705" t="str">
        <f t="shared" si="14"/>
        <v>1531</v>
      </c>
      <c r="I422" s="705">
        <v>102</v>
      </c>
      <c r="J422" s="701">
        <v>101.51</v>
      </c>
    </row>
    <row r="423" spans="1:10" ht="12.75" x14ac:dyDescent="0.2">
      <c r="A423" s="700">
        <v>1531</v>
      </c>
      <c r="B423" s="700" t="str">
        <f t="shared" si="13"/>
        <v>1531</v>
      </c>
      <c r="C423" s="700">
        <v>102</v>
      </c>
      <c r="D423" s="701">
        <v>104.31</v>
      </c>
      <c r="E423" s="701"/>
      <c r="F423" s="701"/>
      <c r="G423" s="705">
        <v>1531</v>
      </c>
      <c r="H423" s="705" t="str">
        <f t="shared" si="14"/>
        <v>1531</v>
      </c>
      <c r="I423" s="705">
        <v>111</v>
      </c>
      <c r="J423" s="701">
        <v>82.5</v>
      </c>
    </row>
    <row r="424" spans="1:10" ht="12.75" x14ac:dyDescent="0.2">
      <c r="A424" s="700">
        <v>1531</v>
      </c>
      <c r="B424" s="700" t="str">
        <f t="shared" si="13"/>
        <v>1531</v>
      </c>
      <c r="C424" s="700">
        <v>111</v>
      </c>
      <c r="D424" s="701">
        <v>73.5</v>
      </c>
      <c r="E424" s="701"/>
      <c r="F424" s="701"/>
      <c r="G424" s="705">
        <v>1531</v>
      </c>
      <c r="H424" s="705" t="str">
        <f t="shared" si="14"/>
        <v>1531</v>
      </c>
      <c r="I424" s="705">
        <v>112</v>
      </c>
      <c r="J424" s="701">
        <v>42.94</v>
      </c>
    </row>
    <row r="425" spans="1:10" ht="12.75" x14ac:dyDescent="0.2">
      <c r="A425" s="700">
        <v>1531</v>
      </c>
      <c r="B425" s="700" t="str">
        <f t="shared" si="13"/>
        <v>1531</v>
      </c>
      <c r="C425" s="700">
        <v>112</v>
      </c>
      <c r="D425" s="701">
        <v>40.5</v>
      </c>
      <c r="E425" s="701"/>
      <c r="F425" s="701"/>
      <c r="G425" s="705">
        <v>1531</v>
      </c>
      <c r="H425" s="705" t="str">
        <f t="shared" si="14"/>
        <v>1531</v>
      </c>
      <c r="I425" s="705">
        <v>130</v>
      </c>
      <c r="J425" s="701">
        <v>231.96</v>
      </c>
    </row>
    <row r="426" spans="1:10" ht="12.75" x14ac:dyDescent="0.2">
      <c r="A426" s="700">
        <v>1531</v>
      </c>
      <c r="B426" s="700" t="str">
        <f t="shared" si="13"/>
        <v>1531</v>
      </c>
      <c r="C426" s="700">
        <v>130</v>
      </c>
      <c r="D426" s="701">
        <v>249.29</v>
      </c>
      <c r="E426" s="701"/>
      <c r="F426" s="701"/>
      <c r="G426" s="705">
        <v>1531</v>
      </c>
      <c r="H426" s="705" t="str">
        <f t="shared" si="14"/>
        <v>1531</v>
      </c>
      <c r="I426" s="705">
        <v>254</v>
      </c>
      <c r="J426" s="701">
        <v>2.4900000000000002</v>
      </c>
    </row>
    <row r="427" spans="1:10" ht="12.75" x14ac:dyDescent="0.2">
      <c r="A427" s="700">
        <v>1531</v>
      </c>
      <c r="B427" s="700" t="str">
        <f t="shared" si="13"/>
        <v>1531</v>
      </c>
      <c r="C427" s="700">
        <v>254</v>
      </c>
      <c r="D427" s="701">
        <v>3.51</v>
      </c>
      <c r="E427" s="701"/>
      <c r="F427" s="701"/>
      <c r="G427" s="705">
        <v>1541</v>
      </c>
      <c r="H427" s="705" t="str">
        <f t="shared" si="14"/>
        <v>1541</v>
      </c>
      <c r="I427" s="705">
        <v>101</v>
      </c>
      <c r="J427" s="701">
        <v>58.03</v>
      </c>
    </row>
    <row r="428" spans="1:10" ht="12.75" x14ac:dyDescent="0.2">
      <c r="A428" s="700">
        <v>1541</v>
      </c>
      <c r="B428" s="700" t="str">
        <f t="shared" si="13"/>
        <v>1541</v>
      </c>
      <c r="C428" s="700">
        <v>101</v>
      </c>
      <c r="D428" s="701">
        <v>64.98</v>
      </c>
      <c r="E428" s="701"/>
      <c r="F428" s="701"/>
      <c r="G428" s="705">
        <v>1541</v>
      </c>
      <c r="H428" s="705" t="str">
        <f t="shared" si="14"/>
        <v>1541</v>
      </c>
      <c r="I428" s="705">
        <v>102</v>
      </c>
      <c r="J428" s="701">
        <v>64.37</v>
      </c>
    </row>
    <row r="429" spans="1:10" ht="12.75" x14ac:dyDescent="0.2">
      <c r="A429" s="700">
        <v>1541</v>
      </c>
      <c r="B429" s="700" t="str">
        <f t="shared" si="13"/>
        <v>1541</v>
      </c>
      <c r="C429" s="700">
        <v>102</v>
      </c>
      <c r="D429" s="701">
        <v>67.97</v>
      </c>
      <c r="E429" s="701"/>
      <c r="F429" s="701"/>
      <c r="G429" s="705">
        <v>1541</v>
      </c>
      <c r="H429" s="705" t="str">
        <f t="shared" si="14"/>
        <v>1541</v>
      </c>
      <c r="I429" s="705">
        <v>111</v>
      </c>
      <c r="J429" s="701">
        <v>50.88</v>
      </c>
    </row>
    <row r="430" spans="1:10" ht="12.75" x14ac:dyDescent="0.2">
      <c r="A430" s="700">
        <v>1541</v>
      </c>
      <c r="B430" s="700" t="str">
        <f t="shared" si="13"/>
        <v>1541</v>
      </c>
      <c r="C430" s="700">
        <v>111</v>
      </c>
      <c r="D430" s="701">
        <v>44.58</v>
      </c>
      <c r="E430" s="701"/>
      <c r="F430" s="701"/>
      <c r="G430" s="705">
        <v>1541</v>
      </c>
      <c r="H430" s="705" t="str">
        <f t="shared" si="14"/>
        <v>1541</v>
      </c>
      <c r="I430" s="705">
        <v>112</v>
      </c>
      <c r="J430" s="701">
        <v>38.04</v>
      </c>
    </row>
    <row r="431" spans="1:10" ht="12.75" x14ac:dyDescent="0.2">
      <c r="A431" s="700">
        <v>1541</v>
      </c>
      <c r="B431" s="700" t="str">
        <f t="shared" si="13"/>
        <v>1541</v>
      </c>
      <c r="C431" s="700">
        <v>112</v>
      </c>
      <c r="D431" s="701">
        <v>36.96</v>
      </c>
      <c r="E431" s="701"/>
      <c r="F431" s="701"/>
      <c r="G431" s="705">
        <v>1541</v>
      </c>
      <c r="H431" s="705" t="str">
        <f t="shared" si="14"/>
        <v>1541</v>
      </c>
      <c r="I431" s="705">
        <v>130</v>
      </c>
      <c r="J431" s="701">
        <v>24.67</v>
      </c>
    </row>
    <row r="432" spans="1:10" ht="12.75" x14ac:dyDescent="0.2">
      <c r="A432" s="700">
        <v>1541</v>
      </c>
      <c r="B432" s="700" t="str">
        <f t="shared" si="13"/>
        <v>1541</v>
      </c>
      <c r="C432" s="700">
        <v>130</v>
      </c>
      <c r="D432" s="701">
        <v>23.19</v>
      </c>
      <c r="E432" s="701"/>
      <c r="F432" s="701"/>
      <c r="G432" s="705">
        <v>1541</v>
      </c>
      <c r="H432" s="705" t="str">
        <f t="shared" si="14"/>
        <v>1541</v>
      </c>
      <c r="I432" s="705">
        <v>254</v>
      </c>
      <c r="J432" s="701">
        <v>6.14</v>
      </c>
    </row>
    <row r="433" spans="1:10" ht="12.75" x14ac:dyDescent="0.2">
      <c r="A433" s="700">
        <v>1541</v>
      </c>
      <c r="B433" s="700" t="str">
        <f t="shared" si="13"/>
        <v>1541</v>
      </c>
      <c r="C433" s="700">
        <v>254</v>
      </c>
      <c r="D433" s="701">
        <v>4.37</v>
      </c>
      <c r="E433" s="701"/>
      <c r="F433" s="701"/>
      <c r="G433" s="705">
        <v>1541</v>
      </c>
      <c r="H433" s="705" t="str">
        <f t="shared" si="14"/>
        <v>1541</v>
      </c>
      <c r="I433" s="705">
        <v>255</v>
      </c>
      <c r="J433" s="701">
        <v>0.31</v>
      </c>
    </row>
    <row r="434" spans="1:10" ht="12.75" x14ac:dyDescent="0.2">
      <c r="A434" s="700">
        <v>1541</v>
      </c>
      <c r="B434" s="700" t="str">
        <f t="shared" si="13"/>
        <v>1541</v>
      </c>
      <c r="C434" s="700">
        <v>255</v>
      </c>
      <c r="D434" s="701">
        <v>0</v>
      </c>
      <c r="E434" s="701"/>
      <c r="F434" s="701"/>
      <c r="G434" s="705">
        <v>1561</v>
      </c>
      <c r="H434" s="705" t="str">
        <f t="shared" si="14"/>
        <v>1561</v>
      </c>
      <c r="I434" s="705">
        <v>103</v>
      </c>
      <c r="J434" s="701">
        <v>1000.94</v>
      </c>
    </row>
    <row r="435" spans="1:10" ht="12.75" x14ac:dyDescent="0.2">
      <c r="A435" s="700">
        <v>1561</v>
      </c>
      <c r="B435" s="700" t="str">
        <f t="shared" si="13"/>
        <v>1561</v>
      </c>
      <c r="C435" s="700">
        <v>103</v>
      </c>
      <c r="D435" s="701">
        <v>1015.31</v>
      </c>
      <c r="E435" s="701"/>
      <c r="F435" s="701"/>
      <c r="G435" s="705">
        <v>1561</v>
      </c>
      <c r="H435" s="705" t="str">
        <f t="shared" si="14"/>
        <v>1561</v>
      </c>
      <c r="I435" s="705">
        <v>113</v>
      </c>
      <c r="J435" s="701">
        <v>174.49</v>
      </c>
    </row>
    <row r="436" spans="1:10" ht="12.75" x14ac:dyDescent="0.2">
      <c r="A436" s="700">
        <v>1561</v>
      </c>
      <c r="B436" s="700" t="str">
        <f t="shared" si="13"/>
        <v>1561</v>
      </c>
      <c r="C436" s="700">
        <v>113</v>
      </c>
      <c r="D436" s="701">
        <v>182.63</v>
      </c>
      <c r="E436" s="701"/>
      <c r="F436" s="701"/>
      <c r="G436" s="705">
        <v>1561</v>
      </c>
      <c r="H436" s="705" t="str">
        <f t="shared" si="14"/>
        <v>1561</v>
      </c>
      <c r="I436" s="705">
        <v>130</v>
      </c>
      <c r="J436" s="701">
        <v>73.290000000000006</v>
      </c>
    </row>
    <row r="437" spans="1:10" ht="12.75" x14ac:dyDescent="0.2">
      <c r="A437" s="700">
        <v>1561</v>
      </c>
      <c r="B437" s="700" t="str">
        <f t="shared" si="13"/>
        <v>1561</v>
      </c>
      <c r="C437" s="700">
        <v>130</v>
      </c>
      <c r="D437" s="701">
        <v>74.819999999999993</v>
      </c>
      <c r="E437" s="701"/>
      <c r="F437" s="701"/>
      <c r="G437" s="705">
        <v>1561</v>
      </c>
      <c r="H437" s="705" t="str">
        <f t="shared" si="14"/>
        <v>1561</v>
      </c>
      <c r="I437" s="705">
        <v>254</v>
      </c>
      <c r="J437" s="701">
        <v>2</v>
      </c>
    </row>
    <row r="438" spans="1:10" ht="12.75" x14ac:dyDescent="0.2">
      <c r="A438" s="700">
        <v>1561</v>
      </c>
      <c r="B438" s="700" t="str">
        <f t="shared" si="13"/>
        <v>1561</v>
      </c>
      <c r="C438" s="700">
        <v>254</v>
      </c>
      <c r="D438" s="701">
        <v>1.5</v>
      </c>
      <c r="E438" s="701"/>
      <c r="F438" s="701"/>
      <c r="G438" s="705">
        <v>1561</v>
      </c>
      <c r="H438" s="705" t="str">
        <f t="shared" si="14"/>
        <v>1561</v>
      </c>
      <c r="I438" s="705">
        <v>300</v>
      </c>
      <c r="J438" s="701">
        <v>80.86</v>
      </c>
    </row>
    <row r="439" spans="1:10" ht="12.75" x14ac:dyDescent="0.2">
      <c r="A439" s="700">
        <v>1561</v>
      </c>
      <c r="B439" s="700" t="str">
        <f t="shared" si="13"/>
        <v>1561</v>
      </c>
      <c r="C439" s="700">
        <v>300</v>
      </c>
      <c r="D439" s="701">
        <v>82.67</v>
      </c>
      <c r="E439" s="701"/>
      <c r="F439" s="701"/>
      <c r="G439" s="705">
        <v>1571</v>
      </c>
      <c r="H439" s="705" t="str">
        <f t="shared" si="14"/>
        <v>1571</v>
      </c>
      <c r="I439" s="705">
        <v>102</v>
      </c>
      <c r="J439" s="701">
        <v>0.11</v>
      </c>
    </row>
    <row r="440" spans="1:10" ht="12.75" x14ac:dyDescent="0.2">
      <c r="A440" s="700">
        <v>1571</v>
      </c>
      <c r="B440" s="700" t="str">
        <f t="shared" si="13"/>
        <v>1571</v>
      </c>
      <c r="C440" s="700">
        <v>102</v>
      </c>
      <c r="D440" s="701">
        <v>0</v>
      </c>
      <c r="E440" s="701"/>
      <c r="F440" s="701"/>
      <c r="G440" s="705">
        <v>1571</v>
      </c>
      <c r="H440" s="705" t="str">
        <f t="shared" si="14"/>
        <v>1571</v>
      </c>
      <c r="I440" s="705">
        <v>103</v>
      </c>
      <c r="J440" s="701">
        <v>273.25</v>
      </c>
    </row>
    <row r="441" spans="1:10" ht="12.75" x14ac:dyDescent="0.2">
      <c r="A441" s="700">
        <v>1571</v>
      </c>
      <c r="B441" s="700" t="str">
        <f t="shared" si="13"/>
        <v>1571</v>
      </c>
      <c r="C441" s="700">
        <v>103</v>
      </c>
      <c r="D441" s="701">
        <v>288.52999999999997</v>
      </c>
      <c r="E441" s="701"/>
      <c r="F441" s="701"/>
      <c r="G441" s="705">
        <v>1571</v>
      </c>
      <c r="H441" s="705" t="str">
        <f t="shared" si="14"/>
        <v>1571</v>
      </c>
      <c r="I441" s="705">
        <v>113</v>
      </c>
      <c r="J441" s="701">
        <v>137.68</v>
      </c>
    </row>
    <row r="442" spans="1:10" ht="12.75" x14ac:dyDescent="0.2">
      <c r="A442" s="700">
        <v>1571</v>
      </c>
      <c r="B442" s="700" t="str">
        <f t="shared" si="13"/>
        <v>1571</v>
      </c>
      <c r="C442" s="700">
        <v>113</v>
      </c>
      <c r="D442" s="701">
        <v>145</v>
      </c>
      <c r="E442" s="701"/>
      <c r="F442" s="701"/>
      <c r="G442" s="705">
        <v>1571</v>
      </c>
      <c r="H442" s="705" t="str">
        <f t="shared" si="14"/>
        <v>1571</v>
      </c>
      <c r="I442" s="705">
        <v>130</v>
      </c>
      <c r="J442" s="701">
        <v>1.33</v>
      </c>
    </row>
    <row r="443" spans="1:10" ht="12.75" x14ac:dyDescent="0.2">
      <c r="A443" s="700">
        <v>1571</v>
      </c>
      <c r="B443" s="700" t="str">
        <f t="shared" si="13"/>
        <v>1571</v>
      </c>
      <c r="C443" s="700">
        <v>130</v>
      </c>
      <c r="D443" s="701">
        <v>1.47</v>
      </c>
      <c r="E443" s="701"/>
      <c r="F443" s="701"/>
      <c r="G443" s="705">
        <v>1571</v>
      </c>
      <c r="H443" s="705" t="str">
        <f t="shared" si="14"/>
        <v>1571</v>
      </c>
      <c r="I443" s="705">
        <v>300</v>
      </c>
      <c r="J443" s="701">
        <v>126</v>
      </c>
    </row>
    <row r="444" spans="1:10" ht="12.75" x14ac:dyDescent="0.2">
      <c r="A444" s="700">
        <v>1571</v>
      </c>
      <c r="B444" s="700" t="str">
        <f t="shared" si="13"/>
        <v>1571</v>
      </c>
      <c r="C444" s="700">
        <v>300</v>
      </c>
      <c r="D444" s="701">
        <v>129.88</v>
      </c>
      <c r="E444" s="701"/>
      <c r="F444" s="701"/>
      <c r="G444" s="705">
        <v>1581</v>
      </c>
      <c r="H444" s="705" t="str">
        <f t="shared" si="14"/>
        <v>1581</v>
      </c>
      <c r="I444" s="705">
        <v>102</v>
      </c>
      <c r="J444" s="701">
        <v>225.64</v>
      </c>
    </row>
    <row r="445" spans="1:10" ht="12.75" x14ac:dyDescent="0.2">
      <c r="A445" s="700">
        <v>1581</v>
      </c>
      <c r="B445" s="700" t="str">
        <f t="shared" si="13"/>
        <v>1581</v>
      </c>
      <c r="C445" s="700">
        <v>102</v>
      </c>
      <c r="D445" s="701">
        <v>217.44</v>
      </c>
      <c r="E445" s="701"/>
      <c r="F445" s="701"/>
      <c r="G445" s="705">
        <v>1581</v>
      </c>
      <c r="H445" s="705" t="str">
        <f t="shared" si="14"/>
        <v>1581</v>
      </c>
      <c r="I445" s="705">
        <v>112</v>
      </c>
      <c r="J445" s="701">
        <v>90.93</v>
      </c>
    </row>
    <row r="446" spans="1:10" ht="12.75" x14ac:dyDescent="0.2">
      <c r="A446" s="700">
        <v>1581</v>
      </c>
      <c r="B446" s="700" t="str">
        <f t="shared" si="13"/>
        <v>1581</v>
      </c>
      <c r="C446" s="700">
        <v>112</v>
      </c>
      <c r="D446" s="701">
        <v>88.59</v>
      </c>
      <c r="E446" s="701"/>
      <c r="F446" s="701"/>
      <c r="G446" s="705">
        <v>1581</v>
      </c>
      <c r="H446" s="705" t="str">
        <f t="shared" si="14"/>
        <v>1581</v>
      </c>
      <c r="I446" s="705">
        <v>130</v>
      </c>
      <c r="J446" s="701">
        <v>71.48</v>
      </c>
    </row>
    <row r="447" spans="1:10" ht="12.75" x14ac:dyDescent="0.2">
      <c r="A447" s="700">
        <v>1581</v>
      </c>
      <c r="B447" s="700" t="str">
        <f t="shared" si="13"/>
        <v>1581</v>
      </c>
      <c r="C447" s="700">
        <v>130</v>
      </c>
      <c r="D447" s="701">
        <v>69.84</v>
      </c>
      <c r="E447" s="701"/>
      <c r="F447" s="701"/>
      <c r="G447" s="705">
        <v>1581</v>
      </c>
      <c r="H447" s="705" t="str">
        <f t="shared" si="14"/>
        <v>1581</v>
      </c>
      <c r="I447" s="705">
        <v>254</v>
      </c>
      <c r="J447" s="701">
        <v>1.5</v>
      </c>
    </row>
    <row r="448" spans="1:10" ht="12.75" x14ac:dyDescent="0.2">
      <c r="A448" s="700">
        <v>1581</v>
      </c>
      <c r="B448" s="700" t="str">
        <f t="shared" si="13"/>
        <v>1581</v>
      </c>
      <c r="C448" s="700">
        <v>254</v>
      </c>
      <c r="D448" s="701">
        <v>1.5</v>
      </c>
      <c r="E448" s="701"/>
      <c r="F448" s="701"/>
      <c r="G448" s="705">
        <v>1611</v>
      </c>
      <c r="H448" s="705" t="str">
        <f t="shared" si="14"/>
        <v>1611</v>
      </c>
      <c r="I448" s="705">
        <v>103</v>
      </c>
      <c r="J448" s="701">
        <v>832.56</v>
      </c>
    </row>
    <row r="449" spans="1:10" ht="12.75" x14ac:dyDescent="0.2">
      <c r="A449" s="700">
        <v>1611</v>
      </c>
      <c r="B449" s="700" t="str">
        <f t="shared" si="13"/>
        <v>1611</v>
      </c>
      <c r="C449" s="700">
        <v>103</v>
      </c>
      <c r="D449" s="701">
        <v>816.26</v>
      </c>
      <c r="E449" s="701"/>
      <c r="F449" s="701"/>
      <c r="G449" s="705">
        <v>1611</v>
      </c>
      <c r="H449" s="705" t="str">
        <f t="shared" si="14"/>
        <v>1611</v>
      </c>
      <c r="I449" s="705">
        <v>113</v>
      </c>
      <c r="J449" s="701">
        <v>178.43</v>
      </c>
    </row>
    <row r="450" spans="1:10" ht="12.75" x14ac:dyDescent="0.2">
      <c r="A450" s="700">
        <v>1611</v>
      </c>
      <c r="B450" s="700" t="str">
        <f t="shared" ref="B450:B513" si="15">TEXT(A450,"0000")</f>
        <v>1611</v>
      </c>
      <c r="C450" s="700">
        <v>113</v>
      </c>
      <c r="D450" s="701">
        <v>183.04</v>
      </c>
      <c r="E450" s="701"/>
      <c r="F450" s="701"/>
      <c r="G450" s="705">
        <v>1611</v>
      </c>
      <c r="H450" s="705" t="str">
        <f t="shared" si="14"/>
        <v>1611</v>
      </c>
      <c r="I450" s="705">
        <v>130</v>
      </c>
      <c r="J450" s="701">
        <v>60.88</v>
      </c>
    </row>
    <row r="451" spans="1:10" ht="12.75" x14ac:dyDescent="0.2">
      <c r="A451" s="700">
        <v>1611</v>
      </c>
      <c r="B451" s="700" t="str">
        <f t="shared" si="15"/>
        <v>1611</v>
      </c>
      <c r="C451" s="700">
        <v>130</v>
      </c>
      <c r="D451" s="701">
        <v>69.56</v>
      </c>
      <c r="E451" s="701"/>
      <c r="F451" s="701"/>
      <c r="G451" s="705">
        <v>1611</v>
      </c>
      <c r="H451" s="705" t="str">
        <f t="shared" ref="H451:H514" si="16">TEXT(G451,"0000")</f>
        <v>1611</v>
      </c>
      <c r="I451" s="705">
        <v>254</v>
      </c>
      <c r="J451" s="701">
        <v>1.58</v>
      </c>
    </row>
    <row r="452" spans="1:10" ht="12.75" x14ac:dyDescent="0.2">
      <c r="A452" s="700">
        <v>1611</v>
      </c>
      <c r="B452" s="700" t="str">
        <f t="shared" si="15"/>
        <v>1611</v>
      </c>
      <c r="C452" s="700">
        <v>254</v>
      </c>
      <c r="D452" s="701">
        <v>1.96</v>
      </c>
      <c r="E452" s="701"/>
      <c r="F452" s="701"/>
      <c r="G452" s="705">
        <v>1611</v>
      </c>
      <c r="H452" s="705" t="str">
        <f t="shared" si="16"/>
        <v>1611</v>
      </c>
      <c r="I452" s="705">
        <v>255</v>
      </c>
      <c r="J452" s="701">
        <v>0</v>
      </c>
    </row>
    <row r="453" spans="1:10" ht="12.75" x14ac:dyDescent="0.2">
      <c r="A453" s="700">
        <v>1611</v>
      </c>
      <c r="B453" s="700" t="str">
        <f t="shared" si="15"/>
        <v>1611</v>
      </c>
      <c r="C453" s="700">
        <v>255</v>
      </c>
      <c r="D453" s="701">
        <v>0.04</v>
      </c>
      <c r="E453" s="701"/>
      <c r="F453" s="701"/>
      <c r="G453" s="705">
        <v>1611</v>
      </c>
      <c r="H453" s="705" t="str">
        <f t="shared" si="16"/>
        <v>1611</v>
      </c>
      <c r="I453" s="705">
        <v>300</v>
      </c>
      <c r="J453" s="701">
        <v>78.5</v>
      </c>
    </row>
    <row r="454" spans="1:10" ht="12.75" x14ac:dyDescent="0.2">
      <c r="A454" s="700">
        <v>1611</v>
      </c>
      <c r="B454" s="700" t="str">
        <f t="shared" si="15"/>
        <v>1611</v>
      </c>
      <c r="C454" s="700">
        <v>300</v>
      </c>
      <c r="D454" s="701">
        <v>81.17</v>
      </c>
      <c r="E454" s="701"/>
      <c r="F454" s="701"/>
      <c r="G454" s="705">
        <v>1651</v>
      </c>
      <c r="H454" s="705" t="str">
        <f t="shared" si="16"/>
        <v>1651</v>
      </c>
      <c r="I454" s="705">
        <v>101</v>
      </c>
      <c r="J454" s="701">
        <v>116.09</v>
      </c>
    </row>
    <row r="455" spans="1:10" ht="12.75" x14ac:dyDescent="0.2">
      <c r="A455" s="700">
        <v>1651</v>
      </c>
      <c r="B455" s="700" t="str">
        <f t="shared" si="15"/>
        <v>1651</v>
      </c>
      <c r="C455" s="700">
        <v>101</v>
      </c>
      <c r="D455" s="701">
        <v>115.7</v>
      </c>
      <c r="E455" s="701"/>
      <c r="F455" s="701"/>
      <c r="G455" s="705">
        <v>1651</v>
      </c>
      <c r="H455" s="705" t="str">
        <f t="shared" si="16"/>
        <v>1651</v>
      </c>
      <c r="I455" s="705">
        <v>102</v>
      </c>
      <c r="J455" s="701">
        <v>78.48</v>
      </c>
    </row>
    <row r="456" spans="1:10" ht="12.75" x14ac:dyDescent="0.2">
      <c r="A456" s="700">
        <v>1651</v>
      </c>
      <c r="B456" s="700" t="str">
        <f t="shared" si="15"/>
        <v>1651</v>
      </c>
      <c r="C456" s="700">
        <v>102</v>
      </c>
      <c r="D456" s="701">
        <v>79.290000000000006</v>
      </c>
      <c r="E456" s="701"/>
      <c r="F456" s="701"/>
      <c r="G456" s="705">
        <v>1651</v>
      </c>
      <c r="H456" s="705" t="str">
        <f t="shared" si="16"/>
        <v>1651</v>
      </c>
      <c r="I456" s="705">
        <v>111</v>
      </c>
      <c r="J456" s="701">
        <v>47.51</v>
      </c>
    </row>
    <row r="457" spans="1:10" ht="12.75" x14ac:dyDescent="0.2">
      <c r="A457" s="700">
        <v>1651</v>
      </c>
      <c r="B457" s="700" t="str">
        <f t="shared" si="15"/>
        <v>1651</v>
      </c>
      <c r="C457" s="700">
        <v>111</v>
      </c>
      <c r="D457" s="701">
        <v>43.99</v>
      </c>
      <c r="E457" s="701"/>
      <c r="F457" s="701"/>
      <c r="G457" s="705">
        <v>1651</v>
      </c>
      <c r="H457" s="705" t="str">
        <f t="shared" si="16"/>
        <v>1651</v>
      </c>
      <c r="I457" s="705">
        <v>112</v>
      </c>
      <c r="J457" s="701">
        <v>23</v>
      </c>
    </row>
    <row r="458" spans="1:10" ht="12.75" x14ac:dyDescent="0.2">
      <c r="A458" s="700">
        <v>1651</v>
      </c>
      <c r="B458" s="700" t="str">
        <f t="shared" si="15"/>
        <v>1651</v>
      </c>
      <c r="C458" s="700">
        <v>112</v>
      </c>
      <c r="D458" s="701">
        <v>23</v>
      </c>
      <c r="E458" s="701"/>
      <c r="F458" s="701"/>
      <c r="G458" s="705">
        <v>1651</v>
      </c>
      <c r="H458" s="705" t="str">
        <f t="shared" si="16"/>
        <v>1651</v>
      </c>
      <c r="I458" s="705">
        <v>130</v>
      </c>
      <c r="J458" s="701">
        <v>45.58</v>
      </c>
    </row>
    <row r="459" spans="1:10" ht="12.75" x14ac:dyDescent="0.2">
      <c r="A459" s="700">
        <v>1651</v>
      </c>
      <c r="B459" s="700" t="str">
        <f t="shared" si="15"/>
        <v>1651</v>
      </c>
      <c r="C459" s="700">
        <v>130</v>
      </c>
      <c r="D459" s="701">
        <v>44.9</v>
      </c>
      <c r="E459" s="701"/>
      <c r="F459" s="701"/>
      <c r="G459" s="705">
        <v>1651</v>
      </c>
      <c r="H459" s="705" t="str">
        <f t="shared" si="16"/>
        <v>1651</v>
      </c>
      <c r="I459" s="705">
        <v>254</v>
      </c>
      <c r="J459" s="701">
        <v>0.5</v>
      </c>
    </row>
    <row r="460" spans="1:10" ht="12.75" x14ac:dyDescent="0.2">
      <c r="A460" s="700">
        <v>1651</v>
      </c>
      <c r="B460" s="700" t="str">
        <f t="shared" si="15"/>
        <v>1651</v>
      </c>
      <c r="C460" s="700">
        <v>254</v>
      </c>
      <c r="D460" s="701">
        <v>0.5</v>
      </c>
      <c r="E460" s="701"/>
      <c r="F460" s="701"/>
      <c r="G460" s="705">
        <v>1661</v>
      </c>
      <c r="H460" s="705" t="str">
        <f t="shared" si="16"/>
        <v>1661</v>
      </c>
      <c r="I460" s="705">
        <v>101</v>
      </c>
      <c r="J460" s="701">
        <v>193.98</v>
      </c>
    </row>
    <row r="461" spans="1:10" ht="12.75" x14ac:dyDescent="0.2">
      <c r="A461" s="700">
        <v>1661</v>
      </c>
      <c r="B461" s="700" t="str">
        <f t="shared" si="15"/>
        <v>1661</v>
      </c>
      <c r="C461" s="700">
        <v>101</v>
      </c>
      <c r="D461" s="701">
        <v>198.95</v>
      </c>
      <c r="E461" s="701"/>
      <c r="F461" s="701"/>
      <c r="G461" s="705">
        <v>1661</v>
      </c>
      <c r="H461" s="705" t="str">
        <f t="shared" si="16"/>
        <v>1661</v>
      </c>
      <c r="I461" s="705">
        <v>102</v>
      </c>
      <c r="J461" s="701">
        <v>254.5</v>
      </c>
    </row>
    <row r="462" spans="1:10" ht="12.75" x14ac:dyDescent="0.2">
      <c r="A462" s="700">
        <v>1661</v>
      </c>
      <c r="B462" s="700" t="str">
        <f t="shared" si="15"/>
        <v>1661</v>
      </c>
      <c r="C462" s="700">
        <v>102</v>
      </c>
      <c r="D462" s="701">
        <v>260.63</v>
      </c>
      <c r="E462" s="701"/>
      <c r="F462" s="701"/>
      <c r="G462" s="705">
        <v>1661</v>
      </c>
      <c r="H462" s="705" t="str">
        <f t="shared" si="16"/>
        <v>1661</v>
      </c>
      <c r="I462" s="705">
        <v>111</v>
      </c>
      <c r="J462" s="701">
        <v>69.06</v>
      </c>
    </row>
    <row r="463" spans="1:10" ht="12.75" x14ac:dyDescent="0.2">
      <c r="A463" s="700">
        <v>1661</v>
      </c>
      <c r="B463" s="700" t="str">
        <f t="shared" si="15"/>
        <v>1661</v>
      </c>
      <c r="C463" s="700">
        <v>111</v>
      </c>
      <c r="D463" s="701">
        <v>65.97</v>
      </c>
      <c r="E463" s="701"/>
      <c r="F463" s="701"/>
      <c r="G463" s="705">
        <v>1661</v>
      </c>
      <c r="H463" s="705" t="str">
        <f t="shared" si="16"/>
        <v>1661</v>
      </c>
      <c r="I463" s="705">
        <v>112</v>
      </c>
      <c r="J463" s="701">
        <v>58</v>
      </c>
    </row>
    <row r="464" spans="1:10" ht="12.75" x14ac:dyDescent="0.2">
      <c r="A464" s="700">
        <v>1661</v>
      </c>
      <c r="B464" s="700" t="str">
        <f t="shared" si="15"/>
        <v>1661</v>
      </c>
      <c r="C464" s="700">
        <v>112</v>
      </c>
      <c r="D464" s="701">
        <v>58.01</v>
      </c>
      <c r="E464" s="701"/>
      <c r="F464" s="701"/>
      <c r="G464" s="705">
        <v>1661</v>
      </c>
      <c r="H464" s="705" t="str">
        <f t="shared" si="16"/>
        <v>1661</v>
      </c>
      <c r="I464" s="705">
        <v>130</v>
      </c>
      <c r="J464" s="701">
        <v>80.94</v>
      </c>
    </row>
    <row r="465" spans="1:10" ht="12.75" x14ac:dyDescent="0.2">
      <c r="A465" s="700">
        <v>1661</v>
      </c>
      <c r="B465" s="700" t="str">
        <f t="shared" si="15"/>
        <v>1661</v>
      </c>
      <c r="C465" s="700">
        <v>130</v>
      </c>
      <c r="D465" s="701">
        <v>82.58</v>
      </c>
      <c r="E465" s="701"/>
      <c r="F465" s="701"/>
      <c r="G465" s="705">
        <v>1661</v>
      </c>
      <c r="H465" s="705" t="str">
        <f t="shared" si="16"/>
        <v>1661</v>
      </c>
      <c r="I465" s="705">
        <v>254</v>
      </c>
      <c r="J465" s="701">
        <v>0.5</v>
      </c>
    </row>
    <row r="466" spans="1:10" ht="12.75" x14ac:dyDescent="0.2">
      <c r="A466" s="700">
        <v>1661</v>
      </c>
      <c r="B466" s="700" t="str">
        <f t="shared" si="15"/>
        <v>1661</v>
      </c>
      <c r="C466" s="700">
        <v>254</v>
      </c>
      <c r="D466" s="701">
        <v>0.5</v>
      </c>
      <c r="E466" s="701"/>
      <c r="F466" s="701"/>
      <c r="G466" s="705">
        <v>1671</v>
      </c>
      <c r="H466" s="705" t="str">
        <f t="shared" si="16"/>
        <v>1671</v>
      </c>
      <c r="I466" s="705">
        <v>101</v>
      </c>
      <c r="J466" s="701">
        <v>176.48</v>
      </c>
    </row>
    <row r="467" spans="1:10" ht="12.75" x14ac:dyDescent="0.2">
      <c r="A467" s="700">
        <v>1671</v>
      </c>
      <c r="B467" s="700" t="str">
        <f t="shared" si="15"/>
        <v>1671</v>
      </c>
      <c r="C467" s="700">
        <v>101</v>
      </c>
      <c r="D467" s="701">
        <v>173.57</v>
      </c>
      <c r="E467" s="701"/>
      <c r="F467" s="701"/>
      <c r="G467" s="705">
        <v>1671</v>
      </c>
      <c r="H467" s="705" t="str">
        <f t="shared" si="16"/>
        <v>1671</v>
      </c>
      <c r="I467" s="705">
        <v>102</v>
      </c>
      <c r="J467" s="701">
        <v>92.1</v>
      </c>
    </row>
    <row r="468" spans="1:10" ht="12.75" x14ac:dyDescent="0.2">
      <c r="A468" s="700">
        <v>1671</v>
      </c>
      <c r="B468" s="700" t="str">
        <f t="shared" si="15"/>
        <v>1671</v>
      </c>
      <c r="C468" s="700">
        <v>102</v>
      </c>
      <c r="D468" s="701">
        <v>93.53</v>
      </c>
      <c r="E468" s="701"/>
      <c r="F468" s="701"/>
      <c r="G468" s="705">
        <v>1671</v>
      </c>
      <c r="H468" s="705" t="str">
        <f t="shared" si="16"/>
        <v>1671</v>
      </c>
      <c r="I468" s="705">
        <v>111</v>
      </c>
      <c r="J468" s="701">
        <v>74.75</v>
      </c>
    </row>
    <row r="469" spans="1:10" ht="12.75" x14ac:dyDescent="0.2">
      <c r="A469" s="700">
        <v>1671</v>
      </c>
      <c r="B469" s="700" t="str">
        <f t="shared" si="15"/>
        <v>1671</v>
      </c>
      <c r="C469" s="700">
        <v>111</v>
      </c>
      <c r="D469" s="701">
        <v>71.25</v>
      </c>
      <c r="E469" s="701"/>
      <c r="F469" s="701"/>
      <c r="G469" s="705">
        <v>1671</v>
      </c>
      <c r="H469" s="705" t="str">
        <f t="shared" si="16"/>
        <v>1671</v>
      </c>
      <c r="I469" s="705">
        <v>112</v>
      </c>
      <c r="J469" s="701">
        <v>35.5</v>
      </c>
    </row>
    <row r="470" spans="1:10" ht="12.75" x14ac:dyDescent="0.2">
      <c r="A470" s="700">
        <v>1671</v>
      </c>
      <c r="B470" s="700" t="str">
        <f t="shared" si="15"/>
        <v>1671</v>
      </c>
      <c r="C470" s="700">
        <v>112</v>
      </c>
      <c r="D470" s="701">
        <v>36</v>
      </c>
      <c r="E470" s="701"/>
      <c r="F470" s="701"/>
      <c r="G470" s="705">
        <v>1671</v>
      </c>
      <c r="H470" s="705" t="str">
        <f t="shared" si="16"/>
        <v>1671</v>
      </c>
      <c r="I470" s="705">
        <v>130</v>
      </c>
      <c r="J470" s="701">
        <v>28.98</v>
      </c>
    </row>
    <row r="471" spans="1:10" ht="12.75" x14ac:dyDescent="0.2">
      <c r="A471" s="700">
        <v>1671</v>
      </c>
      <c r="B471" s="700" t="str">
        <f t="shared" si="15"/>
        <v>1671</v>
      </c>
      <c r="C471" s="700">
        <v>130</v>
      </c>
      <c r="D471" s="701">
        <v>31.38</v>
      </c>
      <c r="E471" s="701"/>
      <c r="F471" s="701"/>
      <c r="G471" s="705">
        <v>1671</v>
      </c>
      <c r="H471" s="705" t="str">
        <f t="shared" si="16"/>
        <v>1671</v>
      </c>
      <c r="I471" s="705">
        <v>254</v>
      </c>
      <c r="J471" s="701">
        <v>0.31</v>
      </c>
    </row>
    <row r="472" spans="1:10" ht="12.75" x14ac:dyDescent="0.2">
      <c r="A472" s="700">
        <v>1671</v>
      </c>
      <c r="B472" s="700" t="str">
        <f t="shared" si="15"/>
        <v>1671</v>
      </c>
      <c r="C472" s="700">
        <v>254</v>
      </c>
      <c r="D472" s="701">
        <v>0.31</v>
      </c>
      <c r="E472" s="701"/>
      <c r="F472" s="701"/>
      <c r="G472" s="705">
        <v>1681</v>
      </c>
      <c r="H472" s="706" t="str">
        <f t="shared" si="16"/>
        <v>1681</v>
      </c>
      <c r="I472" s="706">
        <v>101</v>
      </c>
      <c r="J472" s="707">
        <v>0</v>
      </c>
    </row>
    <row r="473" spans="1:10" ht="12.75" x14ac:dyDescent="0.2">
      <c r="A473" s="700">
        <v>1681</v>
      </c>
      <c r="B473" s="700" t="str">
        <f t="shared" si="15"/>
        <v>1681</v>
      </c>
      <c r="C473" s="700">
        <v>103</v>
      </c>
      <c r="D473" s="701">
        <v>1025.78</v>
      </c>
      <c r="E473" s="701"/>
      <c r="F473" s="701"/>
      <c r="G473" s="705">
        <v>1681</v>
      </c>
      <c r="H473" s="705" t="str">
        <f t="shared" si="16"/>
        <v>1681</v>
      </c>
      <c r="I473" s="705">
        <v>103</v>
      </c>
      <c r="J473" s="701">
        <v>1011.09</v>
      </c>
    </row>
    <row r="474" spans="1:10" ht="12.75" x14ac:dyDescent="0.2">
      <c r="A474" s="700">
        <v>1681</v>
      </c>
      <c r="B474" s="700" t="str">
        <f t="shared" si="15"/>
        <v>1681</v>
      </c>
      <c r="C474" s="700">
        <v>111</v>
      </c>
      <c r="D474" s="701">
        <v>0.05</v>
      </c>
      <c r="E474" s="701"/>
      <c r="F474" s="701"/>
      <c r="G474" s="705">
        <v>1681</v>
      </c>
      <c r="H474" s="705" t="str">
        <f t="shared" si="16"/>
        <v>1681</v>
      </c>
      <c r="I474" s="705">
        <v>111</v>
      </c>
      <c r="J474" s="701">
        <v>0.05</v>
      </c>
    </row>
    <row r="475" spans="1:10" ht="12.75" x14ac:dyDescent="0.2">
      <c r="A475" s="700">
        <v>1681</v>
      </c>
      <c r="B475" s="700" t="str">
        <f t="shared" si="15"/>
        <v>1681</v>
      </c>
      <c r="C475" s="700">
        <v>113</v>
      </c>
      <c r="D475" s="701">
        <v>135.72</v>
      </c>
      <c r="E475" s="701"/>
      <c r="F475" s="701"/>
      <c r="G475" s="705">
        <v>1681</v>
      </c>
      <c r="H475" s="705" t="str">
        <f t="shared" si="16"/>
        <v>1681</v>
      </c>
      <c r="I475" s="705">
        <v>113</v>
      </c>
      <c r="J475" s="701">
        <v>132</v>
      </c>
    </row>
    <row r="476" spans="1:10" ht="12.75" x14ac:dyDescent="0.2">
      <c r="A476" s="700">
        <v>1681</v>
      </c>
      <c r="B476" s="700" t="str">
        <f t="shared" si="15"/>
        <v>1681</v>
      </c>
      <c r="C476" s="700">
        <v>130</v>
      </c>
      <c r="D476" s="701">
        <v>65.97</v>
      </c>
      <c r="E476" s="701"/>
      <c r="F476" s="701"/>
      <c r="G476" s="705">
        <v>1681</v>
      </c>
      <c r="H476" s="705" t="str">
        <f t="shared" si="16"/>
        <v>1681</v>
      </c>
      <c r="I476" s="705">
        <v>130</v>
      </c>
      <c r="J476" s="701">
        <v>65.62</v>
      </c>
    </row>
    <row r="477" spans="1:10" ht="12.75" x14ac:dyDescent="0.2">
      <c r="A477" s="700">
        <v>1681</v>
      </c>
      <c r="B477" s="700" t="str">
        <f t="shared" si="15"/>
        <v>1681</v>
      </c>
      <c r="C477" s="700">
        <v>254</v>
      </c>
      <c r="D477" s="701">
        <v>5.5</v>
      </c>
      <c r="E477" s="701"/>
      <c r="F477" s="701"/>
      <c r="G477" s="705">
        <v>1681</v>
      </c>
      <c r="H477" s="705" t="str">
        <f t="shared" si="16"/>
        <v>1681</v>
      </c>
      <c r="I477" s="705">
        <v>254</v>
      </c>
      <c r="J477" s="701">
        <v>6.01</v>
      </c>
    </row>
    <row r="478" spans="1:10" ht="12.75" x14ac:dyDescent="0.2">
      <c r="A478" s="700">
        <v>1681</v>
      </c>
      <c r="B478" s="700" t="str">
        <f t="shared" si="15"/>
        <v>1681</v>
      </c>
      <c r="C478" s="700">
        <v>255</v>
      </c>
      <c r="D478" s="701">
        <v>0.99</v>
      </c>
      <c r="E478" s="701"/>
      <c r="F478" s="701"/>
      <c r="G478" s="705">
        <v>1681</v>
      </c>
      <c r="H478" s="705" t="str">
        <f t="shared" si="16"/>
        <v>1681</v>
      </c>
      <c r="I478" s="705">
        <v>255</v>
      </c>
      <c r="J478" s="701">
        <v>1.01</v>
      </c>
    </row>
    <row r="479" spans="1:10" ht="12.75" x14ac:dyDescent="0.2">
      <c r="A479" s="700">
        <v>1681</v>
      </c>
      <c r="B479" s="700" t="str">
        <f t="shared" si="15"/>
        <v>1681</v>
      </c>
      <c r="C479" s="700">
        <v>300</v>
      </c>
      <c r="D479" s="701">
        <v>74.05</v>
      </c>
      <c r="E479" s="701"/>
      <c r="F479" s="701"/>
      <c r="G479" s="705">
        <v>1681</v>
      </c>
      <c r="H479" s="705" t="str">
        <f t="shared" si="16"/>
        <v>1681</v>
      </c>
      <c r="I479" s="705">
        <v>300</v>
      </c>
      <c r="J479" s="701">
        <v>72.78</v>
      </c>
    </row>
    <row r="480" spans="1:10" ht="12.75" x14ac:dyDescent="0.2">
      <c r="A480" s="700">
        <v>1691</v>
      </c>
      <c r="B480" s="700" t="str">
        <f t="shared" si="15"/>
        <v>1691</v>
      </c>
      <c r="C480" s="700">
        <v>102</v>
      </c>
      <c r="D480" s="701">
        <v>246.82</v>
      </c>
      <c r="E480" s="701"/>
      <c r="F480" s="701"/>
      <c r="G480" s="705">
        <v>1691</v>
      </c>
      <c r="H480" s="705" t="str">
        <f t="shared" si="16"/>
        <v>1691</v>
      </c>
      <c r="I480" s="705">
        <v>102</v>
      </c>
      <c r="J480" s="701">
        <v>250.04</v>
      </c>
    </row>
    <row r="481" spans="1:10" ht="12.75" x14ac:dyDescent="0.2">
      <c r="A481" s="700">
        <v>1691</v>
      </c>
      <c r="B481" s="700" t="str">
        <f t="shared" si="15"/>
        <v>1691</v>
      </c>
      <c r="C481" s="700">
        <v>112</v>
      </c>
      <c r="D481" s="701">
        <v>85.1</v>
      </c>
      <c r="E481" s="701"/>
      <c r="F481" s="701"/>
      <c r="G481" s="705">
        <v>1691</v>
      </c>
      <c r="H481" s="705" t="str">
        <f t="shared" si="16"/>
        <v>1691</v>
      </c>
      <c r="I481" s="705">
        <v>112</v>
      </c>
      <c r="J481" s="701">
        <v>84.4</v>
      </c>
    </row>
    <row r="482" spans="1:10" ht="12.75" x14ac:dyDescent="0.2">
      <c r="A482" s="700">
        <v>1691</v>
      </c>
      <c r="B482" s="700" t="str">
        <f t="shared" si="15"/>
        <v>1691</v>
      </c>
      <c r="C482" s="700">
        <v>130</v>
      </c>
      <c r="D482" s="701">
        <v>16.47</v>
      </c>
      <c r="E482" s="701"/>
      <c r="F482" s="701"/>
      <c r="G482" s="705">
        <v>1691</v>
      </c>
      <c r="H482" s="705" t="str">
        <f t="shared" si="16"/>
        <v>1691</v>
      </c>
      <c r="I482" s="705">
        <v>130</v>
      </c>
      <c r="J482" s="701">
        <v>16.440000000000001</v>
      </c>
    </row>
    <row r="483" spans="1:10" ht="12.75" x14ac:dyDescent="0.2">
      <c r="A483" s="700">
        <v>1701</v>
      </c>
      <c r="B483" s="700" t="str">
        <f t="shared" si="15"/>
        <v>1701</v>
      </c>
      <c r="C483" s="700">
        <v>102</v>
      </c>
      <c r="D483" s="701">
        <v>423.23</v>
      </c>
      <c r="E483" s="701"/>
      <c r="F483" s="701"/>
      <c r="G483" s="705">
        <v>1701</v>
      </c>
      <c r="H483" s="705" t="str">
        <f t="shared" si="16"/>
        <v>1701</v>
      </c>
      <c r="I483" s="705">
        <v>102</v>
      </c>
      <c r="J483" s="701">
        <v>416.37</v>
      </c>
    </row>
    <row r="484" spans="1:10" ht="12.75" x14ac:dyDescent="0.2">
      <c r="A484" s="700">
        <v>1701</v>
      </c>
      <c r="B484" s="700" t="str">
        <f t="shared" si="15"/>
        <v>1701</v>
      </c>
      <c r="C484" s="700">
        <v>112</v>
      </c>
      <c r="D484" s="701">
        <v>152.58000000000001</v>
      </c>
      <c r="E484" s="701"/>
      <c r="F484" s="701"/>
      <c r="G484" s="705">
        <v>1701</v>
      </c>
      <c r="H484" s="705" t="str">
        <f t="shared" si="16"/>
        <v>1701</v>
      </c>
      <c r="I484" s="705">
        <v>112</v>
      </c>
      <c r="J484" s="701">
        <v>158.01</v>
      </c>
    </row>
    <row r="485" spans="1:10" ht="12.75" x14ac:dyDescent="0.2">
      <c r="A485" s="700">
        <v>1701</v>
      </c>
      <c r="B485" s="700" t="str">
        <f t="shared" si="15"/>
        <v>1701</v>
      </c>
      <c r="C485" s="700">
        <v>130</v>
      </c>
      <c r="D485" s="701">
        <v>16.059999999999999</v>
      </c>
      <c r="E485" s="701"/>
      <c r="F485" s="701"/>
      <c r="G485" s="705">
        <v>1701</v>
      </c>
      <c r="H485" s="705" t="str">
        <f t="shared" si="16"/>
        <v>1701</v>
      </c>
      <c r="I485" s="705">
        <v>130</v>
      </c>
      <c r="J485" s="701">
        <v>15.07</v>
      </c>
    </row>
    <row r="486" spans="1:10" ht="12.75" x14ac:dyDescent="0.2">
      <c r="A486" s="700">
        <v>1701</v>
      </c>
      <c r="B486" s="700" t="str">
        <f t="shared" si="15"/>
        <v>1701</v>
      </c>
      <c r="C486" s="700">
        <v>254</v>
      </c>
      <c r="D486" s="701">
        <v>1</v>
      </c>
      <c r="E486" s="701"/>
      <c r="F486" s="701"/>
      <c r="G486" s="705">
        <v>1701</v>
      </c>
      <c r="H486" s="705" t="str">
        <f t="shared" si="16"/>
        <v>1701</v>
      </c>
      <c r="I486" s="705">
        <v>254</v>
      </c>
      <c r="J486" s="701">
        <v>1</v>
      </c>
    </row>
    <row r="487" spans="1:10" ht="12.75" x14ac:dyDescent="0.2">
      <c r="A487" s="700">
        <v>1711</v>
      </c>
      <c r="B487" s="700" t="str">
        <f t="shared" si="15"/>
        <v>1711</v>
      </c>
      <c r="C487" s="700">
        <v>101</v>
      </c>
      <c r="D487" s="701">
        <v>104.73</v>
      </c>
      <c r="E487" s="701"/>
      <c r="F487" s="701"/>
      <c r="G487" s="705">
        <v>1711</v>
      </c>
      <c r="H487" s="705" t="str">
        <f t="shared" si="16"/>
        <v>1711</v>
      </c>
      <c r="I487" s="705">
        <v>101</v>
      </c>
      <c r="J487" s="701">
        <v>103.22</v>
      </c>
    </row>
    <row r="488" spans="1:10" ht="12.75" x14ac:dyDescent="0.2">
      <c r="A488" s="700">
        <v>1711</v>
      </c>
      <c r="B488" s="700" t="str">
        <f t="shared" si="15"/>
        <v>1711</v>
      </c>
      <c r="C488" s="700">
        <v>102</v>
      </c>
      <c r="D488" s="701">
        <v>59.6</v>
      </c>
      <c r="E488" s="701"/>
      <c r="F488" s="701"/>
      <c r="G488" s="705">
        <v>1711</v>
      </c>
      <c r="H488" s="705" t="str">
        <f t="shared" si="16"/>
        <v>1711</v>
      </c>
      <c r="I488" s="705">
        <v>102</v>
      </c>
      <c r="J488" s="701">
        <v>61.75</v>
      </c>
    </row>
    <row r="489" spans="1:10" ht="12.75" x14ac:dyDescent="0.2">
      <c r="A489" s="700">
        <v>1711</v>
      </c>
      <c r="B489" s="700" t="str">
        <f t="shared" si="15"/>
        <v>1711</v>
      </c>
      <c r="C489" s="700">
        <v>111</v>
      </c>
      <c r="D489" s="701">
        <v>71.02</v>
      </c>
      <c r="E489" s="701"/>
      <c r="F489" s="701"/>
      <c r="G489" s="705">
        <v>1711</v>
      </c>
      <c r="H489" s="705" t="str">
        <f t="shared" si="16"/>
        <v>1711</v>
      </c>
      <c r="I489" s="705">
        <v>111</v>
      </c>
      <c r="J489" s="701">
        <v>79.44</v>
      </c>
    </row>
    <row r="490" spans="1:10" ht="12.75" x14ac:dyDescent="0.2">
      <c r="A490" s="700">
        <v>1711</v>
      </c>
      <c r="B490" s="700" t="str">
        <f t="shared" si="15"/>
        <v>1711</v>
      </c>
      <c r="C490" s="700">
        <v>112</v>
      </c>
      <c r="D490" s="701">
        <v>31.5</v>
      </c>
      <c r="E490" s="701"/>
      <c r="F490" s="701"/>
      <c r="G490" s="705">
        <v>1711</v>
      </c>
      <c r="H490" s="705" t="str">
        <f t="shared" si="16"/>
        <v>1711</v>
      </c>
      <c r="I490" s="705">
        <v>112</v>
      </c>
      <c r="J490" s="701">
        <v>31</v>
      </c>
    </row>
    <row r="491" spans="1:10" ht="12.75" x14ac:dyDescent="0.2">
      <c r="A491" s="700">
        <v>1711</v>
      </c>
      <c r="B491" s="700" t="str">
        <f t="shared" si="15"/>
        <v>1711</v>
      </c>
      <c r="C491" s="700">
        <v>130</v>
      </c>
      <c r="D491" s="701">
        <v>46.97</v>
      </c>
      <c r="E491" s="701"/>
      <c r="F491" s="701"/>
      <c r="G491" s="705">
        <v>1711</v>
      </c>
      <c r="H491" s="705" t="str">
        <f t="shared" si="16"/>
        <v>1711</v>
      </c>
      <c r="I491" s="705">
        <v>130</v>
      </c>
      <c r="J491" s="701">
        <v>45.9</v>
      </c>
    </row>
    <row r="492" spans="1:10" ht="12.75" x14ac:dyDescent="0.2">
      <c r="A492" s="700">
        <v>1711</v>
      </c>
      <c r="B492" s="700" t="str">
        <f t="shared" si="15"/>
        <v>1711</v>
      </c>
      <c r="C492" s="700">
        <v>254</v>
      </c>
      <c r="D492" s="701">
        <v>6</v>
      </c>
      <c r="E492" s="701"/>
      <c r="F492" s="701"/>
      <c r="G492" s="705">
        <v>1711</v>
      </c>
      <c r="H492" s="705" t="str">
        <f t="shared" si="16"/>
        <v>1711</v>
      </c>
      <c r="I492" s="705">
        <v>254</v>
      </c>
      <c r="J492" s="701">
        <v>4.5</v>
      </c>
    </row>
    <row r="493" spans="1:10" ht="12.75" x14ac:dyDescent="0.2">
      <c r="A493" s="700">
        <v>1711</v>
      </c>
      <c r="B493" s="700" t="str">
        <f t="shared" si="15"/>
        <v>1711</v>
      </c>
      <c r="C493" s="700">
        <v>255</v>
      </c>
      <c r="D493" s="701">
        <v>0.5</v>
      </c>
      <c r="E493" s="701"/>
      <c r="F493" s="701"/>
      <c r="G493" s="705">
        <v>1711</v>
      </c>
      <c r="H493" s="705" t="str">
        <f t="shared" si="16"/>
        <v>1711</v>
      </c>
      <c r="I493" s="705">
        <v>255</v>
      </c>
      <c r="J493" s="701">
        <v>0.5</v>
      </c>
    </row>
    <row r="494" spans="1:10" ht="12.75" x14ac:dyDescent="0.2">
      <c r="A494" s="700">
        <v>1721</v>
      </c>
      <c r="B494" s="700" t="str">
        <f t="shared" si="15"/>
        <v>1721</v>
      </c>
      <c r="C494" s="700">
        <v>102</v>
      </c>
      <c r="D494" s="701">
        <v>356.86</v>
      </c>
      <c r="E494" s="701"/>
      <c r="F494" s="701"/>
      <c r="G494" s="705">
        <v>1721</v>
      </c>
      <c r="H494" s="705" t="str">
        <f t="shared" si="16"/>
        <v>1721</v>
      </c>
      <c r="I494" s="705">
        <v>102</v>
      </c>
      <c r="J494" s="701">
        <v>360.95</v>
      </c>
    </row>
    <row r="495" spans="1:10" ht="12.75" x14ac:dyDescent="0.2">
      <c r="A495" s="700">
        <v>1721</v>
      </c>
      <c r="B495" s="700" t="str">
        <f t="shared" si="15"/>
        <v>1721</v>
      </c>
      <c r="C495" s="700">
        <v>112</v>
      </c>
      <c r="D495" s="701">
        <v>104.03</v>
      </c>
      <c r="E495" s="701"/>
      <c r="F495" s="701"/>
      <c r="G495" s="705">
        <v>1721</v>
      </c>
      <c r="H495" s="705" t="str">
        <f t="shared" si="16"/>
        <v>1721</v>
      </c>
      <c r="I495" s="705">
        <v>112</v>
      </c>
      <c r="J495" s="701">
        <v>98.87</v>
      </c>
    </row>
    <row r="496" spans="1:10" ht="12.75" x14ac:dyDescent="0.2">
      <c r="A496" s="700">
        <v>1721</v>
      </c>
      <c r="B496" s="700" t="str">
        <f t="shared" si="15"/>
        <v>1721</v>
      </c>
      <c r="C496" s="700">
        <v>130</v>
      </c>
      <c r="D496" s="701">
        <v>5.91</v>
      </c>
      <c r="E496" s="701"/>
      <c r="F496" s="701"/>
      <c r="G496" s="705">
        <v>1721</v>
      </c>
      <c r="H496" s="705" t="str">
        <f t="shared" si="16"/>
        <v>1721</v>
      </c>
      <c r="I496" s="705">
        <v>130</v>
      </c>
      <c r="J496" s="701">
        <v>5.87</v>
      </c>
    </row>
    <row r="497" spans="1:10" ht="12.75" x14ac:dyDescent="0.2">
      <c r="A497" s="700">
        <v>1721</v>
      </c>
      <c r="B497" s="700" t="str">
        <f t="shared" si="15"/>
        <v>1721</v>
      </c>
      <c r="C497" s="700">
        <v>254</v>
      </c>
      <c r="D497" s="701">
        <v>2.5</v>
      </c>
      <c r="E497" s="701"/>
      <c r="F497" s="701"/>
      <c r="G497" s="705">
        <v>1721</v>
      </c>
      <c r="H497" s="705" t="str">
        <f t="shared" si="16"/>
        <v>1721</v>
      </c>
      <c r="I497" s="705">
        <v>254</v>
      </c>
      <c r="J497" s="701">
        <v>2</v>
      </c>
    </row>
    <row r="498" spans="1:10" ht="12.75" x14ac:dyDescent="0.2">
      <c r="A498" s="700">
        <v>1721</v>
      </c>
      <c r="B498" s="700" t="str">
        <f t="shared" si="15"/>
        <v>1721</v>
      </c>
      <c r="C498" s="700">
        <v>255</v>
      </c>
      <c r="D498" s="701">
        <v>0</v>
      </c>
      <c r="E498" s="701"/>
      <c r="F498" s="701"/>
      <c r="G498" s="705">
        <v>1721</v>
      </c>
      <c r="H498" s="705" t="str">
        <f t="shared" si="16"/>
        <v>1721</v>
      </c>
      <c r="I498" s="705">
        <v>255</v>
      </c>
      <c r="J498" s="701">
        <v>0.5</v>
      </c>
    </row>
    <row r="499" spans="1:10" ht="12.75" x14ac:dyDescent="0.2">
      <c r="A499" s="700">
        <v>1731</v>
      </c>
      <c r="B499" s="700" t="str">
        <f t="shared" si="15"/>
        <v>1731</v>
      </c>
      <c r="C499" s="700">
        <v>102</v>
      </c>
      <c r="D499" s="701">
        <v>380.51</v>
      </c>
      <c r="E499" s="701"/>
      <c r="F499" s="701"/>
      <c r="G499" s="705">
        <v>1731</v>
      </c>
      <c r="H499" s="705" t="str">
        <f t="shared" si="16"/>
        <v>1731</v>
      </c>
      <c r="I499" s="705">
        <v>102</v>
      </c>
      <c r="J499" s="701">
        <v>375.52</v>
      </c>
    </row>
    <row r="500" spans="1:10" ht="12.75" x14ac:dyDescent="0.2">
      <c r="A500" s="700">
        <v>1731</v>
      </c>
      <c r="B500" s="700" t="str">
        <f t="shared" si="15"/>
        <v>1731</v>
      </c>
      <c r="C500" s="700">
        <v>112</v>
      </c>
      <c r="D500" s="701">
        <v>175.33</v>
      </c>
      <c r="E500" s="701"/>
      <c r="F500" s="701"/>
      <c r="G500" s="705">
        <v>1731</v>
      </c>
      <c r="H500" s="705" t="str">
        <f t="shared" si="16"/>
        <v>1731</v>
      </c>
      <c r="I500" s="705">
        <v>112</v>
      </c>
      <c r="J500" s="701">
        <v>173.33</v>
      </c>
    </row>
    <row r="501" spans="1:10" ht="12.75" x14ac:dyDescent="0.2">
      <c r="A501" s="700">
        <v>1731</v>
      </c>
      <c r="B501" s="700" t="str">
        <f t="shared" si="15"/>
        <v>1731</v>
      </c>
      <c r="C501" s="700">
        <v>130</v>
      </c>
      <c r="D501" s="701">
        <v>23.77</v>
      </c>
      <c r="E501" s="701"/>
      <c r="F501" s="701"/>
      <c r="G501" s="705">
        <v>1731</v>
      </c>
      <c r="H501" s="705" t="str">
        <f t="shared" si="16"/>
        <v>1731</v>
      </c>
      <c r="I501" s="705">
        <v>130</v>
      </c>
      <c r="J501" s="701">
        <v>22.45</v>
      </c>
    </row>
    <row r="502" spans="1:10" ht="12.75" x14ac:dyDescent="0.2">
      <c r="A502" s="700">
        <v>1731</v>
      </c>
      <c r="B502" s="700" t="str">
        <f t="shared" si="15"/>
        <v>1731</v>
      </c>
      <c r="C502" s="700">
        <v>254</v>
      </c>
      <c r="D502" s="701">
        <v>2</v>
      </c>
      <c r="E502" s="701"/>
      <c r="F502" s="701"/>
      <c r="G502" s="705">
        <v>1731</v>
      </c>
      <c r="H502" s="705" t="str">
        <f t="shared" si="16"/>
        <v>1731</v>
      </c>
      <c r="I502" s="705">
        <v>254</v>
      </c>
      <c r="J502" s="701">
        <v>2.5</v>
      </c>
    </row>
    <row r="503" spans="1:10" ht="12.75" x14ac:dyDescent="0.2">
      <c r="A503" s="700">
        <v>1731</v>
      </c>
      <c r="B503" s="700" t="str">
        <f t="shared" si="15"/>
        <v>1731</v>
      </c>
      <c r="C503" s="700">
        <v>255</v>
      </c>
      <c r="D503" s="701">
        <v>0.5</v>
      </c>
      <c r="E503" s="701"/>
      <c r="F503" s="701"/>
      <c r="G503" s="705">
        <v>1731</v>
      </c>
      <c r="H503" s="705" t="str">
        <f t="shared" si="16"/>
        <v>1731</v>
      </c>
      <c r="I503" s="705">
        <v>255</v>
      </c>
      <c r="J503" s="701">
        <v>0.5</v>
      </c>
    </row>
    <row r="504" spans="1:10" ht="12.75" x14ac:dyDescent="0.2">
      <c r="A504" s="700">
        <v>1741</v>
      </c>
      <c r="B504" s="700" t="str">
        <f t="shared" si="15"/>
        <v>1741</v>
      </c>
      <c r="C504" s="700">
        <v>101</v>
      </c>
      <c r="D504" s="701">
        <v>82.98</v>
      </c>
      <c r="E504" s="701"/>
      <c r="F504" s="701"/>
      <c r="G504" s="705">
        <v>1741</v>
      </c>
      <c r="H504" s="705" t="str">
        <f t="shared" si="16"/>
        <v>1741</v>
      </c>
      <c r="I504" s="705">
        <v>101</v>
      </c>
      <c r="J504" s="701">
        <v>76.77</v>
      </c>
    </row>
    <row r="505" spans="1:10" ht="12.75" x14ac:dyDescent="0.2">
      <c r="A505" s="700">
        <v>1741</v>
      </c>
      <c r="B505" s="700" t="str">
        <f t="shared" si="15"/>
        <v>1741</v>
      </c>
      <c r="C505" s="700">
        <v>102</v>
      </c>
      <c r="D505" s="701">
        <v>57.47</v>
      </c>
      <c r="E505" s="701"/>
      <c r="F505" s="701"/>
      <c r="G505" s="705">
        <v>1741</v>
      </c>
      <c r="H505" s="705" t="str">
        <f t="shared" si="16"/>
        <v>1741</v>
      </c>
      <c r="I505" s="705">
        <v>102</v>
      </c>
      <c r="J505" s="701">
        <v>57.67</v>
      </c>
    </row>
    <row r="506" spans="1:10" ht="12.75" x14ac:dyDescent="0.2">
      <c r="A506" s="700">
        <v>1741</v>
      </c>
      <c r="B506" s="700" t="str">
        <f t="shared" si="15"/>
        <v>1741</v>
      </c>
      <c r="C506" s="700">
        <v>111</v>
      </c>
      <c r="D506" s="701">
        <v>72.930000000000007</v>
      </c>
      <c r="E506" s="701"/>
      <c r="F506" s="701"/>
      <c r="G506" s="705">
        <v>1741</v>
      </c>
      <c r="H506" s="705" t="str">
        <f t="shared" si="16"/>
        <v>1741</v>
      </c>
      <c r="I506" s="705">
        <v>111</v>
      </c>
      <c r="J506" s="701">
        <v>76.239999999999995</v>
      </c>
    </row>
    <row r="507" spans="1:10" ht="12.75" x14ac:dyDescent="0.2">
      <c r="A507" s="700">
        <v>1741</v>
      </c>
      <c r="B507" s="700" t="str">
        <f t="shared" si="15"/>
        <v>1741</v>
      </c>
      <c r="C507" s="700">
        <v>112</v>
      </c>
      <c r="D507" s="701">
        <v>62.5</v>
      </c>
      <c r="E507" s="701"/>
      <c r="F507" s="701"/>
      <c r="G507" s="705">
        <v>1741</v>
      </c>
      <c r="H507" s="705" t="str">
        <f t="shared" si="16"/>
        <v>1741</v>
      </c>
      <c r="I507" s="705">
        <v>112</v>
      </c>
      <c r="J507" s="701">
        <v>64.510000000000005</v>
      </c>
    </row>
    <row r="508" spans="1:10" ht="12.75" x14ac:dyDescent="0.2">
      <c r="A508" s="700">
        <v>1741</v>
      </c>
      <c r="B508" s="700" t="str">
        <f t="shared" si="15"/>
        <v>1741</v>
      </c>
      <c r="C508" s="700">
        <v>130</v>
      </c>
      <c r="D508" s="701">
        <v>50.96</v>
      </c>
      <c r="E508" s="701"/>
      <c r="F508" s="701"/>
      <c r="G508" s="705">
        <v>1741</v>
      </c>
      <c r="H508" s="705" t="str">
        <f t="shared" si="16"/>
        <v>1741</v>
      </c>
      <c r="I508" s="705">
        <v>130</v>
      </c>
      <c r="J508" s="701">
        <v>52.99</v>
      </c>
    </row>
    <row r="509" spans="1:10" ht="12.75" x14ac:dyDescent="0.2">
      <c r="A509" s="700">
        <v>1741</v>
      </c>
      <c r="B509" s="700" t="str">
        <f t="shared" si="15"/>
        <v>1741</v>
      </c>
      <c r="C509" s="700">
        <v>254</v>
      </c>
      <c r="D509" s="701">
        <v>0.5</v>
      </c>
      <c r="E509" s="701"/>
      <c r="F509" s="701"/>
      <c r="G509" s="705">
        <v>1741</v>
      </c>
      <c r="H509" s="705" t="str">
        <f t="shared" si="16"/>
        <v>1741</v>
      </c>
      <c r="I509" s="705">
        <v>254</v>
      </c>
      <c r="J509" s="701">
        <v>1</v>
      </c>
    </row>
    <row r="510" spans="1:10" ht="12.75" x14ac:dyDescent="0.2">
      <c r="A510" s="700">
        <v>1751</v>
      </c>
      <c r="B510" s="700" t="str">
        <f t="shared" si="15"/>
        <v>1751</v>
      </c>
      <c r="C510" s="700">
        <v>102</v>
      </c>
      <c r="D510" s="701">
        <v>373.32</v>
      </c>
      <c r="E510" s="701"/>
      <c r="F510" s="701"/>
      <c r="G510" s="705">
        <v>1751</v>
      </c>
      <c r="H510" s="705" t="str">
        <f t="shared" si="16"/>
        <v>1751</v>
      </c>
      <c r="I510" s="705">
        <v>102</v>
      </c>
      <c r="J510" s="701">
        <v>385.16</v>
      </c>
    </row>
    <row r="511" spans="1:10" ht="12.75" x14ac:dyDescent="0.2">
      <c r="A511" s="700">
        <v>1751</v>
      </c>
      <c r="B511" s="700" t="str">
        <f t="shared" si="15"/>
        <v>1751</v>
      </c>
      <c r="C511" s="700">
        <v>112</v>
      </c>
      <c r="D511" s="701">
        <v>144.65</v>
      </c>
      <c r="E511" s="701"/>
      <c r="F511" s="701"/>
      <c r="G511" s="705">
        <v>1751</v>
      </c>
      <c r="H511" s="705" t="str">
        <f t="shared" si="16"/>
        <v>1751</v>
      </c>
      <c r="I511" s="705">
        <v>112</v>
      </c>
      <c r="J511" s="701">
        <v>131.12</v>
      </c>
    </row>
    <row r="512" spans="1:10" ht="12.75" x14ac:dyDescent="0.2">
      <c r="A512" s="700">
        <v>1751</v>
      </c>
      <c r="B512" s="700" t="str">
        <f t="shared" si="15"/>
        <v>1751</v>
      </c>
      <c r="C512" s="700">
        <v>130</v>
      </c>
      <c r="D512" s="701">
        <v>45.46</v>
      </c>
      <c r="E512" s="701"/>
      <c r="F512" s="701"/>
      <c r="G512" s="705">
        <v>1751</v>
      </c>
      <c r="H512" s="705" t="str">
        <f t="shared" si="16"/>
        <v>1751</v>
      </c>
      <c r="I512" s="705">
        <v>130</v>
      </c>
      <c r="J512" s="701">
        <v>47.23</v>
      </c>
    </row>
    <row r="513" spans="1:10" ht="12.75" x14ac:dyDescent="0.2">
      <c r="A513" s="700">
        <v>1761</v>
      </c>
      <c r="B513" s="700" t="str">
        <f t="shared" si="15"/>
        <v>1761</v>
      </c>
      <c r="C513" s="700">
        <v>101</v>
      </c>
      <c r="D513" s="701">
        <v>196.8</v>
      </c>
      <c r="E513" s="701"/>
      <c r="F513" s="701"/>
      <c r="G513" s="705">
        <v>1761</v>
      </c>
      <c r="H513" s="705" t="str">
        <f t="shared" si="16"/>
        <v>1761</v>
      </c>
      <c r="I513" s="705">
        <v>101</v>
      </c>
      <c r="J513" s="701">
        <v>196.72</v>
      </c>
    </row>
    <row r="514" spans="1:10" ht="12.75" x14ac:dyDescent="0.2">
      <c r="A514" s="700">
        <v>1761</v>
      </c>
      <c r="B514" s="700" t="str">
        <f t="shared" ref="B514:B577" si="17">TEXT(A514,"0000")</f>
        <v>1761</v>
      </c>
      <c r="C514" s="700">
        <v>102</v>
      </c>
      <c r="D514" s="701">
        <v>87.44</v>
      </c>
      <c r="E514" s="701"/>
      <c r="F514" s="701"/>
      <c r="G514" s="705">
        <v>1761</v>
      </c>
      <c r="H514" s="705" t="str">
        <f t="shared" si="16"/>
        <v>1761</v>
      </c>
      <c r="I514" s="705">
        <v>102</v>
      </c>
      <c r="J514" s="701">
        <v>88.92</v>
      </c>
    </row>
    <row r="515" spans="1:10" ht="12.75" x14ac:dyDescent="0.2">
      <c r="A515" s="700">
        <v>1761</v>
      </c>
      <c r="B515" s="700" t="str">
        <f t="shared" si="17"/>
        <v>1761</v>
      </c>
      <c r="C515" s="700">
        <v>111</v>
      </c>
      <c r="D515" s="701">
        <v>52.98</v>
      </c>
      <c r="E515" s="701"/>
      <c r="F515" s="701"/>
      <c r="G515" s="705">
        <v>1761</v>
      </c>
      <c r="H515" s="705" t="str">
        <f t="shared" ref="H515:H578" si="18">TEXT(G515,"0000")</f>
        <v>1761</v>
      </c>
      <c r="I515" s="705">
        <v>111</v>
      </c>
      <c r="J515" s="701">
        <v>58.08</v>
      </c>
    </row>
    <row r="516" spans="1:10" ht="12.75" x14ac:dyDescent="0.2">
      <c r="A516" s="700">
        <v>1761</v>
      </c>
      <c r="B516" s="700" t="str">
        <f t="shared" si="17"/>
        <v>1761</v>
      </c>
      <c r="C516" s="700">
        <v>112</v>
      </c>
      <c r="D516" s="701">
        <v>43.92</v>
      </c>
      <c r="E516" s="701"/>
      <c r="F516" s="701"/>
      <c r="G516" s="705">
        <v>1761</v>
      </c>
      <c r="H516" s="705" t="str">
        <f t="shared" si="18"/>
        <v>1761</v>
      </c>
      <c r="I516" s="705">
        <v>112</v>
      </c>
      <c r="J516" s="701">
        <v>44.43</v>
      </c>
    </row>
    <row r="517" spans="1:10" ht="12.75" x14ac:dyDescent="0.2">
      <c r="A517" s="700">
        <v>1761</v>
      </c>
      <c r="B517" s="700" t="str">
        <f t="shared" si="17"/>
        <v>1761</v>
      </c>
      <c r="C517" s="700">
        <v>130</v>
      </c>
      <c r="D517" s="701">
        <v>24.57</v>
      </c>
      <c r="E517" s="701"/>
      <c r="F517" s="701"/>
      <c r="G517" s="705">
        <v>1761</v>
      </c>
      <c r="H517" s="705" t="str">
        <f t="shared" si="18"/>
        <v>1761</v>
      </c>
      <c r="I517" s="705">
        <v>130</v>
      </c>
      <c r="J517" s="701">
        <v>26.18</v>
      </c>
    </row>
    <row r="518" spans="1:10" ht="12.75" x14ac:dyDescent="0.2">
      <c r="A518" s="700">
        <v>1761</v>
      </c>
      <c r="B518" s="700" t="str">
        <f t="shared" si="17"/>
        <v>1761</v>
      </c>
      <c r="C518" s="700">
        <v>254</v>
      </c>
      <c r="D518" s="701">
        <v>2</v>
      </c>
      <c r="E518" s="701"/>
      <c r="F518" s="701"/>
      <c r="G518" s="705">
        <v>1761</v>
      </c>
      <c r="H518" s="705" t="str">
        <f t="shared" si="18"/>
        <v>1761</v>
      </c>
      <c r="I518" s="705">
        <v>254</v>
      </c>
      <c r="J518" s="701">
        <v>2.5</v>
      </c>
    </row>
    <row r="519" spans="1:10" ht="12.75" x14ac:dyDescent="0.2">
      <c r="A519" s="700">
        <v>1761</v>
      </c>
      <c r="B519" s="700" t="str">
        <f t="shared" si="17"/>
        <v>1761</v>
      </c>
      <c r="C519" s="700">
        <v>255</v>
      </c>
      <c r="D519" s="701">
        <v>0.5</v>
      </c>
      <c r="E519" s="701"/>
      <c r="F519" s="701"/>
      <c r="G519" s="705">
        <v>1761</v>
      </c>
      <c r="H519" s="705" t="str">
        <f t="shared" si="18"/>
        <v>1761</v>
      </c>
      <c r="I519" s="705">
        <v>255</v>
      </c>
      <c r="J519" s="701">
        <v>0.5</v>
      </c>
    </row>
    <row r="520" spans="1:10" ht="12.75" x14ac:dyDescent="0.2">
      <c r="A520" s="700">
        <v>1771</v>
      </c>
      <c r="B520" s="700" t="str">
        <f t="shared" si="17"/>
        <v>1771</v>
      </c>
      <c r="C520" s="700">
        <v>102</v>
      </c>
      <c r="D520" s="701">
        <v>131.46</v>
      </c>
      <c r="E520" s="701"/>
      <c r="F520" s="701"/>
      <c r="G520" s="705">
        <v>1771</v>
      </c>
      <c r="H520" s="705" t="str">
        <f t="shared" si="18"/>
        <v>1771</v>
      </c>
      <c r="I520" s="705">
        <v>102</v>
      </c>
      <c r="J520" s="701">
        <v>131.63</v>
      </c>
    </row>
    <row r="521" spans="1:10" ht="12.75" x14ac:dyDescent="0.2">
      <c r="A521" s="700">
        <v>1771</v>
      </c>
      <c r="B521" s="700" t="str">
        <f t="shared" si="17"/>
        <v>1771</v>
      </c>
      <c r="C521" s="700">
        <v>103</v>
      </c>
      <c r="D521" s="701">
        <v>180.3</v>
      </c>
      <c r="E521" s="701"/>
      <c r="F521" s="701"/>
      <c r="G521" s="705">
        <v>1771</v>
      </c>
      <c r="H521" s="705" t="str">
        <f t="shared" si="18"/>
        <v>1771</v>
      </c>
      <c r="I521" s="705">
        <v>103</v>
      </c>
      <c r="J521" s="701">
        <v>177.24</v>
      </c>
    </row>
    <row r="522" spans="1:10" ht="12.75" x14ac:dyDescent="0.2">
      <c r="A522" s="700">
        <v>1771</v>
      </c>
      <c r="B522" s="700" t="str">
        <f t="shared" si="17"/>
        <v>1771</v>
      </c>
      <c r="C522" s="700">
        <v>112</v>
      </c>
      <c r="D522" s="701">
        <v>32.56</v>
      </c>
      <c r="E522" s="701"/>
      <c r="F522" s="701"/>
      <c r="G522" s="705">
        <v>1771</v>
      </c>
      <c r="H522" s="705" t="str">
        <f t="shared" si="18"/>
        <v>1771</v>
      </c>
      <c r="I522" s="705">
        <v>112</v>
      </c>
      <c r="J522" s="701">
        <v>32.590000000000003</v>
      </c>
    </row>
    <row r="523" spans="1:10" ht="12.75" x14ac:dyDescent="0.2">
      <c r="A523" s="700">
        <v>1771</v>
      </c>
      <c r="B523" s="700" t="str">
        <f t="shared" si="17"/>
        <v>1771</v>
      </c>
      <c r="C523" s="700">
        <v>113</v>
      </c>
      <c r="D523" s="701">
        <v>44.42</v>
      </c>
      <c r="E523" s="701"/>
      <c r="F523" s="701"/>
      <c r="G523" s="705">
        <v>1771</v>
      </c>
      <c r="H523" s="705" t="str">
        <f t="shared" si="18"/>
        <v>1771</v>
      </c>
      <c r="I523" s="705">
        <v>113</v>
      </c>
      <c r="J523" s="701">
        <v>43.51</v>
      </c>
    </row>
    <row r="524" spans="1:10" ht="12.75" x14ac:dyDescent="0.2">
      <c r="A524" s="700">
        <v>1771</v>
      </c>
      <c r="B524" s="700" t="str">
        <f t="shared" si="17"/>
        <v>1771</v>
      </c>
      <c r="C524" s="700">
        <v>130</v>
      </c>
      <c r="D524" s="701">
        <v>10.130000000000001</v>
      </c>
      <c r="E524" s="701"/>
      <c r="F524" s="701"/>
      <c r="G524" s="705">
        <v>1771</v>
      </c>
      <c r="H524" s="705" t="str">
        <f t="shared" si="18"/>
        <v>1771</v>
      </c>
      <c r="I524" s="705">
        <v>130</v>
      </c>
      <c r="J524" s="701">
        <v>11.63</v>
      </c>
    </row>
    <row r="525" spans="1:10" ht="12.75" x14ac:dyDescent="0.2">
      <c r="A525" s="700">
        <v>1771</v>
      </c>
      <c r="B525" s="700" t="str">
        <f t="shared" si="17"/>
        <v>1771</v>
      </c>
      <c r="C525" s="700">
        <v>254</v>
      </c>
      <c r="D525" s="701">
        <v>1</v>
      </c>
      <c r="E525" s="701"/>
      <c r="F525" s="701"/>
      <c r="G525" s="705">
        <v>1771</v>
      </c>
      <c r="H525" s="705" t="str">
        <f t="shared" si="18"/>
        <v>1771</v>
      </c>
      <c r="I525" s="705">
        <v>254</v>
      </c>
      <c r="J525" s="701">
        <v>1</v>
      </c>
    </row>
    <row r="526" spans="1:10" ht="12.75" x14ac:dyDescent="0.2">
      <c r="A526" s="700">
        <v>1771</v>
      </c>
      <c r="B526" s="700" t="str">
        <f t="shared" si="17"/>
        <v>1771</v>
      </c>
      <c r="C526" s="700">
        <v>255</v>
      </c>
      <c r="D526" s="701">
        <v>0.5</v>
      </c>
      <c r="E526" s="701"/>
      <c r="F526" s="701"/>
      <c r="G526" s="705">
        <v>1771</v>
      </c>
      <c r="H526" s="705" t="str">
        <f t="shared" si="18"/>
        <v>1771</v>
      </c>
      <c r="I526" s="705">
        <v>255</v>
      </c>
      <c r="J526" s="701">
        <v>0.5</v>
      </c>
    </row>
    <row r="527" spans="1:10" ht="12.75" x14ac:dyDescent="0.2">
      <c r="A527" s="700">
        <v>1771</v>
      </c>
      <c r="B527" s="700" t="str">
        <f t="shared" si="17"/>
        <v>1771</v>
      </c>
      <c r="C527" s="700">
        <v>300</v>
      </c>
      <c r="D527" s="701">
        <v>10.76</v>
      </c>
      <c r="E527" s="701"/>
      <c r="F527" s="701"/>
      <c r="G527" s="705">
        <v>1771</v>
      </c>
      <c r="H527" s="705" t="str">
        <f t="shared" si="18"/>
        <v>1771</v>
      </c>
      <c r="I527" s="705">
        <v>300</v>
      </c>
      <c r="J527" s="701">
        <v>9.92</v>
      </c>
    </row>
    <row r="528" spans="1:10" ht="12.75" x14ac:dyDescent="0.2">
      <c r="A528" s="700">
        <v>1781</v>
      </c>
      <c r="B528" s="700" t="str">
        <f t="shared" si="17"/>
        <v>1781</v>
      </c>
      <c r="C528" s="700">
        <v>101</v>
      </c>
      <c r="D528" s="701">
        <v>138.77000000000001</v>
      </c>
      <c r="E528" s="701"/>
      <c r="F528" s="701"/>
      <c r="G528" s="705">
        <v>1781</v>
      </c>
      <c r="H528" s="705" t="str">
        <f t="shared" si="18"/>
        <v>1781</v>
      </c>
      <c r="I528" s="705">
        <v>101</v>
      </c>
      <c r="J528" s="701">
        <v>127.05</v>
      </c>
    </row>
    <row r="529" spans="1:10" ht="12.75" x14ac:dyDescent="0.2">
      <c r="A529" s="700">
        <v>1781</v>
      </c>
      <c r="B529" s="700" t="str">
        <f t="shared" si="17"/>
        <v>1781</v>
      </c>
      <c r="C529" s="700">
        <v>102</v>
      </c>
      <c r="D529" s="701">
        <v>95.06</v>
      </c>
      <c r="E529" s="701"/>
      <c r="F529" s="701"/>
      <c r="G529" s="705">
        <v>1781</v>
      </c>
      <c r="H529" s="705" t="str">
        <f t="shared" si="18"/>
        <v>1781</v>
      </c>
      <c r="I529" s="705">
        <v>102</v>
      </c>
      <c r="J529" s="701">
        <v>90.46</v>
      </c>
    </row>
    <row r="530" spans="1:10" ht="12.75" x14ac:dyDescent="0.2">
      <c r="A530" s="700">
        <v>1781</v>
      </c>
      <c r="B530" s="700" t="str">
        <f t="shared" si="17"/>
        <v>1781</v>
      </c>
      <c r="C530" s="700">
        <v>111</v>
      </c>
      <c r="D530" s="701">
        <v>106.5</v>
      </c>
      <c r="E530" s="701"/>
      <c r="F530" s="701"/>
      <c r="G530" s="705">
        <v>1781</v>
      </c>
      <c r="H530" s="705" t="str">
        <f t="shared" si="18"/>
        <v>1781</v>
      </c>
      <c r="I530" s="705">
        <v>111</v>
      </c>
      <c r="J530" s="701">
        <v>117.5</v>
      </c>
    </row>
    <row r="531" spans="1:10" ht="12.75" x14ac:dyDescent="0.2">
      <c r="A531" s="700">
        <v>1781</v>
      </c>
      <c r="B531" s="700" t="str">
        <f t="shared" si="17"/>
        <v>1781</v>
      </c>
      <c r="C531" s="700">
        <v>112</v>
      </c>
      <c r="D531" s="701">
        <v>75.41</v>
      </c>
      <c r="E531" s="701"/>
      <c r="F531" s="701"/>
      <c r="G531" s="705">
        <v>1781</v>
      </c>
      <c r="H531" s="705" t="str">
        <f t="shared" si="18"/>
        <v>1781</v>
      </c>
      <c r="I531" s="705">
        <v>112</v>
      </c>
      <c r="J531" s="701">
        <v>78.91</v>
      </c>
    </row>
    <row r="532" spans="1:10" ht="12.75" x14ac:dyDescent="0.2">
      <c r="A532" s="700">
        <v>1781</v>
      </c>
      <c r="B532" s="700" t="str">
        <f t="shared" si="17"/>
        <v>1781</v>
      </c>
      <c r="C532" s="700">
        <v>130</v>
      </c>
      <c r="D532" s="701">
        <v>39.68</v>
      </c>
      <c r="E532" s="701"/>
      <c r="F532" s="701"/>
      <c r="G532" s="705">
        <v>1781</v>
      </c>
      <c r="H532" s="705" t="str">
        <f t="shared" si="18"/>
        <v>1781</v>
      </c>
      <c r="I532" s="705">
        <v>130</v>
      </c>
      <c r="J532" s="701">
        <v>40.53</v>
      </c>
    </row>
    <row r="533" spans="1:10" ht="12.75" x14ac:dyDescent="0.2">
      <c r="A533" s="700">
        <v>1781</v>
      </c>
      <c r="B533" s="700" t="str">
        <f t="shared" si="17"/>
        <v>1781</v>
      </c>
      <c r="C533" s="700">
        <v>254</v>
      </c>
      <c r="D533" s="701">
        <v>2.5</v>
      </c>
      <c r="E533" s="701"/>
      <c r="F533" s="701"/>
      <c r="G533" s="705">
        <v>1781</v>
      </c>
      <c r="H533" s="705" t="str">
        <f t="shared" si="18"/>
        <v>1781</v>
      </c>
      <c r="I533" s="705">
        <v>254</v>
      </c>
      <c r="J533" s="701">
        <v>2.5</v>
      </c>
    </row>
    <row r="534" spans="1:10" ht="12.75" x14ac:dyDescent="0.2">
      <c r="A534" s="700">
        <v>1801</v>
      </c>
      <c r="B534" s="700" t="str">
        <f t="shared" si="17"/>
        <v>1801</v>
      </c>
      <c r="C534" s="700">
        <v>101</v>
      </c>
      <c r="D534" s="701">
        <v>0</v>
      </c>
      <c r="E534" s="701"/>
      <c r="F534" s="701"/>
      <c r="G534" s="705">
        <v>1801</v>
      </c>
      <c r="H534" s="705" t="str">
        <f t="shared" si="18"/>
        <v>1801</v>
      </c>
      <c r="I534" s="705">
        <v>101</v>
      </c>
      <c r="J534" s="701">
        <v>0.5</v>
      </c>
    </row>
    <row r="535" spans="1:10" ht="12.75" x14ac:dyDescent="0.2">
      <c r="A535" s="700">
        <v>1801</v>
      </c>
      <c r="B535" s="700" t="str">
        <f t="shared" si="17"/>
        <v>1801</v>
      </c>
      <c r="C535" s="700">
        <v>111</v>
      </c>
      <c r="D535" s="701">
        <v>55.73</v>
      </c>
      <c r="E535" s="701"/>
      <c r="F535" s="701"/>
      <c r="G535" s="705">
        <v>1801</v>
      </c>
      <c r="H535" s="705" t="str">
        <f t="shared" si="18"/>
        <v>1801</v>
      </c>
      <c r="I535" s="705">
        <v>111</v>
      </c>
      <c r="J535" s="701">
        <v>76.94</v>
      </c>
    </row>
    <row r="536" spans="1:10" ht="12.75" x14ac:dyDescent="0.2">
      <c r="A536" s="700">
        <v>1801</v>
      </c>
      <c r="B536" s="700" t="str">
        <f t="shared" si="17"/>
        <v>1801</v>
      </c>
      <c r="C536" s="700">
        <v>112</v>
      </c>
      <c r="D536" s="701">
        <v>0</v>
      </c>
      <c r="E536" s="701"/>
      <c r="F536" s="701"/>
      <c r="G536" s="705">
        <v>1801</v>
      </c>
      <c r="H536" s="705" t="str">
        <f t="shared" si="18"/>
        <v>1801</v>
      </c>
      <c r="I536" s="705">
        <v>112</v>
      </c>
      <c r="J536" s="701">
        <v>0.46</v>
      </c>
    </row>
    <row r="537" spans="1:10" ht="12.75" x14ac:dyDescent="0.2">
      <c r="A537" s="700">
        <v>1801</v>
      </c>
      <c r="B537" s="700" t="str">
        <f t="shared" si="17"/>
        <v>1801</v>
      </c>
      <c r="C537" s="700">
        <v>113</v>
      </c>
      <c r="D537" s="701">
        <v>3.01</v>
      </c>
      <c r="E537" s="701"/>
      <c r="F537" s="701"/>
      <c r="G537" s="705">
        <v>1801</v>
      </c>
      <c r="H537" s="705" t="str">
        <f t="shared" si="18"/>
        <v>1801</v>
      </c>
      <c r="I537" s="705">
        <v>113</v>
      </c>
      <c r="J537" s="701">
        <v>3.49</v>
      </c>
    </row>
    <row r="538" spans="1:10" ht="12.75" x14ac:dyDescent="0.2">
      <c r="A538" s="700">
        <v>1801</v>
      </c>
      <c r="B538" s="700" t="str">
        <f t="shared" si="17"/>
        <v>1801</v>
      </c>
      <c r="C538" s="700">
        <v>254</v>
      </c>
      <c r="D538" s="701">
        <v>32.17</v>
      </c>
      <c r="E538" s="701"/>
      <c r="F538" s="701"/>
      <c r="G538" s="705">
        <v>1801</v>
      </c>
      <c r="H538" s="705" t="str">
        <f t="shared" si="18"/>
        <v>1801</v>
      </c>
      <c r="I538" s="705">
        <v>254</v>
      </c>
      <c r="J538" s="701">
        <v>31.4</v>
      </c>
    </row>
    <row r="539" spans="1:10" ht="12.75" x14ac:dyDescent="0.2">
      <c r="A539" s="700">
        <v>1801</v>
      </c>
      <c r="B539" s="700" t="str">
        <f t="shared" si="17"/>
        <v>1801</v>
      </c>
      <c r="C539" s="700">
        <v>255</v>
      </c>
      <c r="D539" s="701">
        <v>26.05</v>
      </c>
      <c r="E539" s="701"/>
      <c r="F539" s="701"/>
      <c r="G539" s="705">
        <v>1801</v>
      </c>
      <c r="H539" s="705" t="str">
        <f t="shared" si="18"/>
        <v>1801</v>
      </c>
      <c r="I539" s="705">
        <v>255</v>
      </c>
      <c r="J539" s="701">
        <v>26.94</v>
      </c>
    </row>
    <row r="540" spans="1:10" ht="12.75" x14ac:dyDescent="0.2">
      <c r="A540" s="700">
        <v>1811</v>
      </c>
      <c r="B540" s="700" t="str">
        <f t="shared" si="17"/>
        <v>1811</v>
      </c>
      <c r="C540" s="700">
        <v>101</v>
      </c>
      <c r="D540" s="701">
        <v>100.79</v>
      </c>
      <c r="E540" s="701"/>
      <c r="F540" s="701"/>
      <c r="G540" s="705">
        <v>1811</v>
      </c>
      <c r="H540" s="705" t="str">
        <f t="shared" si="18"/>
        <v>1811</v>
      </c>
      <c r="I540" s="705">
        <v>101</v>
      </c>
      <c r="J540" s="701">
        <v>101.89</v>
      </c>
    </row>
    <row r="541" spans="1:10" ht="12.75" x14ac:dyDescent="0.2">
      <c r="A541" s="700">
        <v>1811</v>
      </c>
      <c r="B541" s="700" t="str">
        <f t="shared" si="17"/>
        <v>1811</v>
      </c>
      <c r="C541" s="700">
        <v>102</v>
      </c>
      <c r="D541" s="701">
        <v>83.22</v>
      </c>
      <c r="E541" s="701"/>
      <c r="F541" s="701"/>
      <c r="G541" s="705">
        <v>1811</v>
      </c>
      <c r="H541" s="705" t="str">
        <f t="shared" si="18"/>
        <v>1811</v>
      </c>
      <c r="I541" s="705">
        <v>102</v>
      </c>
      <c r="J541" s="701">
        <v>83.87</v>
      </c>
    </row>
    <row r="542" spans="1:10" ht="12.75" x14ac:dyDescent="0.2">
      <c r="A542" s="700">
        <v>1811</v>
      </c>
      <c r="B542" s="700" t="str">
        <f t="shared" si="17"/>
        <v>1811</v>
      </c>
      <c r="C542" s="700">
        <v>111</v>
      </c>
      <c r="D542" s="701">
        <v>55.77</v>
      </c>
      <c r="E542" s="701"/>
      <c r="F542" s="701"/>
      <c r="G542" s="705">
        <v>1811</v>
      </c>
      <c r="H542" s="705" t="str">
        <f t="shared" si="18"/>
        <v>1811</v>
      </c>
      <c r="I542" s="705">
        <v>111</v>
      </c>
      <c r="J542" s="701">
        <v>62.38</v>
      </c>
    </row>
    <row r="543" spans="1:10" ht="12.75" x14ac:dyDescent="0.2">
      <c r="A543" s="700">
        <v>1811</v>
      </c>
      <c r="B543" s="700" t="str">
        <f t="shared" si="17"/>
        <v>1811</v>
      </c>
      <c r="C543" s="700">
        <v>112</v>
      </c>
      <c r="D543" s="701">
        <v>34.979999999999997</v>
      </c>
      <c r="E543" s="701"/>
      <c r="F543" s="701"/>
      <c r="G543" s="705">
        <v>1811</v>
      </c>
      <c r="H543" s="705" t="str">
        <f t="shared" si="18"/>
        <v>1811</v>
      </c>
      <c r="I543" s="705">
        <v>112</v>
      </c>
      <c r="J543" s="701">
        <v>32.5</v>
      </c>
    </row>
    <row r="544" spans="1:10" ht="12.75" x14ac:dyDescent="0.2">
      <c r="A544" s="700">
        <v>1811</v>
      </c>
      <c r="B544" s="700" t="str">
        <f t="shared" si="17"/>
        <v>1811</v>
      </c>
      <c r="C544" s="700">
        <v>130</v>
      </c>
      <c r="D544" s="701">
        <v>66.040000000000006</v>
      </c>
      <c r="E544" s="701"/>
      <c r="F544" s="701"/>
      <c r="G544" s="705">
        <v>1811</v>
      </c>
      <c r="H544" s="705" t="str">
        <f t="shared" si="18"/>
        <v>1811</v>
      </c>
      <c r="I544" s="705">
        <v>130</v>
      </c>
      <c r="J544" s="701">
        <v>67.78</v>
      </c>
    </row>
    <row r="545" spans="1:10" ht="12.75" x14ac:dyDescent="0.2">
      <c r="A545" s="700">
        <v>1811</v>
      </c>
      <c r="B545" s="700" t="str">
        <f t="shared" si="17"/>
        <v>1811</v>
      </c>
      <c r="C545" s="700">
        <v>254</v>
      </c>
      <c r="D545" s="701">
        <v>0</v>
      </c>
      <c r="E545" s="701"/>
      <c r="F545" s="701"/>
      <c r="G545" s="705">
        <v>1811</v>
      </c>
      <c r="H545" s="705" t="str">
        <f t="shared" si="18"/>
        <v>1811</v>
      </c>
      <c r="I545" s="705">
        <v>254</v>
      </c>
      <c r="J545" s="701">
        <v>0.28000000000000003</v>
      </c>
    </row>
    <row r="546" spans="1:10" ht="12.75" x14ac:dyDescent="0.2">
      <c r="A546" s="700">
        <v>1821</v>
      </c>
      <c r="B546" s="700" t="str">
        <f t="shared" si="17"/>
        <v>1821</v>
      </c>
      <c r="C546" s="700">
        <v>102</v>
      </c>
      <c r="D546" s="701">
        <v>400.44</v>
      </c>
      <c r="E546" s="701"/>
      <c r="F546" s="701"/>
      <c r="G546" s="705">
        <v>1821</v>
      </c>
      <c r="H546" s="705" t="str">
        <f t="shared" si="18"/>
        <v>1821</v>
      </c>
      <c r="I546" s="705">
        <v>102</v>
      </c>
      <c r="J546" s="701">
        <v>410.01</v>
      </c>
    </row>
    <row r="547" spans="1:10" ht="12.75" x14ac:dyDescent="0.2">
      <c r="A547" s="700">
        <v>1821</v>
      </c>
      <c r="B547" s="700" t="str">
        <f t="shared" si="17"/>
        <v>1821</v>
      </c>
      <c r="C547" s="700">
        <v>112</v>
      </c>
      <c r="D547" s="701">
        <v>164.47</v>
      </c>
      <c r="E547" s="701"/>
      <c r="F547" s="701"/>
      <c r="G547" s="705">
        <v>1821</v>
      </c>
      <c r="H547" s="705" t="str">
        <f t="shared" si="18"/>
        <v>1821</v>
      </c>
      <c r="I547" s="705">
        <v>112</v>
      </c>
      <c r="J547" s="701">
        <v>160.72999999999999</v>
      </c>
    </row>
    <row r="548" spans="1:10" ht="12.75" x14ac:dyDescent="0.2">
      <c r="A548" s="700">
        <v>1821</v>
      </c>
      <c r="B548" s="700" t="str">
        <f t="shared" si="17"/>
        <v>1821</v>
      </c>
      <c r="C548" s="700">
        <v>130</v>
      </c>
      <c r="D548" s="701">
        <v>16.04</v>
      </c>
      <c r="E548" s="701"/>
      <c r="F548" s="701"/>
      <c r="G548" s="705">
        <v>1821</v>
      </c>
      <c r="H548" s="705" t="str">
        <f t="shared" si="18"/>
        <v>1821</v>
      </c>
      <c r="I548" s="705">
        <v>130</v>
      </c>
      <c r="J548" s="701">
        <v>13.07</v>
      </c>
    </row>
    <row r="549" spans="1:10" ht="12.75" x14ac:dyDescent="0.2">
      <c r="A549" s="700">
        <v>1831</v>
      </c>
      <c r="B549" s="700" t="str">
        <f t="shared" si="17"/>
        <v>1831</v>
      </c>
      <c r="C549" s="700">
        <v>101</v>
      </c>
      <c r="D549" s="701">
        <v>50.34</v>
      </c>
      <c r="E549" s="701"/>
      <c r="F549" s="701"/>
      <c r="G549" s="705">
        <v>1831</v>
      </c>
      <c r="H549" s="705" t="str">
        <f t="shared" si="18"/>
        <v>1831</v>
      </c>
      <c r="I549" s="705">
        <v>101</v>
      </c>
      <c r="J549" s="701">
        <v>50.82</v>
      </c>
    </row>
    <row r="550" spans="1:10" ht="12.75" x14ac:dyDescent="0.2">
      <c r="A550" s="700">
        <v>1831</v>
      </c>
      <c r="B550" s="700" t="str">
        <f t="shared" si="17"/>
        <v>1831</v>
      </c>
      <c r="C550" s="700">
        <v>102</v>
      </c>
      <c r="D550" s="701">
        <v>26.24</v>
      </c>
      <c r="E550" s="701"/>
      <c r="F550" s="701"/>
      <c r="G550" s="705">
        <v>1831</v>
      </c>
      <c r="H550" s="705" t="str">
        <f t="shared" si="18"/>
        <v>1831</v>
      </c>
      <c r="I550" s="705">
        <v>102</v>
      </c>
      <c r="J550" s="701">
        <v>26.74</v>
      </c>
    </row>
    <row r="551" spans="1:10" ht="12.75" x14ac:dyDescent="0.2">
      <c r="A551" s="700">
        <v>1831</v>
      </c>
      <c r="B551" s="700" t="str">
        <f t="shared" si="17"/>
        <v>1831</v>
      </c>
      <c r="C551" s="700">
        <v>111</v>
      </c>
      <c r="D551" s="701">
        <v>28.53</v>
      </c>
      <c r="E551" s="701"/>
      <c r="F551" s="701"/>
      <c r="G551" s="705">
        <v>1831</v>
      </c>
      <c r="H551" s="705" t="str">
        <f t="shared" si="18"/>
        <v>1831</v>
      </c>
      <c r="I551" s="705">
        <v>111</v>
      </c>
      <c r="J551" s="701">
        <v>29.53</v>
      </c>
    </row>
    <row r="552" spans="1:10" ht="12.75" x14ac:dyDescent="0.2">
      <c r="A552" s="700">
        <v>1831</v>
      </c>
      <c r="B552" s="700" t="str">
        <f t="shared" si="17"/>
        <v>1831</v>
      </c>
      <c r="C552" s="700">
        <v>112</v>
      </c>
      <c r="D552" s="701">
        <v>10.5</v>
      </c>
      <c r="E552" s="701"/>
      <c r="F552" s="701"/>
      <c r="G552" s="705">
        <v>1831</v>
      </c>
      <c r="H552" s="705" t="str">
        <f t="shared" si="18"/>
        <v>1831</v>
      </c>
      <c r="I552" s="705">
        <v>112</v>
      </c>
      <c r="J552" s="701">
        <v>10.5</v>
      </c>
    </row>
    <row r="553" spans="1:10" ht="12.75" x14ac:dyDescent="0.2">
      <c r="A553" s="700">
        <v>1831</v>
      </c>
      <c r="B553" s="700" t="str">
        <f t="shared" si="17"/>
        <v>1831</v>
      </c>
      <c r="C553" s="700">
        <v>130</v>
      </c>
      <c r="D553" s="701">
        <v>7.94</v>
      </c>
      <c r="E553" s="701"/>
      <c r="F553" s="701"/>
      <c r="G553" s="705">
        <v>1831</v>
      </c>
      <c r="H553" s="705" t="str">
        <f t="shared" si="18"/>
        <v>1831</v>
      </c>
      <c r="I553" s="705">
        <v>130</v>
      </c>
      <c r="J553" s="701">
        <v>7.94</v>
      </c>
    </row>
    <row r="554" spans="1:10" ht="12.75" x14ac:dyDescent="0.2">
      <c r="A554" s="700">
        <v>1851</v>
      </c>
      <c r="B554" s="700" t="str">
        <f t="shared" si="17"/>
        <v>1851</v>
      </c>
      <c r="C554" s="700">
        <v>103</v>
      </c>
      <c r="D554" s="701">
        <v>813.56</v>
      </c>
      <c r="E554" s="701"/>
      <c r="F554" s="701"/>
      <c r="G554" s="705">
        <v>1851</v>
      </c>
      <c r="H554" s="705" t="str">
        <f t="shared" si="18"/>
        <v>1851</v>
      </c>
      <c r="I554" s="705">
        <v>103</v>
      </c>
      <c r="J554" s="701">
        <v>839.66</v>
      </c>
    </row>
    <row r="555" spans="1:10" ht="12.75" x14ac:dyDescent="0.2">
      <c r="A555" s="700">
        <v>1851</v>
      </c>
      <c r="B555" s="700" t="str">
        <f t="shared" si="17"/>
        <v>1851</v>
      </c>
      <c r="C555" s="700">
        <v>113</v>
      </c>
      <c r="D555" s="701">
        <v>242.16</v>
      </c>
      <c r="E555" s="701"/>
      <c r="F555" s="701"/>
      <c r="G555" s="705">
        <v>1851</v>
      </c>
      <c r="H555" s="705" t="str">
        <f t="shared" si="18"/>
        <v>1851</v>
      </c>
      <c r="I555" s="705">
        <v>113</v>
      </c>
      <c r="J555" s="701">
        <v>232.5</v>
      </c>
    </row>
    <row r="556" spans="1:10" ht="12.75" x14ac:dyDescent="0.2">
      <c r="A556" s="700">
        <v>1851</v>
      </c>
      <c r="B556" s="700" t="str">
        <f t="shared" si="17"/>
        <v>1851</v>
      </c>
      <c r="C556" s="700">
        <v>130</v>
      </c>
      <c r="D556" s="701">
        <v>132.44999999999999</v>
      </c>
      <c r="E556" s="701"/>
      <c r="F556" s="701"/>
      <c r="G556" s="705">
        <v>1851</v>
      </c>
      <c r="H556" s="705" t="str">
        <f t="shared" si="18"/>
        <v>1851</v>
      </c>
      <c r="I556" s="705">
        <v>130</v>
      </c>
      <c r="J556" s="701">
        <v>131.1</v>
      </c>
    </row>
    <row r="557" spans="1:10" ht="12.75" x14ac:dyDescent="0.2">
      <c r="A557" s="700">
        <v>1851</v>
      </c>
      <c r="B557" s="700" t="str">
        <f t="shared" si="17"/>
        <v>1851</v>
      </c>
      <c r="C557" s="700">
        <v>254</v>
      </c>
      <c r="D557" s="701">
        <v>0.49</v>
      </c>
      <c r="E557" s="701"/>
      <c r="F557" s="701"/>
      <c r="G557" s="705">
        <v>1851</v>
      </c>
      <c r="H557" s="705" t="str">
        <f t="shared" si="18"/>
        <v>1851</v>
      </c>
      <c r="I557" s="705">
        <v>254</v>
      </c>
      <c r="J557" s="701">
        <v>0</v>
      </c>
    </row>
    <row r="558" spans="1:10" ht="12.75" x14ac:dyDescent="0.2">
      <c r="A558" s="700">
        <v>1851</v>
      </c>
      <c r="B558" s="700" t="str">
        <f t="shared" si="17"/>
        <v>1851</v>
      </c>
      <c r="C558" s="700">
        <v>300</v>
      </c>
      <c r="D558" s="701">
        <v>140.21</v>
      </c>
      <c r="E558" s="701"/>
      <c r="F558" s="701"/>
      <c r="G558" s="705">
        <v>1851</v>
      </c>
      <c r="H558" s="705" t="str">
        <f t="shared" si="18"/>
        <v>1851</v>
      </c>
      <c r="I558" s="705">
        <v>300</v>
      </c>
      <c r="J558" s="701">
        <v>93.8</v>
      </c>
    </row>
    <row r="559" spans="1:10" ht="12.75" x14ac:dyDescent="0.2">
      <c r="A559" s="700">
        <v>1861</v>
      </c>
      <c r="B559" s="700" t="str">
        <f t="shared" si="17"/>
        <v>1861</v>
      </c>
      <c r="C559" s="700">
        <v>101</v>
      </c>
      <c r="D559" s="701">
        <v>75.180000000000007</v>
      </c>
      <c r="E559" s="701"/>
      <c r="F559" s="701"/>
      <c r="G559" s="705">
        <v>1861</v>
      </c>
      <c r="H559" s="705" t="str">
        <f t="shared" si="18"/>
        <v>1861</v>
      </c>
      <c r="I559" s="705">
        <v>101</v>
      </c>
      <c r="J559" s="701">
        <v>76.94</v>
      </c>
    </row>
    <row r="560" spans="1:10" ht="12.75" x14ac:dyDescent="0.2">
      <c r="A560" s="700">
        <v>1861</v>
      </c>
      <c r="B560" s="700" t="str">
        <f t="shared" si="17"/>
        <v>1861</v>
      </c>
      <c r="C560" s="700">
        <v>102</v>
      </c>
      <c r="D560" s="701">
        <v>37.85</v>
      </c>
      <c r="E560" s="701"/>
      <c r="F560" s="701"/>
      <c r="G560" s="705">
        <v>1861</v>
      </c>
      <c r="H560" s="705" t="str">
        <f t="shared" si="18"/>
        <v>1861</v>
      </c>
      <c r="I560" s="705">
        <v>102</v>
      </c>
      <c r="J560" s="701">
        <v>37.36</v>
      </c>
    </row>
    <row r="561" spans="1:10" ht="12.75" x14ac:dyDescent="0.2">
      <c r="A561" s="700">
        <v>1861</v>
      </c>
      <c r="B561" s="700" t="str">
        <f t="shared" si="17"/>
        <v>1861</v>
      </c>
      <c r="C561" s="700">
        <v>111</v>
      </c>
      <c r="D561" s="701">
        <v>21.53</v>
      </c>
      <c r="E561" s="701"/>
      <c r="F561" s="701"/>
      <c r="G561" s="705">
        <v>1861</v>
      </c>
      <c r="H561" s="705" t="str">
        <f t="shared" si="18"/>
        <v>1861</v>
      </c>
      <c r="I561" s="705">
        <v>111</v>
      </c>
      <c r="J561" s="701">
        <v>22.49</v>
      </c>
    </row>
    <row r="562" spans="1:10" ht="12.75" x14ac:dyDescent="0.2">
      <c r="A562" s="700">
        <v>1861</v>
      </c>
      <c r="B562" s="700" t="str">
        <f t="shared" si="17"/>
        <v>1861</v>
      </c>
      <c r="C562" s="700">
        <v>112</v>
      </c>
      <c r="D562" s="701">
        <v>12.51</v>
      </c>
      <c r="E562" s="701"/>
      <c r="F562" s="701"/>
      <c r="G562" s="705">
        <v>1861</v>
      </c>
      <c r="H562" s="705" t="str">
        <f t="shared" si="18"/>
        <v>1861</v>
      </c>
      <c r="I562" s="705">
        <v>112</v>
      </c>
      <c r="J562" s="701">
        <v>13.99</v>
      </c>
    </row>
    <row r="563" spans="1:10" ht="12.75" x14ac:dyDescent="0.2">
      <c r="A563" s="700">
        <v>1861</v>
      </c>
      <c r="B563" s="700" t="str">
        <f t="shared" si="17"/>
        <v>1861</v>
      </c>
      <c r="C563" s="700">
        <v>130</v>
      </c>
      <c r="D563" s="701">
        <v>77.03</v>
      </c>
      <c r="E563" s="701"/>
      <c r="F563" s="701"/>
      <c r="G563" s="705">
        <v>1861</v>
      </c>
      <c r="H563" s="705" t="str">
        <f t="shared" si="18"/>
        <v>1861</v>
      </c>
      <c r="I563" s="705">
        <v>130</v>
      </c>
      <c r="J563" s="701">
        <v>74.83</v>
      </c>
    </row>
    <row r="564" spans="1:10" ht="12.75" x14ac:dyDescent="0.2">
      <c r="A564" s="700">
        <v>1871</v>
      </c>
      <c r="B564" s="700" t="str">
        <f t="shared" si="17"/>
        <v>1871</v>
      </c>
      <c r="C564" s="700">
        <v>101</v>
      </c>
      <c r="D564" s="701">
        <v>111.58</v>
      </c>
      <c r="E564" s="701"/>
      <c r="F564" s="701"/>
      <c r="G564" s="705">
        <v>1871</v>
      </c>
      <c r="H564" s="705" t="str">
        <f t="shared" si="18"/>
        <v>1871</v>
      </c>
      <c r="I564" s="705">
        <v>101</v>
      </c>
      <c r="J564" s="701">
        <v>108.9</v>
      </c>
    </row>
    <row r="565" spans="1:10" ht="12.75" x14ac:dyDescent="0.2">
      <c r="A565" s="700">
        <v>1871</v>
      </c>
      <c r="B565" s="700" t="str">
        <f t="shared" si="17"/>
        <v>1871</v>
      </c>
      <c r="C565" s="700">
        <v>102</v>
      </c>
      <c r="D565" s="701">
        <v>74.47</v>
      </c>
      <c r="E565" s="701"/>
      <c r="F565" s="701"/>
      <c r="G565" s="705">
        <v>1871</v>
      </c>
      <c r="H565" s="705" t="str">
        <f t="shared" si="18"/>
        <v>1871</v>
      </c>
      <c r="I565" s="705">
        <v>102</v>
      </c>
      <c r="J565" s="701">
        <v>72.98</v>
      </c>
    </row>
    <row r="566" spans="1:10" ht="12.75" x14ac:dyDescent="0.2">
      <c r="A566" s="700">
        <v>1871</v>
      </c>
      <c r="B566" s="700" t="str">
        <f t="shared" si="17"/>
        <v>1871</v>
      </c>
      <c r="C566" s="700">
        <v>111</v>
      </c>
      <c r="D566" s="701">
        <v>37.479999999999997</v>
      </c>
      <c r="E566" s="701"/>
      <c r="F566" s="701"/>
      <c r="G566" s="705">
        <v>1871</v>
      </c>
      <c r="H566" s="705" t="str">
        <f t="shared" si="18"/>
        <v>1871</v>
      </c>
      <c r="I566" s="705">
        <v>111</v>
      </c>
      <c r="J566" s="701">
        <v>39.56</v>
      </c>
    </row>
    <row r="567" spans="1:10" ht="12.75" x14ac:dyDescent="0.2">
      <c r="A567" s="700">
        <v>1871</v>
      </c>
      <c r="B567" s="700" t="str">
        <f t="shared" si="17"/>
        <v>1871</v>
      </c>
      <c r="C567" s="700">
        <v>112</v>
      </c>
      <c r="D567" s="701">
        <v>23.33</v>
      </c>
      <c r="E567" s="701"/>
      <c r="F567" s="701"/>
      <c r="G567" s="705">
        <v>1871</v>
      </c>
      <c r="H567" s="705" t="str">
        <f t="shared" si="18"/>
        <v>1871</v>
      </c>
      <c r="I567" s="705">
        <v>112</v>
      </c>
      <c r="J567" s="701">
        <v>24</v>
      </c>
    </row>
    <row r="568" spans="1:10" ht="12.75" x14ac:dyDescent="0.2">
      <c r="A568" s="700">
        <v>1871</v>
      </c>
      <c r="B568" s="700" t="str">
        <f t="shared" si="17"/>
        <v>1871</v>
      </c>
      <c r="C568" s="700">
        <v>130</v>
      </c>
      <c r="D568" s="701">
        <v>160.91999999999999</v>
      </c>
      <c r="E568" s="701"/>
      <c r="F568" s="701"/>
      <c r="G568" s="705">
        <v>1871</v>
      </c>
      <c r="H568" s="705" t="str">
        <f t="shared" si="18"/>
        <v>1871</v>
      </c>
      <c r="I568" s="705">
        <v>130</v>
      </c>
      <c r="J568" s="701">
        <v>155.59</v>
      </c>
    </row>
    <row r="569" spans="1:10" ht="12.75" x14ac:dyDescent="0.2">
      <c r="A569" s="700">
        <v>1891</v>
      </c>
      <c r="B569" s="700" t="str">
        <f t="shared" si="17"/>
        <v>1891</v>
      </c>
      <c r="C569" s="700">
        <v>101</v>
      </c>
      <c r="D569" s="701">
        <v>133.69999999999999</v>
      </c>
      <c r="E569" s="701"/>
      <c r="F569" s="701"/>
      <c r="G569" s="705">
        <v>1891</v>
      </c>
      <c r="H569" s="705" t="str">
        <f t="shared" si="18"/>
        <v>1891</v>
      </c>
      <c r="I569" s="705">
        <v>101</v>
      </c>
      <c r="J569" s="701">
        <v>130.13999999999999</v>
      </c>
    </row>
    <row r="570" spans="1:10" ht="12.75" x14ac:dyDescent="0.2">
      <c r="A570" s="700">
        <v>1891</v>
      </c>
      <c r="B570" s="700" t="str">
        <f t="shared" si="17"/>
        <v>1891</v>
      </c>
      <c r="C570" s="700">
        <v>102</v>
      </c>
      <c r="D570" s="701">
        <v>54.29</v>
      </c>
      <c r="E570" s="701"/>
      <c r="F570" s="701"/>
      <c r="G570" s="705">
        <v>1891</v>
      </c>
      <c r="H570" s="705" t="str">
        <f t="shared" si="18"/>
        <v>1891</v>
      </c>
      <c r="I570" s="705">
        <v>102</v>
      </c>
      <c r="J570" s="701">
        <v>53.39</v>
      </c>
    </row>
    <row r="571" spans="1:10" ht="12.75" x14ac:dyDescent="0.2">
      <c r="A571" s="700">
        <v>1891</v>
      </c>
      <c r="B571" s="700" t="str">
        <f t="shared" si="17"/>
        <v>1891</v>
      </c>
      <c r="C571" s="700">
        <v>111</v>
      </c>
      <c r="D571" s="701">
        <v>87.76</v>
      </c>
      <c r="E571" s="701"/>
      <c r="F571" s="701"/>
      <c r="G571" s="705">
        <v>1891</v>
      </c>
      <c r="H571" s="705" t="str">
        <f t="shared" si="18"/>
        <v>1891</v>
      </c>
      <c r="I571" s="705">
        <v>111</v>
      </c>
      <c r="J571" s="701">
        <v>88.84</v>
      </c>
    </row>
    <row r="572" spans="1:10" ht="12.75" x14ac:dyDescent="0.2">
      <c r="A572" s="700">
        <v>1891</v>
      </c>
      <c r="B572" s="700" t="str">
        <f t="shared" si="17"/>
        <v>1891</v>
      </c>
      <c r="C572" s="700">
        <v>112</v>
      </c>
      <c r="D572" s="701">
        <v>56.96</v>
      </c>
      <c r="E572" s="701"/>
      <c r="F572" s="701"/>
      <c r="G572" s="705">
        <v>1891</v>
      </c>
      <c r="H572" s="705" t="str">
        <f t="shared" si="18"/>
        <v>1891</v>
      </c>
      <c r="I572" s="705">
        <v>112</v>
      </c>
      <c r="J572" s="701">
        <v>57.91</v>
      </c>
    </row>
    <row r="573" spans="1:10" ht="12.75" x14ac:dyDescent="0.2">
      <c r="A573" s="700">
        <v>1891</v>
      </c>
      <c r="B573" s="700" t="str">
        <f t="shared" si="17"/>
        <v>1891</v>
      </c>
      <c r="C573" s="700">
        <v>130</v>
      </c>
      <c r="D573" s="701">
        <v>53.57</v>
      </c>
      <c r="E573" s="701"/>
      <c r="F573" s="701"/>
      <c r="G573" s="705">
        <v>1891</v>
      </c>
      <c r="H573" s="705" t="str">
        <f t="shared" si="18"/>
        <v>1891</v>
      </c>
      <c r="I573" s="705">
        <v>130</v>
      </c>
      <c r="J573" s="701">
        <v>53.9</v>
      </c>
    </row>
    <row r="574" spans="1:10" ht="12.75" x14ac:dyDescent="0.2">
      <c r="A574" s="700">
        <v>1891</v>
      </c>
      <c r="B574" s="700" t="str">
        <f t="shared" si="17"/>
        <v>1891</v>
      </c>
      <c r="C574" s="700">
        <v>254</v>
      </c>
      <c r="D574" s="701">
        <v>2.04</v>
      </c>
      <c r="E574" s="701"/>
      <c r="F574" s="701"/>
      <c r="G574" s="705">
        <v>1891</v>
      </c>
      <c r="H574" s="705" t="str">
        <f t="shared" si="18"/>
        <v>1891</v>
      </c>
      <c r="I574" s="705">
        <v>254</v>
      </c>
      <c r="J574" s="701">
        <v>2.54</v>
      </c>
    </row>
    <row r="575" spans="1:10" ht="12.75" x14ac:dyDescent="0.2">
      <c r="A575" s="700">
        <v>1891</v>
      </c>
      <c r="B575" s="700" t="str">
        <f t="shared" si="17"/>
        <v>1891</v>
      </c>
      <c r="C575" s="700">
        <v>255</v>
      </c>
      <c r="D575" s="701">
        <v>0.35</v>
      </c>
      <c r="E575" s="701"/>
      <c r="F575" s="701"/>
      <c r="G575" s="705">
        <v>1891</v>
      </c>
      <c r="H575" s="705" t="str">
        <f t="shared" si="18"/>
        <v>1891</v>
      </c>
      <c r="I575" s="705">
        <v>255</v>
      </c>
      <c r="J575" s="701">
        <v>0.35</v>
      </c>
    </row>
    <row r="576" spans="1:10" ht="12.75" x14ac:dyDescent="0.2">
      <c r="A576" s="700">
        <v>1901</v>
      </c>
      <c r="B576" s="700" t="str">
        <f t="shared" si="17"/>
        <v>1901</v>
      </c>
      <c r="C576" s="700">
        <v>101</v>
      </c>
      <c r="D576" s="701">
        <v>123.6</v>
      </c>
      <c r="E576" s="701"/>
      <c r="F576" s="701"/>
      <c r="G576" s="705">
        <v>1901</v>
      </c>
      <c r="H576" s="705" t="str">
        <f t="shared" si="18"/>
        <v>1901</v>
      </c>
      <c r="I576" s="705">
        <v>101</v>
      </c>
      <c r="J576" s="701">
        <v>128.04</v>
      </c>
    </row>
    <row r="577" spans="1:10" ht="12.75" x14ac:dyDescent="0.2">
      <c r="A577" s="700">
        <v>1901</v>
      </c>
      <c r="B577" s="700" t="str">
        <f t="shared" si="17"/>
        <v>1901</v>
      </c>
      <c r="C577" s="700">
        <v>102</v>
      </c>
      <c r="D577" s="701">
        <v>64.819999999999993</v>
      </c>
      <c r="E577" s="701"/>
      <c r="F577" s="701"/>
      <c r="G577" s="705">
        <v>1901</v>
      </c>
      <c r="H577" s="705" t="str">
        <f t="shared" si="18"/>
        <v>1901</v>
      </c>
      <c r="I577" s="705">
        <v>102</v>
      </c>
      <c r="J577" s="701">
        <v>65.33</v>
      </c>
    </row>
    <row r="578" spans="1:10" ht="12.75" x14ac:dyDescent="0.2">
      <c r="A578" s="700">
        <v>1901</v>
      </c>
      <c r="B578" s="700" t="str">
        <f t="shared" ref="B578:B641" si="19">TEXT(A578,"0000")</f>
        <v>1901</v>
      </c>
      <c r="C578" s="700">
        <v>111</v>
      </c>
      <c r="D578" s="701">
        <v>67</v>
      </c>
      <c r="E578" s="701"/>
      <c r="F578" s="701"/>
      <c r="G578" s="705">
        <v>1901</v>
      </c>
      <c r="H578" s="705" t="str">
        <f t="shared" si="18"/>
        <v>1901</v>
      </c>
      <c r="I578" s="705">
        <v>111</v>
      </c>
      <c r="J578" s="701">
        <v>82.13</v>
      </c>
    </row>
    <row r="579" spans="1:10" ht="12.75" x14ac:dyDescent="0.2">
      <c r="A579" s="700">
        <v>1901</v>
      </c>
      <c r="B579" s="700" t="str">
        <f t="shared" si="19"/>
        <v>1901</v>
      </c>
      <c r="C579" s="700">
        <v>112</v>
      </c>
      <c r="D579" s="701">
        <v>22.5</v>
      </c>
      <c r="E579" s="701"/>
      <c r="F579" s="701"/>
      <c r="G579" s="705">
        <v>1901</v>
      </c>
      <c r="H579" s="705" t="str">
        <f t="shared" ref="H579:H642" si="20">TEXT(G579,"0000")</f>
        <v>1901</v>
      </c>
      <c r="I579" s="705">
        <v>112</v>
      </c>
      <c r="J579" s="701">
        <v>22</v>
      </c>
    </row>
    <row r="580" spans="1:10" ht="12.75" x14ac:dyDescent="0.2">
      <c r="A580" s="700">
        <v>1901</v>
      </c>
      <c r="B580" s="700" t="str">
        <f t="shared" si="19"/>
        <v>1901</v>
      </c>
      <c r="C580" s="700">
        <v>130</v>
      </c>
      <c r="D580" s="701">
        <v>38.6</v>
      </c>
      <c r="E580" s="701"/>
      <c r="F580" s="701"/>
      <c r="G580" s="705">
        <v>1901</v>
      </c>
      <c r="H580" s="705" t="str">
        <f t="shared" si="20"/>
        <v>1901</v>
      </c>
      <c r="I580" s="705">
        <v>130</v>
      </c>
      <c r="J580" s="701">
        <v>40.630000000000003</v>
      </c>
    </row>
    <row r="581" spans="1:10" ht="12.75" x14ac:dyDescent="0.2">
      <c r="A581" s="700">
        <v>1901</v>
      </c>
      <c r="B581" s="700" t="str">
        <f t="shared" si="19"/>
        <v>1901</v>
      </c>
      <c r="C581" s="700">
        <v>254</v>
      </c>
      <c r="D581" s="701">
        <v>2.99</v>
      </c>
      <c r="E581" s="701"/>
      <c r="F581" s="701"/>
      <c r="G581" s="705">
        <v>1901</v>
      </c>
      <c r="H581" s="705" t="str">
        <f t="shared" si="20"/>
        <v>1901</v>
      </c>
      <c r="I581" s="705">
        <v>254</v>
      </c>
      <c r="J581" s="701">
        <v>2.31</v>
      </c>
    </row>
    <row r="582" spans="1:10" ht="12.75" x14ac:dyDescent="0.2">
      <c r="A582" s="700">
        <v>1911</v>
      </c>
      <c r="B582" s="700" t="str">
        <f t="shared" si="19"/>
        <v>1911</v>
      </c>
      <c r="C582" s="700">
        <v>101</v>
      </c>
      <c r="D582" s="701">
        <v>114.29</v>
      </c>
      <c r="E582" s="701"/>
      <c r="F582" s="701"/>
      <c r="G582" s="705">
        <v>1911</v>
      </c>
      <c r="H582" s="705" t="str">
        <f t="shared" si="20"/>
        <v>1911</v>
      </c>
      <c r="I582" s="705">
        <v>101</v>
      </c>
      <c r="J582" s="701">
        <v>115.05</v>
      </c>
    </row>
    <row r="583" spans="1:10" ht="12.75" x14ac:dyDescent="0.2">
      <c r="A583" s="700">
        <v>1911</v>
      </c>
      <c r="B583" s="700" t="str">
        <f t="shared" si="19"/>
        <v>1911</v>
      </c>
      <c r="C583" s="700">
        <v>102</v>
      </c>
      <c r="D583" s="701">
        <v>77.28</v>
      </c>
      <c r="E583" s="701"/>
      <c r="F583" s="701"/>
      <c r="G583" s="705">
        <v>1911</v>
      </c>
      <c r="H583" s="705" t="str">
        <f t="shared" si="20"/>
        <v>1911</v>
      </c>
      <c r="I583" s="705">
        <v>102</v>
      </c>
      <c r="J583" s="701">
        <v>78.760000000000005</v>
      </c>
    </row>
    <row r="584" spans="1:10" ht="12.75" x14ac:dyDescent="0.2">
      <c r="A584" s="700">
        <v>1911</v>
      </c>
      <c r="B584" s="700" t="str">
        <f t="shared" si="19"/>
        <v>1911</v>
      </c>
      <c r="C584" s="700">
        <v>111</v>
      </c>
      <c r="D584" s="701">
        <v>101.59</v>
      </c>
      <c r="E584" s="701"/>
      <c r="F584" s="701"/>
      <c r="G584" s="705">
        <v>1911</v>
      </c>
      <c r="H584" s="705" t="str">
        <f t="shared" si="20"/>
        <v>1911</v>
      </c>
      <c r="I584" s="705">
        <v>111</v>
      </c>
      <c r="J584" s="701">
        <v>106.78</v>
      </c>
    </row>
    <row r="585" spans="1:10" ht="12.75" x14ac:dyDescent="0.2">
      <c r="A585" s="700">
        <v>1911</v>
      </c>
      <c r="B585" s="700" t="str">
        <f t="shared" si="19"/>
        <v>1911</v>
      </c>
      <c r="C585" s="700">
        <v>112</v>
      </c>
      <c r="D585" s="701">
        <v>63</v>
      </c>
      <c r="E585" s="701"/>
      <c r="F585" s="701"/>
      <c r="G585" s="705">
        <v>1911</v>
      </c>
      <c r="H585" s="705" t="str">
        <f t="shared" si="20"/>
        <v>1911</v>
      </c>
      <c r="I585" s="705">
        <v>112</v>
      </c>
      <c r="J585" s="701">
        <v>63.98</v>
      </c>
    </row>
    <row r="586" spans="1:10" ht="12.75" x14ac:dyDescent="0.2">
      <c r="A586" s="700">
        <v>1911</v>
      </c>
      <c r="B586" s="700" t="str">
        <f t="shared" si="19"/>
        <v>1911</v>
      </c>
      <c r="C586" s="700">
        <v>130</v>
      </c>
      <c r="D586" s="701">
        <v>53.16</v>
      </c>
      <c r="E586" s="701"/>
      <c r="F586" s="701"/>
      <c r="G586" s="705">
        <v>1911</v>
      </c>
      <c r="H586" s="705" t="str">
        <f t="shared" si="20"/>
        <v>1911</v>
      </c>
      <c r="I586" s="705">
        <v>130</v>
      </c>
      <c r="J586" s="701">
        <v>55.18</v>
      </c>
    </row>
    <row r="587" spans="1:10" ht="12.75" x14ac:dyDescent="0.2">
      <c r="A587" s="700">
        <v>1911</v>
      </c>
      <c r="B587" s="700" t="str">
        <f t="shared" si="19"/>
        <v>1911</v>
      </c>
      <c r="C587" s="700">
        <v>255</v>
      </c>
      <c r="D587" s="701">
        <v>0.48</v>
      </c>
      <c r="E587" s="701"/>
      <c r="F587" s="701"/>
      <c r="G587" s="705">
        <v>1911</v>
      </c>
      <c r="H587" s="705" t="str">
        <f t="shared" si="20"/>
        <v>1911</v>
      </c>
      <c r="I587" s="705">
        <v>254</v>
      </c>
      <c r="J587" s="701">
        <v>0.5</v>
      </c>
    </row>
    <row r="588" spans="1:10" ht="12.75" x14ac:dyDescent="0.2">
      <c r="A588" s="700">
        <v>1921</v>
      </c>
      <c r="B588" s="700" t="str">
        <f t="shared" si="19"/>
        <v>1921</v>
      </c>
      <c r="C588" s="700">
        <v>102</v>
      </c>
      <c r="D588" s="701">
        <v>474</v>
      </c>
      <c r="E588" s="701"/>
      <c r="F588" s="701"/>
      <c r="G588" s="705">
        <v>1911</v>
      </c>
      <c r="H588" s="705" t="str">
        <f t="shared" si="20"/>
        <v>1911</v>
      </c>
      <c r="I588" s="705">
        <v>255</v>
      </c>
      <c r="J588" s="701">
        <v>0</v>
      </c>
    </row>
    <row r="589" spans="1:10" ht="12.75" x14ac:dyDescent="0.2">
      <c r="A589" s="700">
        <v>1921</v>
      </c>
      <c r="B589" s="700" t="str">
        <f t="shared" si="19"/>
        <v>1921</v>
      </c>
      <c r="C589" s="700">
        <v>112</v>
      </c>
      <c r="D589" s="701">
        <v>112.02</v>
      </c>
      <c r="E589" s="701"/>
      <c r="F589" s="701"/>
      <c r="G589" s="705">
        <v>1921</v>
      </c>
      <c r="H589" s="705" t="str">
        <f t="shared" si="20"/>
        <v>1921</v>
      </c>
      <c r="I589" s="705">
        <v>102</v>
      </c>
      <c r="J589" s="701">
        <v>489.7</v>
      </c>
    </row>
    <row r="590" spans="1:10" ht="12.75" x14ac:dyDescent="0.2">
      <c r="A590" s="700">
        <v>1921</v>
      </c>
      <c r="B590" s="700" t="str">
        <f t="shared" si="19"/>
        <v>1921</v>
      </c>
      <c r="C590" s="700">
        <v>130</v>
      </c>
      <c r="D590" s="701">
        <v>34.32</v>
      </c>
      <c r="E590" s="701"/>
      <c r="F590" s="701"/>
      <c r="G590" s="705">
        <v>1921</v>
      </c>
      <c r="H590" s="705" t="str">
        <f t="shared" si="20"/>
        <v>1921</v>
      </c>
      <c r="I590" s="705">
        <v>112</v>
      </c>
      <c r="J590" s="701">
        <v>92.71</v>
      </c>
    </row>
    <row r="591" spans="1:10" ht="12.75" x14ac:dyDescent="0.2">
      <c r="A591" s="700">
        <v>1921</v>
      </c>
      <c r="B591" s="700" t="str">
        <f t="shared" si="19"/>
        <v>1921</v>
      </c>
      <c r="C591" s="700">
        <v>254</v>
      </c>
      <c r="D591" s="701">
        <v>1</v>
      </c>
      <c r="E591" s="701"/>
      <c r="F591" s="701"/>
      <c r="G591" s="705">
        <v>1921</v>
      </c>
      <c r="H591" s="705" t="str">
        <f t="shared" si="20"/>
        <v>1921</v>
      </c>
      <c r="I591" s="705">
        <v>130</v>
      </c>
      <c r="J591" s="701">
        <v>32.57</v>
      </c>
    </row>
    <row r="592" spans="1:10" ht="12.75" x14ac:dyDescent="0.2">
      <c r="A592" s="700">
        <v>1921</v>
      </c>
      <c r="B592" s="700" t="str">
        <f t="shared" si="19"/>
        <v>1921</v>
      </c>
      <c r="C592" s="700">
        <v>255</v>
      </c>
      <c r="D592" s="701">
        <v>1</v>
      </c>
      <c r="E592" s="701"/>
      <c r="F592" s="701"/>
      <c r="G592" s="705">
        <v>1921</v>
      </c>
      <c r="H592" s="705" t="str">
        <f t="shared" si="20"/>
        <v>1921</v>
      </c>
      <c r="I592" s="705">
        <v>254</v>
      </c>
      <c r="J592" s="701">
        <v>1</v>
      </c>
    </row>
    <row r="593" spans="1:10" ht="12.75" x14ac:dyDescent="0.2">
      <c r="A593" s="700">
        <v>1931</v>
      </c>
      <c r="B593" s="700" t="str">
        <f t="shared" si="19"/>
        <v>1931</v>
      </c>
      <c r="C593" s="700">
        <v>101</v>
      </c>
      <c r="D593" s="701">
        <v>179.66</v>
      </c>
      <c r="E593" s="701"/>
      <c r="F593" s="701"/>
      <c r="G593" s="705">
        <v>1921</v>
      </c>
      <c r="H593" s="705" t="str">
        <f t="shared" si="20"/>
        <v>1921</v>
      </c>
      <c r="I593" s="705">
        <v>255</v>
      </c>
      <c r="J593" s="701">
        <v>1</v>
      </c>
    </row>
    <row r="594" spans="1:10" ht="12.75" x14ac:dyDescent="0.2">
      <c r="A594" s="700">
        <v>1931</v>
      </c>
      <c r="B594" s="700" t="str">
        <f t="shared" si="19"/>
        <v>1931</v>
      </c>
      <c r="C594" s="700">
        <v>111</v>
      </c>
      <c r="D594" s="701">
        <v>52.27</v>
      </c>
      <c r="E594" s="701"/>
      <c r="F594" s="701"/>
      <c r="G594" s="705">
        <v>1931</v>
      </c>
      <c r="H594" s="705" t="str">
        <f t="shared" si="20"/>
        <v>1931</v>
      </c>
      <c r="I594" s="705">
        <v>101</v>
      </c>
      <c r="J594" s="701">
        <v>172.13</v>
      </c>
    </row>
    <row r="595" spans="1:10" ht="12.75" x14ac:dyDescent="0.2">
      <c r="A595" s="700">
        <v>1931</v>
      </c>
      <c r="B595" s="700" t="str">
        <f t="shared" si="19"/>
        <v>1931</v>
      </c>
      <c r="C595" s="700">
        <v>130</v>
      </c>
      <c r="D595" s="701">
        <v>5.3</v>
      </c>
      <c r="E595" s="701"/>
      <c r="F595" s="701"/>
      <c r="G595" s="705">
        <v>1931</v>
      </c>
      <c r="H595" s="705" t="str">
        <f t="shared" si="20"/>
        <v>1931</v>
      </c>
      <c r="I595" s="705">
        <v>111</v>
      </c>
      <c r="J595" s="701">
        <v>63.59</v>
      </c>
    </row>
    <row r="596" spans="1:10" ht="12.75" x14ac:dyDescent="0.2">
      <c r="A596" s="700">
        <v>1931</v>
      </c>
      <c r="B596" s="700" t="str">
        <f t="shared" si="19"/>
        <v>1931</v>
      </c>
      <c r="C596" s="700">
        <v>254</v>
      </c>
      <c r="D596" s="701">
        <v>3</v>
      </c>
      <c r="E596" s="701"/>
      <c r="F596" s="701"/>
      <c r="G596" s="705">
        <v>1931</v>
      </c>
      <c r="H596" s="705" t="str">
        <f t="shared" si="20"/>
        <v>1931</v>
      </c>
      <c r="I596" s="705">
        <v>130</v>
      </c>
      <c r="J596" s="701">
        <v>4.8899999999999997</v>
      </c>
    </row>
    <row r="597" spans="1:10" ht="12.75" x14ac:dyDescent="0.2">
      <c r="A597" s="700">
        <v>1941</v>
      </c>
      <c r="B597" s="700" t="str">
        <f t="shared" si="19"/>
        <v>1941</v>
      </c>
      <c r="C597" s="700">
        <v>101</v>
      </c>
      <c r="D597" s="701">
        <v>115.58</v>
      </c>
      <c r="E597" s="701"/>
      <c r="F597" s="701"/>
      <c r="G597" s="705">
        <v>1931</v>
      </c>
      <c r="H597" s="705" t="str">
        <f t="shared" si="20"/>
        <v>1931</v>
      </c>
      <c r="I597" s="705">
        <v>254</v>
      </c>
      <c r="J597" s="701">
        <v>4</v>
      </c>
    </row>
    <row r="598" spans="1:10" ht="12.75" x14ac:dyDescent="0.2">
      <c r="A598" s="700">
        <v>1941</v>
      </c>
      <c r="B598" s="700" t="str">
        <f t="shared" si="19"/>
        <v>1941</v>
      </c>
      <c r="C598" s="700">
        <v>102</v>
      </c>
      <c r="D598" s="701">
        <v>44.09</v>
      </c>
      <c r="E598" s="701"/>
      <c r="F598" s="701"/>
      <c r="G598" s="705">
        <v>1941</v>
      </c>
      <c r="H598" s="705" t="str">
        <f t="shared" si="20"/>
        <v>1941</v>
      </c>
      <c r="I598" s="705">
        <v>101</v>
      </c>
      <c r="J598" s="701">
        <v>114.83</v>
      </c>
    </row>
    <row r="599" spans="1:10" ht="12.75" x14ac:dyDescent="0.2">
      <c r="A599" s="700">
        <v>1941</v>
      </c>
      <c r="B599" s="700" t="str">
        <f t="shared" si="19"/>
        <v>1941</v>
      </c>
      <c r="C599" s="700">
        <v>111</v>
      </c>
      <c r="D599" s="701">
        <v>45.13</v>
      </c>
      <c r="E599" s="701"/>
      <c r="F599" s="701"/>
      <c r="G599" s="705">
        <v>1941</v>
      </c>
      <c r="H599" s="705" t="str">
        <f t="shared" si="20"/>
        <v>1941</v>
      </c>
      <c r="I599" s="705">
        <v>102</v>
      </c>
      <c r="J599" s="701">
        <v>44.37</v>
      </c>
    </row>
    <row r="600" spans="1:10" ht="12.75" x14ac:dyDescent="0.2">
      <c r="A600" s="700">
        <v>1941</v>
      </c>
      <c r="B600" s="700" t="str">
        <f t="shared" si="19"/>
        <v>1941</v>
      </c>
      <c r="C600" s="700">
        <v>112</v>
      </c>
      <c r="D600" s="701">
        <v>32.47</v>
      </c>
      <c r="E600" s="701"/>
      <c r="F600" s="701"/>
      <c r="G600" s="705">
        <v>1941</v>
      </c>
      <c r="H600" s="705" t="str">
        <f t="shared" si="20"/>
        <v>1941</v>
      </c>
      <c r="I600" s="705">
        <v>111</v>
      </c>
      <c r="J600" s="701">
        <v>45.33</v>
      </c>
    </row>
    <row r="601" spans="1:10" ht="12.75" x14ac:dyDescent="0.2">
      <c r="A601" s="700">
        <v>1941</v>
      </c>
      <c r="B601" s="700" t="str">
        <f t="shared" si="19"/>
        <v>1941</v>
      </c>
      <c r="C601" s="700">
        <v>130</v>
      </c>
      <c r="D601" s="701">
        <v>23.73</v>
      </c>
      <c r="E601" s="701"/>
      <c r="F601" s="701"/>
      <c r="G601" s="705">
        <v>1941</v>
      </c>
      <c r="H601" s="705" t="str">
        <f t="shared" si="20"/>
        <v>1941</v>
      </c>
      <c r="I601" s="705">
        <v>112</v>
      </c>
      <c r="J601" s="701">
        <v>30.5</v>
      </c>
    </row>
    <row r="602" spans="1:10" ht="12.75" x14ac:dyDescent="0.2">
      <c r="A602" s="700">
        <v>1941</v>
      </c>
      <c r="B602" s="700" t="str">
        <f t="shared" si="19"/>
        <v>1941</v>
      </c>
      <c r="C602" s="700">
        <v>254</v>
      </c>
      <c r="D602" s="701">
        <v>2</v>
      </c>
      <c r="E602" s="701"/>
      <c r="F602" s="701"/>
      <c r="G602" s="705">
        <v>1941</v>
      </c>
      <c r="H602" s="705" t="str">
        <f t="shared" si="20"/>
        <v>1941</v>
      </c>
      <c r="I602" s="705">
        <v>130</v>
      </c>
      <c r="J602" s="701">
        <v>24.05</v>
      </c>
    </row>
    <row r="603" spans="1:10" ht="12.75" x14ac:dyDescent="0.2">
      <c r="A603" s="700">
        <v>1941</v>
      </c>
      <c r="B603" s="700" t="str">
        <f t="shared" si="19"/>
        <v>1941</v>
      </c>
      <c r="C603" s="700">
        <v>255</v>
      </c>
      <c r="D603" s="701">
        <v>0.5</v>
      </c>
      <c r="E603" s="701"/>
      <c r="F603" s="701"/>
      <c r="G603" s="705">
        <v>1941</v>
      </c>
      <c r="H603" s="705" t="str">
        <f t="shared" si="20"/>
        <v>1941</v>
      </c>
      <c r="I603" s="705">
        <v>254</v>
      </c>
      <c r="J603" s="701">
        <v>2</v>
      </c>
    </row>
    <row r="604" spans="1:10" ht="12.75" x14ac:dyDescent="0.2">
      <c r="A604" s="700">
        <v>1951</v>
      </c>
      <c r="B604" s="700" t="str">
        <f t="shared" si="19"/>
        <v>1951</v>
      </c>
      <c r="C604" s="700">
        <v>101</v>
      </c>
      <c r="D604" s="701">
        <v>238.04</v>
      </c>
      <c r="E604" s="701"/>
      <c r="F604" s="701"/>
      <c r="G604" s="705">
        <v>1941</v>
      </c>
      <c r="H604" s="705" t="str">
        <f t="shared" si="20"/>
        <v>1941</v>
      </c>
      <c r="I604" s="705">
        <v>255</v>
      </c>
      <c r="J604" s="701">
        <v>0.5</v>
      </c>
    </row>
    <row r="605" spans="1:10" ht="12.75" x14ac:dyDescent="0.2">
      <c r="A605" s="700">
        <v>1951</v>
      </c>
      <c r="B605" s="700" t="str">
        <f t="shared" si="19"/>
        <v>1951</v>
      </c>
      <c r="C605" s="700">
        <v>102</v>
      </c>
      <c r="D605" s="701">
        <v>111.03</v>
      </c>
      <c r="E605" s="701"/>
      <c r="F605" s="701"/>
      <c r="G605" s="705">
        <v>1951</v>
      </c>
      <c r="H605" s="705" t="str">
        <f t="shared" si="20"/>
        <v>1951</v>
      </c>
      <c r="I605" s="705">
        <v>101</v>
      </c>
      <c r="J605" s="701">
        <v>234.55</v>
      </c>
    </row>
    <row r="606" spans="1:10" ht="12.75" x14ac:dyDescent="0.2">
      <c r="A606" s="700">
        <v>1951</v>
      </c>
      <c r="B606" s="700" t="str">
        <f t="shared" si="19"/>
        <v>1951</v>
      </c>
      <c r="C606" s="700">
        <v>111</v>
      </c>
      <c r="D606" s="701">
        <v>25.51</v>
      </c>
      <c r="E606" s="701"/>
      <c r="F606" s="701"/>
      <c r="G606" s="705">
        <v>1951</v>
      </c>
      <c r="H606" s="705" t="str">
        <f t="shared" si="20"/>
        <v>1951</v>
      </c>
      <c r="I606" s="705">
        <v>102</v>
      </c>
      <c r="J606" s="701">
        <v>110.48</v>
      </c>
    </row>
    <row r="607" spans="1:10" ht="12.75" x14ac:dyDescent="0.2">
      <c r="A607" s="700">
        <v>1951</v>
      </c>
      <c r="B607" s="700" t="str">
        <f t="shared" si="19"/>
        <v>1951</v>
      </c>
      <c r="C607" s="700">
        <v>112</v>
      </c>
      <c r="D607" s="701">
        <v>15.5</v>
      </c>
      <c r="E607" s="701"/>
      <c r="F607" s="701"/>
      <c r="G607" s="705">
        <v>1951</v>
      </c>
      <c r="H607" s="705" t="str">
        <f t="shared" si="20"/>
        <v>1951</v>
      </c>
      <c r="I607" s="705">
        <v>111</v>
      </c>
      <c r="J607" s="701">
        <v>27.47</v>
      </c>
    </row>
    <row r="608" spans="1:10" ht="12.75" x14ac:dyDescent="0.2">
      <c r="A608" s="700">
        <v>1951</v>
      </c>
      <c r="B608" s="700" t="str">
        <f t="shared" si="19"/>
        <v>1951</v>
      </c>
      <c r="C608" s="700">
        <v>130</v>
      </c>
      <c r="D608" s="701">
        <v>10.19</v>
      </c>
      <c r="E608" s="701"/>
      <c r="F608" s="701"/>
      <c r="G608" s="705">
        <v>1951</v>
      </c>
      <c r="H608" s="705" t="str">
        <f t="shared" si="20"/>
        <v>1951</v>
      </c>
      <c r="I608" s="705">
        <v>112</v>
      </c>
      <c r="J608" s="701">
        <v>16</v>
      </c>
    </row>
    <row r="609" spans="1:10" ht="12.75" x14ac:dyDescent="0.2">
      <c r="A609" s="700">
        <v>1961</v>
      </c>
      <c r="B609" s="700" t="str">
        <f t="shared" si="19"/>
        <v>1961</v>
      </c>
      <c r="C609" s="700">
        <v>101</v>
      </c>
      <c r="D609" s="701">
        <v>172.65</v>
      </c>
      <c r="E609" s="701"/>
      <c r="F609" s="701"/>
      <c r="G609" s="705">
        <v>1951</v>
      </c>
      <c r="H609" s="705" t="str">
        <f t="shared" si="20"/>
        <v>1951</v>
      </c>
      <c r="I609" s="705">
        <v>130</v>
      </c>
      <c r="J609" s="701">
        <v>10.19</v>
      </c>
    </row>
    <row r="610" spans="1:10" ht="12.75" x14ac:dyDescent="0.2">
      <c r="A610" s="700">
        <v>1961</v>
      </c>
      <c r="B610" s="700" t="str">
        <f t="shared" si="19"/>
        <v>1961</v>
      </c>
      <c r="C610" s="700">
        <v>102</v>
      </c>
      <c r="D610" s="701">
        <v>103.23</v>
      </c>
      <c r="E610" s="701"/>
      <c r="F610" s="701"/>
      <c r="G610" s="705">
        <v>1961</v>
      </c>
      <c r="H610" s="705" t="str">
        <f t="shared" si="20"/>
        <v>1961</v>
      </c>
      <c r="I610" s="705">
        <v>101</v>
      </c>
      <c r="J610" s="701">
        <v>171.72</v>
      </c>
    </row>
    <row r="611" spans="1:10" ht="12.75" x14ac:dyDescent="0.2">
      <c r="A611" s="700">
        <v>1961</v>
      </c>
      <c r="B611" s="700" t="str">
        <f t="shared" si="19"/>
        <v>1961</v>
      </c>
      <c r="C611" s="700">
        <v>111</v>
      </c>
      <c r="D611" s="701">
        <v>64.510000000000005</v>
      </c>
      <c r="E611" s="701"/>
      <c r="F611" s="701"/>
      <c r="G611" s="705">
        <v>1961</v>
      </c>
      <c r="H611" s="705" t="str">
        <f t="shared" si="20"/>
        <v>1961</v>
      </c>
      <c r="I611" s="705">
        <v>102</v>
      </c>
      <c r="J611" s="701">
        <v>104.01</v>
      </c>
    </row>
    <row r="612" spans="1:10" ht="12.75" x14ac:dyDescent="0.2">
      <c r="A612" s="700">
        <v>1961</v>
      </c>
      <c r="B612" s="700" t="str">
        <f t="shared" si="19"/>
        <v>1961</v>
      </c>
      <c r="C612" s="700">
        <v>112</v>
      </c>
      <c r="D612" s="701">
        <v>35</v>
      </c>
      <c r="E612" s="701"/>
      <c r="F612" s="701"/>
      <c r="G612" s="705">
        <v>1961</v>
      </c>
      <c r="H612" s="705" t="str">
        <f t="shared" si="20"/>
        <v>1961</v>
      </c>
      <c r="I612" s="705">
        <v>111</v>
      </c>
      <c r="J612" s="701">
        <v>67.98</v>
      </c>
    </row>
    <row r="613" spans="1:10" ht="12.75" x14ac:dyDescent="0.2">
      <c r="A613" s="700">
        <v>1961</v>
      </c>
      <c r="B613" s="700" t="str">
        <f t="shared" si="19"/>
        <v>1961</v>
      </c>
      <c r="C613" s="700">
        <v>130</v>
      </c>
      <c r="D613" s="701">
        <v>51.52</v>
      </c>
      <c r="E613" s="701"/>
      <c r="F613" s="701"/>
      <c r="G613" s="705">
        <v>1961</v>
      </c>
      <c r="H613" s="705" t="str">
        <f t="shared" si="20"/>
        <v>1961</v>
      </c>
      <c r="I613" s="705">
        <v>112</v>
      </c>
      <c r="J613" s="701">
        <v>33.5</v>
      </c>
    </row>
    <row r="614" spans="1:10" ht="12.75" x14ac:dyDescent="0.2">
      <c r="A614" s="700">
        <v>1961</v>
      </c>
      <c r="B614" s="700" t="str">
        <f t="shared" si="19"/>
        <v>1961</v>
      </c>
      <c r="C614" s="700">
        <v>254</v>
      </c>
      <c r="D614" s="701">
        <v>0.5</v>
      </c>
      <c r="E614" s="701"/>
      <c r="F614" s="701"/>
      <c r="G614" s="705">
        <v>1961</v>
      </c>
      <c r="H614" s="705" t="str">
        <f t="shared" si="20"/>
        <v>1961</v>
      </c>
      <c r="I614" s="705">
        <v>130</v>
      </c>
      <c r="J614" s="701">
        <v>53.14</v>
      </c>
    </row>
    <row r="615" spans="1:10" ht="12.75" x14ac:dyDescent="0.2">
      <c r="A615" s="700">
        <v>1961</v>
      </c>
      <c r="B615" s="700" t="str">
        <f t="shared" si="19"/>
        <v>1961</v>
      </c>
      <c r="C615" s="700">
        <v>255</v>
      </c>
      <c r="D615" s="701">
        <v>0.5</v>
      </c>
      <c r="E615" s="701"/>
      <c r="F615" s="701"/>
      <c r="G615" s="705">
        <v>1961</v>
      </c>
      <c r="H615" s="705" t="str">
        <f t="shared" si="20"/>
        <v>1961</v>
      </c>
      <c r="I615" s="705">
        <v>254</v>
      </c>
      <c r="J615" s="701">
        <v>1.5</v>
      </c>
    </row>
    <row r="616" spans="1:10" ht="12.75" x14ac:dyDescent="0.2">
      <c r="A616" s="700">
        <v>1971</v>
      </c>
      <c r="B616" s="700" t="str">
        <f t="shared" si="19"/>
        <v>1971</v>
      </c>
      <c r="C616" s="700">
        <v>102</v>
      </c>
      <c r="D616" s="701">
        <v>292.56</v>
      </c>
      <c r="E616" s="701"/>
      <c r="F616" s="701"/>
      <c r="G616" s="705">
        <v>1961</v>
      </c>
      <c r="H616" s="705" t="str">
        <f t="shared" si="20"/>
        <v>1961</v>
      </c>
      <c r="I616" s="705">
        <v>255</v>
      </c>
      <c r="J616" s="701">
        <v>0.5</v>
      </c>
    </row>
    <row r="617" spans="1:10" ht="12.75" x14ac:dyDescent="0.2">
      <c r="A617" s="700">
        <v>1971</v>
      </c>
      <c r="B617" s="700" t="str">
        <f t="shared" si="19"/>
        <v>1971</v>
      </c>
      <c r="C617" s="700">
        <v>112</v>
      </c>
      <c r="D617" s="701">
        <v>156.24</v>
      </c>
      <c r="E617" s="701"/>
      <c r="F617" s="701"/>
      <c r="G617" s="705">
        <v>1971</v>
      </c>
      <c r="H617" s="705" t="str">
        <f t="shared" si="20"/>
        <v>1971</v>
      </c>
      <c r="I617" s="705">
        <v>102</v>
      </c>
      <c r="J617" s="701">
        <v>288.52999999999997</v>
      </c>
    </row>
    <row r="618" spans="1:10" ht="12.75" x14ac:dyDescent="0.2">
      <c r="A618" s="700">
        <v>1971</v>
      </c>
      <c r="B618" s="700" t="str">
        <f t="shared" si="19"/>
        <v>1971</v>
      </c>
      <c r="C618" s="700">
        <v>130</v>
      </c>
      <c r="D618" s="701">
        <v>13.81</v>
      </c>
      <c r="E618" s="701"/>
      <c r="F618" s="701"/>
      <c r="G618" s="705">
        <v>1971</v>
      </c>
      <c r="H618" s="705" t="str">
        <f t="shared" si="20"/>
        <v>1971</v>
      </c>
      <c r="I618" s="705">
        <v>112</v>
      </c>
      <c r="J618" s="701">
        <v>152.19</v>
      </c>
    </row>
    <row r="619" spans="1:10" ht="12.75" x14ac:dyDescent="0.2">
      <c r="A619" s="700">
        <v>1971</v>
      </c>
      <c r="B619" s="700" t="str">
        <f t="shared" si="19"/>
        <v>1971</v>
      </c>
      <c r="C619" s="700">
        <v>254</v>
      </c>
      <c r="D619" s="701">
        <v>1.5</v>
      </c>
      <c r="E619" s="701"/>
      <c r="F619" s="701"/>
      <c r="G619" s="705">
        <v>1971</v>
      </c>
      <c r="H619" s="705" t="str">
        <f t="shared" si="20"/>
        <v>1971</v>
      </c>
      <c r="I619" s="705">
        <v>130</v>
      </c>
      <c r="J619" s="701">
        <v>13.41</v>
      </c>
    </row>
    <row r="620" spans="1:10" ht="12.75" x14ac:dyDescent="0.2">
      <c r="A620" s="700">
        <v>1981</v>
      </c>
      <c r="B620" s="700" t="str">
        <f t="shared" si="19"/>
        <v>1981</v>
      </c>
      <c r="C620" s="700">
        <v>102</v>
      </c>
      <c r="D620" s="701">
        <v>234.46</v>
      </c>
      <c r="E620" s="701"/>
      <c r="F620" s="701"/>
      <c r="G620" s="705">
        <v>1971</v>
      </c>
      <c r="H620" s="705" t="str">
        <f t="shared" si="20"/>
        <v>1971</v>
      </c>
      <c r="I620" s="705">
        <v>254</v>
      </c>
      <c r="J620" s="701">
        <v>2</v>
      </c>
    </row>
    <row r="621" spans="1:10" ht="12.75" x14ac:dyDescent="0.2">
      <c r="A621" s="700">
        <v>1981</v>
      </c>
      <c r="B621" s="700" t="str">
        <f t="shared" si="19"/>
        <v>1981</v>
      </c>
      <c r="C621" s="700">
        <v>112</v>
      </c>
      <c r="D621" s="701">
        <v>87.47</v>
      </c>
      <c r="E621" s="701"/>
      <c r="F621" s="701"/>
      <c r="G621" s="705">
        <v>1981</v>
      </c>
      <c r="H621" s="705" t="str">
        <f t="shared" si="20"/>
        <v>1981</v>
      </c>
      <c r="I621" s="705">
        <v>102</v>
      </c>
      <c r="J621" s="701">
        <v>241.98</v>
      </c>
    </row>
    <row r="622" spans="1:10" ht="12.75" x14ac:dyDescent="0.2">
      <c r="A622" s="700">
        <v>1981</v>
      </c>
      <c r="B622" s="700" t="str">
        <f t="shared" si="19"/>
        <v>1981</v>
      </c>
      <c r="C622" s="700">
        <v>130</v>
      </c>
      <c r="D622" s="701">
        <v>48.96</v>
      </c>
      <c r="E622" s="701"/>
      <c r="F622" s="701"/>
      <c r="G622" s="705">
        <v>1981</v>
      </c>
      <c r="H622" s="705" t="str">
        <f t="shared" si="20"/>
        <v>1981</v>
      </c>
      <c r="I622" s="705">
        <v>112</v>
      </c>
      <c r="J622" s="701">
        <v>78</v>
      </c>
    </row>
    <row r="623" spans="1:10" ht="12.75" x14ac:dyDescent="0.2">
      <c r="A623" s="700">
        <v>1981</v>
      </c>
      <c r="B623" s="700" t="str">
        <f t="shared" si="19"/>
        <v>1981</v>
      </c>
      <c r="C623" s="700">
        <v>254</v>
      </c>
      <c r="D623" s="701">
        <v>1</v>
      </c>
      <c r="E623" s="701"/>
      <c r="F623" s="701"/>
      <c r="G623" s="705">
        <v>1981</v>
      </c>
      <c r="H623" s="705" t="str">
        <f t="shared" si="20"/>
        <v>1981</v>
      </c>
      <c r="I623" s="705">
        <v>130</v>
      </c>
      <c r="J623" s="701">
        <v>49.33</v>
      </c>
    </row>
    <row r="624" spans="1:10" ht="12.75" x14ac:dyDescent="0.2">
      <c r="A624" s="700">
        <v>1991</v>
      </c>
      <c r="B624" s="700" t="str">
        <f t="shared" si="19"/>
        <v>1991</v>
      </c>
      <c r="C624" s="700">
        <v>102</v>
      </c>
      <c r="D624" s="701">
        <v>302.68</v>
      </c>
      <c r="E624" s="701"/>
      <c r="F624" s="701"/>
      <c r="G624" s="705">
        <v>1981</v>
      </c>
      <c r="H624" s="705" t="str">
        <f t="shared" si="20"/>
        <v>1981</v>
      </c>
      <c r="I624" s="705">
        <v>254</v>
      </c>
      <c r="J624" s="701">
        <v>1.48</v>
      </c>
    </row>
    <row r="625" spans="1:10" ht="12.75" x14ac:dyDescent="0.2">
      <c r="A625" s="700">
        <v>1991</v>
      </c>
      <c r="B625" s="700" t="str">
        <f t="shared" si="19"/>
        <v>1991</v>
      </c>
      <c r="C625" s="700">
        <v>112</v>
      </c>
      <c r="D625" s="701">
        <v>111.66</v>
      </c>
      <c r="E625" s="701"/>
      <c r="F625" s="701"/>
      <c r="G625" s="705">
        <v>1991</v>
      </c>
      <c r="H625" s="705" t="str">
        <f t="shared" si="20"/>
        <v>1991</v>
      </c>
      <c r="I625" s="705">
        <v>102</v>
      </c>
      <c r="J625" s="701">
        <v>303.68</v>
      </c>
    </row>
    <row r="626" spans="1:10" ht="12.75" x14ac:dyDescent="0.2">
      <c r="A626" s="700">
        <v>1991</v>
      </c>
      <c r="B626" s="700" t="str">
        <f t="shared" si="19"/>
        <v>1991</v>
      </c>
      <c r="C626" s="700">
        <v>130</v>
      </c>
      <c r="D626" s="701">
        <v>53.89</v>
      </c>
      <c r="E626" s="701"/>
      <c r="F626" s="701"/>
      <c r="G626" s="705">
        <v>1991</v>
      </c>
      <c r="H626" s="705" t="str">
        <f t="shared" si="20"/>
        <v>1991</v>
      </c>
      <c r="I626" s="705">
        <v>112</v>
      </c>
      <c r="J626" s="701">
        <v>106.83</v>
      </c>
    </row>
    <row r="627" spans="1:10" ht="12.75" x14ac:dyDescent="0.2">
      <c r="A627" s="700">
        <v>2001</v>
      </c>
      <c r="B627" s="700" t="str">
        <f t="shared" si="19"/>
        <v>2001</v>
      </c>
      <c r="C627" s="700">
        <v>103</v>
      </c>
      <c r="D627" s="701">
        <v>991.79</v>
      </c>
      <c r="E627" s="701"/>
      <c r="F627" s="701"/>
      <c r="G627" s="705">
        <v>1991</v>
      </c>
      <c r="H627" s="705" t="str">
        <f t="shared" si="20"/>
        <v>1991</v>
      </c>
      <c r="I627" s="705">
        <v>130</v>
      </c>
      <c r="J627" s="701">
        <v>56.06</v>
      </c>
    </row>
    <row r="628" spans="1:10" ht="12.75" x14ac:dyDescent="0.2">
      <c r="A628" s="700">
        <v>2001</v>
      </c>
      <c r="B628" s="700" t="str">
        <f t="shared" si="19"/>
        <v>2001</v>
      </c>
      <c r="C628" s="700">
        <v>113</v>
      </c>
      <c r="D628" s="701">
        <v>210.19</v>
      </c>
      <c r="E628" s="701"/>
      <c r="F628" s="701"/>
      <c r="G628" s="705">
        <v>2001</v>
      </c>
      <c r="H628" s="705" t="str">
        <f t="shared" si="20"/>
        <v>2001</v>
      </c>
      <c r="I628" s="705">
        <v>103</v>
      </c>
      <c r="J628" s="701">
        <v>971.47</v>
      </c>
    </row>
    <row r="629" spans="1:10" ht="12.75" x14ac:dyDescent="0.2">
      <c r="A629" s="700">
        <v>2001</v>
      </c>
      <c r="B629" s="700" t="str">
        <f t="shared" si="19"/>
        <v>2001</v>
      </c>
      <c r="C629" s="700">
        <v>130</v>
      </c>
      <c r="D629" s="701">
        <v>21.46</v>
      </c>
      <c r="E629" s="701"/>
      <c r="F629" s="701"/>
      <c r="G629" s="705">
        <v>2001</v>
      </c>
      <c r="H629" s="705" t="str">
        <f t="shared" si="20"/>
        <v>2001</v>
      </c>
      <c r="I629" s="705">
        <v>113</v>
      </c>
      <c r="J629" s="701">
        <v>210.32</v>
      </c>
    </row>
    <row r="630" spans="1:10" ht="12.75" x14ac:dyDescent="0.2">
      <c r="A630" s="700">
        <v>2001</v>
      </c>
      <c r="B630" s="700" t="str">
        <f t="shared" si="19"/>
        <v>2001</v>
      </c>
      <c r="C630" s="700">
        <v>254</v>
      </c>
      <c r="D630" s="701">
        <v>5</v>
      </c>
      <c r="E630" s="701"/>
      <c r="F630" s="701"/>
      <c r="G630" s="705">
        <v>2001</v>
      </c>
      <c r="H630" s="705" t="str">
        <f t="shared" si="20"/>
        <v>2001</v>
      </c>
      <c r="I630" s="705">
        <v>130</v>
      </c>
      <c r="J630" s="701">
        <v>18.88</v>
      </c>
    </row>
    <row r="631" spans="1:10" ht="12.75" x14ac:dyDescent="0.2">
      <c r="A631" s="700">
        <v>2001</v>
      </c>
      <c r="B631" s="700" t="str">
        <f t="shared" si="19"/>
        <v>2001</v>
      </c>
      <c r="C631" s="700">
        <v>255</v>
      </c>
      <c r="D631" s="701">
        <v>0.5</v>
      </c>
      <c r="E631" s="701"/>
      <c r="F631" s="701"/>
      <c r="G631" s="705">
        <v>2001</v>
      </c>
      <c r="H631" s="705" t="str">
        <f t="shared" si="20"/>
        <v>2001</v>
      </c>
      <c r="I631" s="705">
        <v>254</v>
      </c>
      <c r="J631" s="701">
        <v>5.5</v>
      </c>
    </row>
    <row r="632" spans="1:10" ht="12.75" x14ac:dyDescent="0.2">
      <c r="A632" s="700">
        <v>2001</v>
      </c>
      <c r="B632" s="700" t="str">
        <f t="shared" si="19"/>
        <v>2001</v>
      </c>
      <c r="C632" s="700">
        <v>300</v>
      </c>
      <c r="D632" s="701">
        <v>88.96</v>
      </c>
      <c r="E632" s="701"/>
      <c r="F632" s="701"/>
      <c r="G632" s="705">
        <v>2001</v>
      </c>
      <c r="H632" s="705" t="str">
        <f t="shared" si="20"/>
        <v>2001</v>
      </c>
      <c r="I632" s="705">
        <v>255</v>
      </c>
      <c r="J632" s="701">
        <v>0.5</v>
      </c>
    </row>
    <row r="633" spans="1:10" ht="12.75" x14ac:dyDescent="0.2">
      <c r="A633" s="700">
        <v>2011</v>
      </c>
      <c r="B633" s="700" t="str">
        <f t="shared" si="19"/>
        <v>2011</v>
      </c>
      <c r="C633" s="700">
        <v>101</v>
      </c>
      <c r="D633" s="701">
        <v>144.27000000000001</v>
      </c>
      <c r="E633" s="701"/>
      <c r="F633" s="701"/>
      <c r="G633" s="705">
        <v>2001</v>
      </c>
      <c r="H633" s="705" t="str">
        <f t="shared" si="20"/>
        <v>2001</v>
      </c>
      <c r="I633" s="705">
        <v>300</v>
      </c>
      <c r="J633" s="701">
        <v>87.45</v>
      </c>
    </row>
    <row r="634" spans="1:10" ht="12.75" x14ac:dyDescent="0.2">
      <c r="A634" s="700">
        <v>2011</v>
      </c>
      <c r="B634" s="700" t="str">
        <f t="shared" si="19"/>
        <v>2011</v>
      </c>
      <c r="C634" s="700">
        <v>102</v>
      </c>
      <c r="D634" s="701">
        <v>72.819999999999993</v>
      </c>
      <c r="E634" s="701"/>
      <c r="F634" s="701"/>
      <c r="G634" s="705">
        <v>2011</v>
      </c>
      <c r="H634" s="705" t="str">
        <f t="shared" si="20"/>
        <v>2011</v>
      </c>
      <c r="I634" s="705">
        <v>101</v>
      </c>
      <c r="J634" s="701">
        <v>142.88</v>
      </c>
    </row>
    <row r="635" spans="1:10" ht="12.75" x14ac:dyDescent="0.2">
      <c r="A635" s="700">
        <v>2011</v>
      </c>
      <c r="B635" s="700" t="str">
        <f t="shared" si="19"/>
        <v>2011</v>
      </c>
      <c r="C635" s="700">
        <v>111</v>
      </c>
      <c r="D635" s="701">
        <v>81.510000000000005</v>
      </c>
      <c r="E635" s="701"/>
      <c r="F635" s="701"/>
      <c r="G635" s="705">
        <v>2011</v>
      </c>
      <c r="H635" s="705" t="str">
        <f t="shared" si="20"/>
        <v>2011</v>
      </c>
      <c r="I635" s="705">
        <v>102</v>
      </c>
      <c r="J635" s="701">
        <v>76.349999999999994</v>
      </c>
    </row>
    <row r="636" spans="1:10" ht="12.75" x14ac:dyDescent="0.2">
      <c r="A636" s="700">
        <v>2011</v>
      </c>
      <c r="B636" s="700" t="str">
        <f t="shared" si="19"/>
        <v>2011</v>
      </c>
      <c r="C636" s="700">
        <v>112</v>
      </c>
      <c r="D636" s="701">
        <v>51.52</v>
      </c>
      <c r="E636" s="701"/>
      <c r="F636" s="701"/>
      <c r="G636" s="705">
        <v>2011</v>
      </c>
      <c r="H636" s="705" t="str">
        <f t="shared" si="20"/>
        <v>2011</v>
      </c>
      <c r="I636" s="705">
        <v>111</v>
      </c>
      <c r="J636" s="701">
        <v>83.07</v>
      </c>
    </row>
    <row r="637" spans="1:10" ht="12.75" x14ac:dyDescent="0.2">
      <c r="A637" s="700">
        <v>2011</v>
      </c>
      <c r="B637" s="700" t="str">
        <f t="shared" si="19"/>
        <v>2011</v>
      </c>
      <c r="C637" s="700">
        <v>130</v>
      </c>
      <c r="D637" s="701">
        <v>31.94</v>
      </c>
      <c r="E637" s="701"/>
      <c r="F637" s="701"/>
      <c r="G637" s="705">
        <v>2011</v>
      </c>
      <c r="H637" s="705" t="str">
        <f t="shared" si="20"/>
        <v>2011</v>
      </c>
      <c r="I637" s="705">
        <v>112</v>
      </c>
      <c r="J637" s="701">
        <v>50.87</v>
      </c>
    </row>
    <row r="638" spans="1:10" ht="12.75" x14ac:dyDescent="0.2">
      <c r="A638" s="700">
        <v>2011</v>
      </c>
      <c r="B638" s="700" t="str">
        <f t="shared" si="19"/>
        <v>2011</v>
      </c>
      <c r="C638" s="700">
        <v>254</v>
      </c>
      <c r="D638" s="701">
        <v>0.5</v>
      </c>
      <c r="E638" s="701"/>
      <c r="F638" s="701"/>
      <c r="G638" s="705">
        <v>2011</v>
      </c>
      <c r="H638" s="705" t="str">
        <f t="shared" si="20"/>
        <v>2011</v>
      </c>
      <c r="I638" s="705">
        <v>130</v>
      </c>
      <c r="J638" s="701">
        <v>30.72</v>
      </c>
    </row>
    <row r="639" spans="1:10" ht="12.75" x14ac:dyDescent="0.2">
      <c r="A639" s="700">
        <v>2031</v>
      </c>
      <c r="B639" s="700" t="str">
        <f t="shared" si="19"/>
        <v>2031</v>
      </c>
      <c r="C639" s="700">
        <v>101</v>
      </c>
      <c r="D639" s="701">
        <v>176.31</v>
      </c>
      <c r="E639" s="701"/>
      <c r="F639" s="701"/>
      <c r="G639" s="705">
        <v>2011</v>
      </c>
      <c r="H639" s="705" t="str">
        <f t="shared" si="20"/>
        <v>2011</v>
      </c>
      <c r="I639" s="705">
        <v>254</v>
      </c>
      <c r="J639" s="701">
        <v>1</v>
      </c>
    </row>
    <row r="640" spans="1:10" ht="12.75" x14ac:dyDescent="0.2">
      <c r="A640" s="700">
        <v>2031</v>
      </c>
      <c r="B640" s="700" t="str">
        <f t="shared" si="19"/>
        <v>2031</v>
      </c>
      <c r="C640" s="700">
        <v>102</v>
      </c>
      <c r="D640" s="701">
        <v>87.09</v>
      </c>
      <c r="E640" s="701"/>
      <c r="F640" s="701"/>
      <c r="G640" s="705">
        <v>2031</v>
      </c>
      <c r="H640" s="705" t="str">
        <f t="shared" si="20"/>
        <v>2031</v>
      </c>
      <c r="I640" s="705">
        <v>101</v>
      </c>
      <c r="J640" s="701">
        <v>160.13</v>
      </c>
    </row>
    <row r="641" spans="1:10" ht="12.75" x14ac:dyDescent="0.2">
      <c r="A641" s="700">
        <v>2031</v>
      </c>
      <c r="B641" s="700" t="str">
        <f t="shared" si="19"/>
        <v>2031</v>
      </c>
      <c r="C641" s="700">
        <v>111</v>
      </c>
      <c r="D641" s="701">
        <v>80.53</v>
      </c>
      <c r="E641" s="701"/>
      <c r="F641" s="701"/>
      <c r="G641" s="705">
        <v>2031</v>
      </c>
      <c r="H641" s="705" t="str">
        <f t="shared" si="20"/>
        <v>2031</v>
      </c>
      <c r="I641" s="705">
        <v>102</v>
      </c>
      <c r="J641" s="701">
        <v>88.41</v>
      </c>
    </row>
    <row r="642" spans="1:10" ht="12.75" x14ac:dyDescent="0.2">
      <c r="A642" s="700">
        <v>2031</v>
      </c>
      <c r="B642" s="700" t="str">
        <f t="shared" ref="B642:B705" si="21">TEXT(A642,"0000")</f>
        <v>2031</v>
      </c>
      <c r="C642" s="700">
        <v>112</v>
      </c>
      <c r="D642" s="701">
        <v>66.33</v>
      </c>
      <c r="E642" s="701"/>
      <c r="F642" s="701"/>
      <c r="G642" s="705">
        <v>2031</v>
      </c>
      <c r="H642" s="705" t="str">
        <f t="shared" si="20"/>
        <v>2031</v>
      </c>
      <c r="I642" s="705">
        <v>111</v>
      </c>
      <c r="J642" s="701">
        <v>99.55</v>
      </c>
    </row>
    <row r="643" spans="1:10" ht="12.75" x14ac:dyDescent="0.2">
      <c r="A643" s="700">
        <v>2031</v>
      </c>
      <c r="B643" s="700" t="str">
        <f t="shared" si="21"/>
        <v>2031</v>
      </c>
      <c r="C643" s="700">
        <v>130</v>
      </c>
      <c r="D643" s="701">
        <v>24.57</v>
      </c>
      <c r="E643" s="701"/>
      <c r="F643" s="701"/>
      <c r="G643" s="705">
        <v>2031</v>
      </c>
      <c r="H643" s="705" t="str">
        <f t="shared" ref="H643:H706" si="22">TEXT(G643,"0000")</f>
        <v>2031</v>
      </c>
      <c r="I643" s="705">
        <v>112</v>
      </c>
      <c r="J643" s="701">
        <v>64.34</v>
      </c>
    </row>
    <row r="644" spans="1:10" ht="12.75" x14ac:dyDescent="0.2">
      <c r="A644" s="700">
        <v>2031</v>
      </c>
      <c r="B644" s="700" t="str">
        <f t="shared" si="21"/>
        <v>2031</v>
      </c>
      <c r="C644" s="700">
        <v>254</v>
      </c>
      <c r="D644" s="701">
        <v>1.5</v>
      </c>
      <c r="E644" s="701"/>
      <c r="F644" s="701"/>
      <c r="G644" s="705">
        <v>2031</v>
      </c>
      <c r="H644" s="705" t="str">
        <f t="shared" si="22"/>
        <v>2031</v>
      </c>
      <c r="I644" s="705">
        <v>130</v>
      </c>
      <c r="J644" s="701">
        <v>22.95</v>
      </c>
    </row>
    <row r="645" spans="1:10" ht="12.75" x14ac:dyDescent="0.2">
      <c r="A645" s="700">
        <v>2041</v>
      </c>
      <c r="B645" s="700" t="str">
        <f t="shared" si="21"/>
        <v>2041</v>
      </c>
      <c r="C645" s="700">
        <v>102</v>
      </c>
      <c r="D645" s="701">
        <v>164.19</v>
      </c>
      <c r="E645" s="701"/>
      <c r="F645" s="701"/>
      <c r="G645" s="705">
        <v>2031</v>
      </c>
      <c r="H645" s="705" t="str">
        <f t="shared" si="22"/>
        <v>2031</v>
      </c>
      <c r="I645" s="705">
        <v>254</v>
      </c>
      <c r="J645" s="701">
        <v>1.5</v>
      </c>
    </row>
    <row r="646" spans="1:10" ht="12.75" x14ac:dyDescent="0.2">
      <c r="A646" s="700">
        <v>2041</v>
      </c>
      <c r="B646" s="700" t="str">
        <f t="shared" si="21"/>
        <v>2041</v>
      </c>
      <c r="C646" s="700">
        <v>112</v>
      </c>
      <c r="D646" s="701">
        <v>71.239999999999995</v>
      </c>
      <c r="E646" s="701"/>
      <c r="F646" s="701"/>
      <c r="G646" s="705">
        <v>2041</v>
      </c>
      <c r="H646" s="705" t="str">
        <f t="shared" si="22"/>
        <v>2041</v>
      </c>
      <c r="I646" s="705">
        <v>102</v>
      </c>
      <c r="J646" s="701">
        <v>163.82</v>
      </c>
    </row>
    <row r="647" spans="1:10" ht="12.75" x14ac:dyDescent="0.2">
      <c r="A647" s="700">
        <v>2041</v>
      </c>
      <c r="B647" s="700" t="str">
        <f t="shared" si="21"/>
        <v>2041</v>
      </c>
      <c r="C647" s="700">
        <v>130</v>
      </c>
      <c r="D647" s="701">
        <v>57.47</v>
      </c>
      <c r="E647" s="701"/>
      <c r="F647" s="701"/>
      <c r="G647" s="705">
        <v>2041</v>
      </c>
      <c r="H647" s="705" t="str">
        <f t="shared" si="22"/>
        <v>2041</v>
      </c>
      <c r="I647" s="705">
        <v>112</v>
      </c>
      <c r="J647" s="701">
        <v>72.89</v>
      </c>
    </row>
    <row r="648" spans="1:10" ht="12.75" x14ac:dyDescent="0.2">
      <c r="A648" s="700">
        <v>2051</v>
      </c>
      <c r="B648" s="700" t="str">
        <f t="shared" si="21"/>
        <v>2051</v>
      </c>
      <c r="C648" s="700">
        <v>101</v>
      </c>
      <c r="D648" s="701">
        <v>119.24</v>
      </c>
      <c r="E648" s="701"/>
      <c r="F648" s="701"/>
      <c r="G648" s="705">
        <v>2041</v>
      </c>
      <c r="H648" s="705" t="str">
        <f t="shared" si="22"/>
        <v>2041</v>
      </c>
      <c r="I648" s="705">
        <v>130</v>
      </c>
      <c r="J648" s="701">
        <v>53.68</v>
      </c>
    </row>
    <row r="649" spans="1:10" ht="12.75" x14ac:dyDescent="0.2">
      <c r="A649" s="700">
        <v>2051</v>
      </c>
      <c r="B649" s="700" t="str">
        <f t="shared" si="21"/>
        <v>2051</v>
      </c>
      <c r="C649" s="700">
        <v>102</v>
      </c>
      <c r="D649" s="701">
        <v>55.92</v>
      </c>
      <c r="E649" s="701"/>
      <c r="F649" s="701"/>
      <c r="G649" s="705">
        <v>2051</v>
      </c>
      <c r="H649" s="705" t="str">
        <f t="shared" si="22"/>
        <v>2051</v>
      </c>
      <c r="I649" s="705">
        <v>101</v>
      </c>
      <c r="J649" s="701">
        <v>112.94</v>
      </c>
    </row>
    <row r="650" spans="1:10" ht="12.75" x14ac:dyDescent="0.2">
      <c r="A650" s="700">
        <v>2051</v>
      </c>
      <c r="B650" s="700" t="str">
        <f t="shared" si="21"/>
        <v>2051</v>
      </c>
      <c r="C650" s="700">
        <v>111</v>
      </c>
      <c r="D650" s="701">
        <v>56.59</v>
      </c>
      <c r="E650" s="701"/>
      <c r="F650" s="701"/>
      <c r="G650" s="705">
        <v>2051</v>
      </c>
      <c r="H650" s="705" t="str">
        <f t="shared" si="22"/>
        <v>2051</v>
      </c>
      <c r="I650" s="705">
        <v>102</v>
      </c>
      <c r="J650" s="701">
        <v>53.21</v>
      </c>
    </row>
    <row r="651" spans="1:10" ht="12.75" x14ac:dyDescent="0.2">
      <c r="A651" s="700">
        <v>2051</v>
      </c>
      <c r="B651" s="700" t="str">
        <f t="shared" si="21"/>
        <v>2051</v>
      </c>
      <c r="C651" s="700">
        <v>112</v>
      </c>
      <c r="D651" s="701">
        <v>30.5</v>
      </c>
      <c r="E651" s="701"/>
      <c r="F651" s="701"/>
      <c r="G651" s="705">
        <v>2051</v>
      </c>
      <c r="H651" s="705" t="str">
        <f t="shared" si="22"/>
        <v>2051</v>
      </c>
      <c r="I651" s="705">
        <v>111</v>
      </c>
      <c r="J651" s="701">
        <v>56.69</v>
      </c>
    </row>
    <row r="652" spans="1:10" ht="12.75" x14ac:dyDescent="0.2">
      <c r="A652" s="700">
        <v>2051</v>
      </c>
      <c r="B652" s="700" t="str">
        <f t="shared" si="21"/>
        <v>2051</v>
      </c>
      <c r="C652" s="700">
        <v>130</v>
      </c>
      <c r="D652" s="701">
        <v>42.78</v>
      </c>
      <c r="E652" s="701"/>
      <c r="F652" s="701"/>
      <c r="G652" s="705">
        <v>2051</v>
      </c>
      <c r="H652" s="705" t="str">
        <f t="shared" si="22"/>
        <v>2051</v>
      </c>
      <c r="I652" s="705">
        <v>112</v>
      </c>
      <c r="J652" s="701">
        <v>30.5</v>
      </c>
    </row>
    <row r="653" spans="1:10" ht="12.75" x14ac:dyDescent="0.2">
      <c r="A653" s="700">
        <v>2051</v>
      </c>
      <c r="B653" s="700" t="str">
        <f t="shared" si="21"/>
        <v>2051</v>
      </c>
      <c r="C653" s="700">
        <v>254</v>
      </c>
      <c r="D653" s="701">
        <v>2</v>
      </c>
      <c r="E653" s="701"/>
      <c r="F653" s="701"/>
      <c r="G653" s="705">
        <v>2051</v>
      </c>
      <c r="H653" s="705" t="str">
        <f t="shared" si="22"/>
        <v>2051</v>
      </c>
      <c r="I653" s="705">
        <v>130</v>
      </c>
      <c r="J653" s="701">
        <v>44.87</v>
      </c>
    </row>
    <row r="654" spans="1:10" ht="12.75" x14ac:dyDescent="0.2">
      <c r="A654" s="700">
        <v>2071</v>
      </c>
      <c r="B654" s="700" t="str">
        <f t="shared" si="21"/>
        <v>2071</v>
      </c>
      <c r="C654" s="700">
        <v>101</v>
      </c>
      <c r="D654" s="701">
        <v>209.81</v>
      </c>
      <c r="E654" s="701"/>
      <c r="F654" s="701"/>
      <c r="G654" s="705">
        <v>2051</v>
      </c>
      <c r="H654" s="705" t="str">
        <f t="shared" si="22"/>
        <v>2051</v>
      </c>
      <c r="I654" s="705">
        <v>254</v>
      </c>
      <c r="J654" s="701">
        <v>1</v>
      </c>
    </row>
    <row r="655" spans="1:10" ht="12.75" x14ac:dyDescent="0.2">
      <c r="A655" s="700">
        <v>2071</v>
      </c>
      <c r="B655" s="700" t="str">
        <f t="shared" si="21"/>
        <v>2071</v>
      </c>
      <c r="C655" s="700">
        <v>102</v>
      </c>
      <c r="D655" s="701">
        <v>92.65</v>
      </c>
      <c r="E655" s="701"/>
      <c r="F655" s="701"/>
      <c r="G655" s="705">
        <v>2071</v>
      </c>
      <c r="H655" s="705" t="str">
        <f t="shared" si="22"/>
        <v>2071</v>
      </c>
      <c r="I655" s="705">
        <v>101</v>
      </c>
      <c r="J655" s="701">
        <v>208.6</v>
      </c>
    </row>
    <row r="656" spans="1:10" ht="12.75" x14ac:dyDescent="0.2">
      <c r="A656" s="700">
        <v>2071</v>
      </c>
      <c r="B656" s="700" t="str">
        <f t="shared" si="21"/>
        <v>2071</v>
      </c>
      <c r="C656" s="700">
        <v>111</v>
      </c>
      <c r="D656" s="701">
        <v>104.11</v>
      </c>
      <c r="E656" s="701"/>
      <c r="F656" s="701"/>
      <c r="G656" s="705">
        <v>2071</v>
      </c>
      <c r="H656" s="705" t="str">
        <f t="shared" si="22"/>
        <v>2071</v>
      </c>
      <c r="I656" s="705">
        <v>102</v>
      </c>
      <c r="J656" s="701">
        <v>91.57</v>
      </c>
    </row>
    <row r="657" spans="1:10" ht="12.75" x14ac:dyDescent="0.2">
      <c r="A657" s="700">
        <v>2071</v>
      </c>
      <c r="B657" s="700" t="str">
        <f t="shared" si="21"/>
        <v>2071</v>
      </c>
      <c r="C657" s="700">
        <v>112</v>
      </c>
      <c r="D657" s="701">
        <v>43.01</v>
      </c>
      <c r="E657" s="701"/>
      <c r="F657" s="701"/>
      <c r="G657" s="705">
        <v>2071</v>
      </c>
      <c r="H657" s="705" t="str">
        <f t="shared" si="22"/>
        <v>2071</v>
      </c>
      <c r="I657" s="705">
        <v>111</v>
      </c>
      <c r="J657" s="701">
        <v>116.03</v>
      </c>
    </row>
    <row r="658" spans="1:10" ht="12.75" x14ac:dyDescent="0.2">
      <c r="A658" s="700">
        <v>2071</v>
      </c>
      <c r="B658" s="700" t="str">
        <f t="shared" si="21"/>
        <v>2071</v>
      </c>
      <c r="C658" s="700">
        <v>130</v>
      </c>
      <c r="D658" s="701">
        <v>62.45</v>
      </c>
      <c r="E658" s="701"/>
      <c r="F658" s="701"/>
      <c r="G658" s="705">
        <v>2071</v>
      </c>
      <c r="H658" s="705" t="str">
        <f t="shared" si="22"/>
        <v>2071</v>
      </c>
      <c r="I658" s="705">
        <v>112</v>
      </c>
      <c r="J658" s="701">
        <v>42.97</v>
      </c>
    </row>
    <row r="659" spans="1:10" ht="12.75" x14ac:dyDescent="0.2">
      <c r="A659" s="700">
        <v>2081</v>
      </c>
      <c r="B659" s="700" t="str">
        <f t="shared" si="21"/>
        <v>2081</v>
      </c>
      <c r="C659" s="700">
        <v>101</v>
      </c>
      <c r="D659" s="701">
        <v>142.69999999999999</v>
      </c>
      <c r="E659" s="701"/>
      <c r="F659" s="701"/>
      <c r="G659" s="705">
        <v>2071</v>
      </c>
      <c r="H659" s="705" t="str">
        <f t="shared" si="22"/>
        <v>2071</v>
      </c>
      <c r="I659" s="705">
        <v>130</v>
      </c>
      <c r="J659" s="701">
        <v>61.18</v>
      </c>
    </row>
    <row r="660" spans="1:10" ht="12.75" x14ac:dyDescent="0.2">
      <c r="A660" s="700">
        <v>2081</v>
      </c>
      <c r="B660" s="700" t="str">
        <f t="shared" si="21"/>
        <v>2081</v>
      </c>
      <c r="C660" s="700">
        <v>102</v>
      </c>
      <c r="D660" s="701">
        <v>103.24</v>
      </c>
      <c r="E660" s="701"/>
      <c r="F660" s="701"/>
      <c r="G660" s="705">
        <v>2081</v>
      </c>
      <c r="H660" s="705" t="str">
        <f t="shared" si="22"/>
        <v>2081</v>
      </c>
      <c r="I660" s="705">
        <v>101</v>
      </c>
      <c r="J660" s="701">
        <v>140.78</v>
      </c>
    </row>
    <row r="661" spans="1:10" ht="12.75" x14ac:dyDescent="0.2">
      <c r="A661" s="700">
        <v>2081</v>
      </c>
      <c r="B661" s="700" t="str">
        <f t="shared" si="21"/>
        <v>2081</v>
      </c>
      <c r="C661" s="700">
        <v>111</v>
      </c>
      <c r="D661" s="701">
        <v>60.03</v>
      </c>
      <c r="E661" s="701"/>
      <c r="F661" s="701"/>
      <c r="G661" s="705">
        <v>2081</v>
      </c>
      <c r="H661" s="705" t="str">
        <f t="shared" si="22"/>
        <v>2081</v>
      </c>
      <c r="I661" s="705">
        <v>102</v>
      </c>
      <c r="J661" s="701">
        <v>102.62</v>
      </c>
    </row>
    <row r="662" spans="1:10" ht="12.75" x14ac:dyDescent="0.2">
      <c r="A662" s="700">
        <v>2081</v>
      </c>
      <c r="B662" s="700" t="str">
        <f t="shared" si="21"/>
        <v>2081</v>
      </c>
      <c r="C662" s="700">
        <v>112</v>
      </c>
      <c r="D662" s="701">
        <v>25.96</v>
      </c>
      <c r="E662" s="701"/>
      <c r="F662" s="701"/>
      <c r="G662" s="705">
        <v>2081</v>
      </c>
      <c r="H662" s="705" t="str">
        <f t="shared" si="22"/>
        <v>2081</v>
      </c>
      <c r="I662" s="705">
        <v>111</v>
      </c>
      <c r="J662" s="701">
        <v>65.25</v>
      </c>
    </row>
    <row r="663" spans="1:10" ht="12.75" x14ac:dyDescent="0.2">
      <c r="A663" s="700">
        <v>2081</v>
      </c>
      <c r="B663" s="700" t="str">
        <f t="shared" si="21"/>
        <v>2081</v>
      </c>
      <c r="C663" s="700">
        <v>130</v>
      </c>
      <c r="D663" s="701">
        <v>112.53</v>
      </c>
      <c r="E663" s="701"/>
      <c r="F663" s="701"/>
      <c r="G663" s="705">
        <v>2081</v>
      </c>
      <c r="H663" s="705" t="str">
        <f t="shared" si="22"/>
        <v>2081</v>
      </c>
      <c r="I663" s="705">
        <v>112</v>
      </c>
      <c r="J663" s="701">
        <v>28.95</v>
      </c>
    </row>
    <row r="664" spans="1:10" ht="12.75" x14ac:dyDescent="0.2">
      <c r="A664" s="700">
        <v>2081</v>
      </c>
      <c r="B664" s="700" t="str">
        <f t="shared" si="21"/>
        <v>2081</v>
      </c>
      <c r="C664" s="700">
        <v>254</v>
      </c>
      <c r="D664" s="701">
        <v>0.84</v>
      </c>
      <c r="E664" s="701"/>
      <c r="F664" s="701"/>
      <c r="G664" s="705">
        <v>2081</v>
      </c>
      <c r="H664" s="705" t="str">
        <f t="shared" si="22"/>
        <v>2081</v>
      </c>
      <c r="I664" s="705">
        <v>130</v>
      </c>
      <c r="J664" s="701">
        <v>110.94</v>
      </c>
    </row>
    <row r="665" spans="1:10" ht="12.75" x14ac:dyDescent="0.2">
      <c r="A665" s="700">
        <v>2091</v>
      </c>
      <c r="B665" s="700" t="str">
        <f t="shared" si="21"/>
        <v>2091</v>
      </c>
      <c r="C665" s="700">
        <v>101</v>
      </c>
      <c r="D665" s="701">
        <v>152.55000000000001</v>
      </c>
      <c r="E665" s="701"/>
      <c r="F665" s="701"/>
      <c r="G665" s="705">
        <v>2081</v>
      </c>
      <c r="H665" s="705" t="str">
        <f t="shared" si="22"/>
        <v>2081</v>
      </c>
      <c r="I665" s="705">
        <v>254</v>
      </c>
      <c r="J665" s="701">
        <v>0.84</v>
      </c>
    </row>
    <row r="666" spans="1:10" ht="12.75" x14ac:dyDescent="0.2">
      <c r="A666" s="700">
        <v>2091</v>
      </c>
      <c r="B666" s="700" t="str">
        <f t="shared" si="21"/>
        <v>2091</v>
      </c>
      <c r="C666" s="700">
        <v>102</v>
      </c>
      <c r="D666" s="701">
        <v>73.099999999999994</v>
      </c>
      <c r="E666" s="701"/>
      <c r="F666" s="701"/>
      <c r="G666" s="705">
        <v>2091</v>
      </c>
      <c r="H666" s="705" t="str">
        <f t="shared" si="22"/>
        <v>2091</v>
      </c>
      <c r="I666" s="705">
        <v>101</v>
      </c>
      <c r="J666" s="701">
        <v>149.88</v>
      </c>
    </row>
    <row r="667" spans="1:10" ht="12.75" x14ac:dyDescent="0.2">
      <c r="A667" s="700">
        <v>2091</v>
      </c>
      <c r="B667" s="700" t="str">
        <f t="shared" si="21"/>
        <v>2091</v>
      </c>
      <c r="C667" s="700">
        <v>111</v>
      </c>
      <c r="D667" s="701">
        <v>37.54</v>
      </c>
      <c r="E667" s="701"/>
      <c r="F667" s="701"/>
      <c r="G667" s="705">
        <v>2091</v>
      </c>
      <c r="H667" s="705" t="str">
        <f t="shared" si="22"/>
        <v>2091</v>
      </c>
      <c r="I667" s="705">
        <v>102</v>
      </c>
      <c r="J667" s="701">
        <v>75.599999999999994</v>
      </c>
    </row>
    <row r="668" spans="1:10" ht="12.75" x14ac:dyDescent="0.2">
      <c r="A668" s="700">
        <v>2091</v>
      </c>
      <c r="B668" s="700" t="str">
        <f t="shared" si="21"/>
        <v>2091</v>
      </c>
      <c r="C668" s="700">
        <v>112</v>
      </c>
      <c r="D668" s="701">
        <v>35</v>
      </c>
      <c r="E668" s="701"/>
      <c r="F668" s="701"/>
      <c r="G668" s="705">
        <v>2091</v>
      </c>
      <c r="H668" s="705" t="str">
        <f t="shared" si="22"/>
        <v>2091</v>
      </c>
      <c r="I668" s="705">
        <v>111</v>
      </c>
      <c r="J668" s="701">
        <v>41.04</v>
      </c>
    </row>
    <row r="669" spans="1:10" ht="12.75" x14ac:dyDescent="0.2">
      <c r="A669" s="700">
        <v>2091</v>
      </c>
      <c r="B669" s="700" t="str">
        <f t="shared" si="21"/>
        <v>2091</v>
      </c>
      <c r="C669" s="700">
        <v>130</v>
      </c>
      <c r="D669" s="701">
        <v>1.21</v>
      </c>
      <c r="E669" s="701"/>
      <c r="F669" s="701"/>
      <c r="G669" s="705">
        <v>2091</v>
      </c>
      <c r="H669" s="705" t="str">
        <f t="shared" si="22"/>
        <v>2091</v>
      </c>
      <c r="I669" s="705">
        <v>112</v>
      </c>
      <c r="J669" s="701">
        <v>34</v>
      </c>
    </row>
    <row r="670" spans="1:10" ht="12.75" x14ac:dyDescent="0.2">
      <c r="A670" s="700">
        <v>2101</v>
      </c>
      <c r="B670" s="700" t="str">
        <f t="shared" si="21"/>
        <v>2101</v>
      </c>
      <c r="C670" s="700">
        <v>101</v>
      </c>
      <c r="D670" s="701">
        <v>89.06</v>
      </c>
      <c r="E670" s="701"/>
      <c r="F670" s="701"/>
      <c r="G670" s="705">
        <v>2091</v>
      </c>
      <c r="H670" s="705" t="str">
        <f t="shared" si="22"/>
        <v>2091</v>
      </c>
      <c r="I670" s="705">
        <v>130</v>
      </c>
      <c r="J670" s="701">
        <v>1.21</v>
      </c>
    </row>
    <row r="671" spans="1:10" ht="12.75" x14ac:dyDescent="0.2">
      <c r="A671" s="700">
        <v>2101</v>
      </c>
      <c r="B671" s="700" t="str">
        <f t="shared" si="21"/>
        <v>2101</v>
      </c>
      <c r="C671" s="700">
        <v>102</v>
      </c>
      <c r="D671" s="701">
        <v>48.6</v>
      </c>
      <c r="E671" s="701"/>
      <c r="F671" s="701"/>
      <c r="G671" s="705">
        <v>2101</v>
      </c>
      <c r="H671" s="705" t="str">
        <f t="shared" si="22"/>
        <v>2101</v>
      </c>
      <c r="I671" s="705">
        <v>101</v>
      </c>
      <c r="J671" s="701">
        <v>84.23</v>
      </c>
    </row>
    <row r="672" spans="1:10" ht="12.75" x14ac:dyDescent="0.2">
      <c r="A672" s="700">
        <v>2101</v>
      </c>
      <c r="B672" s="700" t="str">
        <f t="shared" si="21"/>
        <v>2101</v>
      </c>
      <c r="C672" s="700">
        <v>111</v>
      </c>
      <c r="D672" s="701">
        <v>27.75</v>
      </c>
      <c r="E672" s="701"/>
      <c r="F672" s="701"/>
      <c r="G672" s="705">
        <v>2101</v>
      </c>
      <c r="H672" s="705" t="str">
        <f t="shared" si="22"/>
        <v>2101</v>
      </c>
      <c r="I672" s="705">
        <v>102</v>
      </c>
      <c r="J672" s="701">
        <v>46.5</v>
      </c>
    </row>
    <row r="673" spans="1:10" ht="12.75" x14ac:dyDescent="0.2">
      <c r="A673" s="700">
        <v>2101</v>
      </c>
      <c r="B673" s="700" t="str">
        <f t="shared" si="21"/>
        <v>2101</v>
      </c>
      <c r="C673" s="700">
        <v>112</v>
      </c>
      <c r="D673" s="701">
        <v>19.02</v>
      </c>
      <c r="E673" s="701"/>
      <c r="F673" s="701"/>
      <c r="G673" s="705">
        <v>2101</v>
      </c>
      <c r="H673" s="705" t="str">
        <f t="shared" si="22"/>
        <v>2101</v>
      </c>
      <c r="I673" s="705">
        <v>111</v>
      </c>
      <c r="J673" s="701">
        <v>37.11</v>
      </c>
    </row>
    <row r="674" spans="1:10" ht="12.75" x14ac:dyDescent="0.2">
      <c r="A674" s="700">
        <v>2101</v>
      </c>
      <c r="B674" s="700" t="str">
        <f t="shared" si="21"/>
        <v>2101</v>
      </c>
      <c r="C674" s="700">
        <v>130</v>
      </c>
      <c r="D674" s="701">
        <v>57.16</v>
      </c>
      <c r="E674" s="701"/>
      <c r="F674" s="701"/>
      <c r="G674" s="705">
        <v>2101</v>
      </c>
      <c r="H674" s="705" t="str">
        <f t="shared" si="22"/>
        <v>2101</v>
      </c>
      <c r="I674" s="705">
        <v>112</v>
      </c>
      <c r="J674" s="701">
        <v>16.989999999999998</v>
      </c>
    </row>
    <row r="675" spans="1:10" ht="12.75" x14ac:dyDescent="0.2">
      <c r="A675" s="700">
        <v>2101</v>
      </c>
      <c r="B675" s="700" t="str">
        <f t="shared" si="21"/>
        <v>2101</v>
      </c>
      <c r="C675" s="700">
        <v>254</v>
      </c>
      <c r="D675" s="701">
        <v>1.75</v>
      </c>
      <c r="E675" s="701"/>
      <c r="F675" s="701"/>
      <c r="G675" s="705">
        <v>2101</v>
      </c>
      <c r="H675" s="705" t="str">
        <f t="shared" si="22"/>
        <v>2101</v>
      </c>
      <c r="I675" s="705">
        <v>130</v>
      </c>
      <c r="J675" s="701">
        <v>56.74</v>
      </c>
    </row>
    <row r="676" spans="1:10" ht="12.75" x14ac:dyDescent="0.2">
      <c r="A676" s="700">
        <v>2121</v>
      </c>
      <c r="B676" s="700" t="str">
        <f t="shared" si="21"/>
        <v>2121</v>
      </c>
      <c r="C676" s="700">
        <v>101</v>
      </c>
      <c r="D676" s="701">
        <v>174.74</v>
      </c>
      <c r="E676" s="701"/>
      <c r="F676" s="701"/>
      <c r="G676" s="705">
        <v>2101</v>
      </c>
      <c r="H676" s="705" t="str">
        <f t="shared" si="22"/>
        <v>2101</v>
      </c>
      <c r="I676" s="705">
        <v>254</v>
      </c>
      <c r="J676" s="701">
        <v>1.75</v>
      </c>
    </row>
    <row r="677" spans="1:10" ht="12.75" x14ac:dyDescent="0.2">
      <c r="A677" s="700">
        <v>2121</v>
      </c>
      <c r="B677" s="700" t="str">
        <f t="shared" si="21"/>
        <v>2121</v>
      </c>
      <c r="C677" s="700">
        <v>102</v>
      </c>
      <c r="D677" s="701">
        <v>81.28</v>
      </c>
      <c r="E677" s="701"/>
      <c r="F677" s="701"/>
      <c r="G677" s="705">
        <v>2121</v>
      </c>
      <c r="H677" s="705" t="str">
        <f t="shared" si="22"/>
        <v>2121</v>
      </c>
      <c r="I677" s="705">
        <v>101</v>
      </c>
      <c r="J677" s="701">
        <v>167.31</v>
      </c>
    </row>
    <row r="678" spans="1:10" ht="12.75" x14ac:dyDescent="0.2">
      <c r="A678" s="700">
        <v>2121</v>
      </c>
      <c r="B678" s="700" t="str">
        <f t="shared" si="21"/>
        <v>2121</v>
      </c>
      <c r="C678" s="700">
        <v>111</v>
      </c>
      <c r="D678" s="701">
        <v>65.52</v>
      </c>
      <c r="E678" s="701"/>
      <c r="F678" s="701"/>
      <c r="G678" s="705">
        <v>2121</v>
      </c>
      <c r="H678" s="705" t="str">
        <f t="shared" si="22"/>
        <v>2121</v>
      </c>
      <c r="I678" s="705">
        <v>102</v>
      </c>
      <c r="J678" s="701">
        <v>79.290000000000006</v>
      </c>
    </row>
    <row r="679" spans="1:10" ht="12.75" x14ac:dyDescent="0.2">
      <c r="A679" s="700">
        <v>2121</v>
      </c>
      <c r="B679" s="700" t="str">
        <f t="shared" si="21"/>
        <v>2121</v>
      </c>
      <c r="C679" s="700">
        <v>112</v>
      </c>
      <c r="D679" s="701">
        <v>38.01</v>
      </c>
      <c r="E679" s="701"/>
      <c r="F679" s="701"/>
      <c r="G679" s="705">
        <v>2121</v>
      </c>
      <c r="H679" s="705" t="str">
        <f t="shared" si="22"/>
        <v>2121</v>
      </c>
      <c r="I679" s="705">
        <v>111</v>
      </c>
      <c r="J679" s="701">
        <v>67.510000000000005</v>
      </c>
    </row>
    <row r="680" spans="1:10" ht="12.75" x14ac:dyDescent="0.2">
      <c r="A680" s="700">
        <v>2121</v>
      </c>
      <c r="B680" s="700" t="str">
        <f t="shared" si="21"/>
        <v>2121</v>
      </c>
      <c r="C680" s="700">
        <v>130</v>
      </c>
      <c r="D680" s="701">
        <v>24.95</v>
      </c>
      <c r="E680" s="701"/>
      <c r="F680" s="701"/>
      <c r="G680" s="705">
        <v>2121</v>
      </c>
      <c r="H680" s="705" t="str">
        <f t="shared" si="22"/>
        <v>2121</v>
      </c>
      <c r="I680" s="705">
        <v>112</v>
      </c>
      <c r="J680" s="701">
        <v>37.99</v>
      </c>
    </row>
    <row r="681" spans="1:10" ht="12.75" x14ac:dyDescent="0.2">
      <c r="A681" s="700">
        <v>2121</v>
      </c>
      <c r="B681" s="700" t="str">
        <f t="shared" si="21"/>
        <v>2121</v>
      </c>
      <c r="C681" s="700">
        <v>255</v>
      </c>
      <c r="D681" s="701">
        <v>0.5</v>
      </c>
      <c r="E681" s="701"/>
      <c r="F681" s="701"/>
      <c r="G681" s="705">
        <v>2121</v>
      </c>
      <c r="H681" s="705" t="str">
        <f t="shared" si="22"/>
        <v>2121</v>
      </c>
      <c r="I681" s="705">
        <v>130</v>
      </c>
      <c r="J681" s="701">
        <v>24.46</v>
      </c>
    </row>
    <row r="682" spans="1:10" ht="12.75" x14ac:dyDescent="0.2">
      <c r="A682" s="700">
        <v>2131</v>
      </c>
      <c r="B682" s="700" t="str">
        <f t="shared" si="21"/>
        <v>2131</v>
      </c>
      <c r="C682" s="700">
        <v>102</v>
      </c>
      <c r="D682" s="701">
        <v>302.94</v>
      </c>
      <c r="E682" s="701"/>
      <c r="F682" s="701"/>
      <c r="G682" s="705">
        <v>2121</v>
      </c>
      <c r="H682" s="705" t="str">
        <f t="shared" si="22"/>
        <v>2121</v>
      </c>
      <c r="I682" s="705">
        <v>254</v>
      </c>
      <c r="J682" s="701">
        <v>0.5</v>
      </c>
    </row>
    <row r="683" spans="1:10" ht="12.75" x14ac:dyDescent="0.2">
      <c r="A683" s="700">
        <v>2131</v>
      </c>
      <c r="B683" s="700" t="str">
        <f t="shared" si="21"/>
        <v>2131</v>
      </c>
      <c r="C683" s="700">
        <v>112</v>
      </c>
      <c r="D683" s="701">
        <v>78.47</v>
      </c>
      <c r="E683" s="701"/>
      <c r="F683" s="701"/>
      <c r="G683" s="705">
        <v>2121</v>
      </c>
      <c r="H683" s="705" t="str">
        <f t="shared" si="22"/>
        <v>2121</v>
      </c>
      <c r="I683" s="705">
        <v>255</v>
      </c>
      <c r="J683" s="701">
        <v>0</v>
      </c>
    </row>
    <row r="684" spans="1:10" ht="12.75" x14ac:dyDescent="0.2">
      <c r="A684" s="700">
        <v>2131</v>
      </c>
      <c r="B684" s="700" t="str">
        <f t="shared" si="21"/>
        <v>2131</v>
      </c>
      <c r="C684" s="700">
        <v>130</v>
      </c>
      <c r="D684" s="701">
        <v>99.54</v>
      </c>
      <c r="E684" s="701"/>
      <c r="F684" s="701"/>
      <c r="G684" s="705">
        <v>2131</v>
      </c>
      <c r="H684" s="705" t="str">
        <f t="shared" si="22"/>
        <v>2131</v>
      </c>
      <c r="I684" s="705">
        <v>102</v>
      </c>
      <c r="J684" s="701">
        <v>295.92</v>
      </c>
    </row>
    <row r="685" spans="1:10" ht="12.75" x14ac:dyDescent="0.2">
      <c r="A685" s="700">
        <v>2131</v>
      </c>
      <c r="B685" s="700" t="str">
        <f t="shared" si="21"/>
        <v>2131</v>
      </c>
      <c r="C685" s="700">
        <v>254</v>
      </c>
      <c r="D685" s="701">
        <v>0.5</v>
      </c>
      <c r="E685" s="701"/>
      <c r="F685" s="701"/>
      <c r="G685" s="705">
        <v>2131</v>
      </c>
      <c r="H685" s="705" t="str">
        <f t="shared" si="22"/>
        <v>2131</v>
      </c>
      <c r="I685" s="705">
        <v>112</v>
      </c>
      <c r="J685" s="701">
        <v>75.510000000000005</v>
      </c>
    </row>
    <row r="686" spans="1:10" ht="12.75" x14ac:dyDescent="0.2">
      <c r="A686" s="700">
        <v>2141</v>
      </c>
      <c r="B686" s="700" t="str">
        <f t="shared" si="21"/>
        <v>2141</v>
      </c>
      <c r="C686" s="700">
        <v>101</v>
      </c>
      <c r="D686" s="701">
        <v>108.44</v>
      </c>
      <c r="E686" s="701"/>
      <c r="F686" s="701"/>
      <c r="G686" s="705">
        <v>2131</v>
      </c>
      <c r="H686" s="705" t="str">
        <f t="shared" si="22"/>
        <v>2131</v>
      </c>
      <c r="I686" s="705">
        <v>130</v>
      </c>
      <c r="J686" s="701">
        <v>91.87</v>
      </c>
    </row>
    <row r="687" spans="1:10" ht="12.75" x14ac:dyDescent="0.2">
      <c r="A687" s="700">
        <v>2141</v>
      </c>
      <c r="B687" s="700" t="str">
        <f t="shared" si="21"/>
        <v>2141</v>
      </c>
      <c r="C687" s="700">
        <v>102</v>
      </c>
      <c r="D687" s="701">
        <v>59.07</v>
      </c>
      <c r="E687" s="701"/>
      <c r="F687" s="701"/>
      <c r="G687" s="705">
        <v>2131</v>
      </c>
      <c r="H687" s="705" t="str">
        <f t="shared" si="22"/>
        <v>2131</v>
      </c>
      <c r="I687" s="705">
        <v>254</v>
      </c>
      <c r="J687" s="701">
        <v>0.5</v>
      </c>
    </row>
    <row r="688" spans="1:10" ht="12.75" x14ac:dyDescent="0.2">
      <c r="A688" s="700">
        <v>2141</v>
      </c>
      <c r="B688" s="700" t="str">
        <f t="shared" si="21"/>
        <v>2141</v>
      </c>
      <c r="C688" s="700">
        <v>111</v>
      </c>
      <c r="D688" s="701">
        <v>56.01</v>
      </c>
      <c r="E688" s="701"/>
      <c r="F688" s="701"/>
      <c r="G688" s="705">
        <v>2141</v>
      </c>
      <c r="H688" s="705" t="str">
        <f t="shared" si="22"/>
        <v>2141</v>
      </c>
      <c r="I688" s="705">
        <v>101</v>
      </c>
      <c r="J688" s="701">
        <v>108.95</v>
      </c>
    </row>
    <row r="689" spans="1:10" ht="12.75" x14ac:dyDescent="0.2">
      <c r="A689" s="700">
        <v>2141</v>
      </c>
      <c r="B689" s="700" t="str">
        <f t="shared" si="21"/>
        <v>2141</v>
      </c>
      <c r="C689" s="700">
        <v>112</v>
      </c>
      <c r="D689" s="701">
        <v>25.06</v>
      </c>
      <c r="E689" s="701"/>
      <c r="F689" s="701"/>
      <c r="G689" s="705">
        <v>2141</v>
      </c>
      <c r="H689" s="705" t="str">
        <f t="shared" si="22"/>
        <v>2141</v>
      </c>
      <c r="I689" s="705">
        <v>102</v>
      </c>
      <c r="J689" s="701">
        <v>58.65</v>
      </c>
    </row>
    <row r="690" spans="1:10" ht="12.75" x14ac:dyDescent="0.2">
      <c r="A690" s="700">
        <v>2141</v>
      </c>
      <c r="B690" s="700" t="str">
        <f t="shared" si="21"/>
        <v>2141</v>
      </c>
      <c r="C690" s="700">
        <v>130</v>
      </c>
      <c r="D690" s="701">
        <v>11.46</v>
      </c>
      <c r="E690" s="701"/>
      <c r="F690" s="701"/>
      <c r="G690" s="705">
        <v>2141</v>
      </c>
      <c r="H690" s="705" t="str">
        <f t="shared" si="22"/>
        <v>2141</v>
      </c>
      <c r="I690" s="705">
        <v>111</v>
      </c>
      <c r="J690" s="701">
        <v>56.21</v>
      </c>
    </row>
    <row r="691" spans="1:10" ht="12.75" x14ac:dyDescent="0.2">
      <c r="A691" s="700">
        <v>2141</v>
      </c>
      <c r="B691" s="700" t="str">
        <f t="shared" si="21"/>
        <v>2141</v>
      </c>
      <c r="C691" s="700">
        <v>254</v>
      </c>
      <c r="D691" s="701">
        <v>1.5</v>
      </c>
      <c r="E691" s="701"/>
      <c r="F691" s="701"/>
      <c r="G691" s="705">
        <v>2141</v>
      </c>
      <c r="H691" s="705" t="str">
        <f t="shared" si="22"/>
        <v>2141</v>
      </c>
      <c r="I691" s="705">
        <v>112</v>
      </c>
      <c r="J691" s="701">
        <v>23.5</v>
      </c>
    </row>
    <row r="692" spans="1:10" ht="12.75" x14ac:dyDescent="0.2">
      <c r="A692" s="700">
        <v>2151</v>
      </c>
      <c r="B692" s="700" t="str">
        <f t="shared" si="21"/>
        <v>2151</v>
      </c>
      <c r="C692" s="700">
        <v>102</v>
      </c>
      <c r="D692" s="701">
        <v>462.5</v>
      </c>
      <c r="E692" s="701"/>
      <c r="F692" s="701"/>
      <c r="G692" s="705">
        <v>2141</v>
      </c>
      <c r="H692" s="705" t="str">
        <f t="shared" si="22"/>
        <v>2141</v>
      </c>
      <c r="I692" s="705">
        <v>130</v>
      </c>
      <c r="J692" s="701">
        <v>12.69</v>
      </c>
    </row>
    <row r="693" spans="1:10" ht="12.75" x14ac:dyDescent="0.2">
      <c r="A693" s="700">
        <v>2151</v>
      </c>
      <c r="B693" s="700" t="str">
        <f t="shared" si="21"/>
        <v>2151</v>
      </c>
      <c r="C693" s="700">
        <v>112</v>
      </c>
      <c r="D693" s="701">
        <v>87.98</v>
      </c>
      <c r="E693" s="701"/>
      <c r="F693" s="701"/>
      <c r="G693" s="705">
        <v>2141</v>
      </c>
      <c r="H693" s="705" t="str">
        <f t="shared" si="22"/>
        <v>2141</v>
      </c>
      <c r="I693" s="705">
        <v>254</v>
      </c>
      <c r="J693" s="701">
        <v>1.5</v>
      </c>
    </row>
    <row r="694" spans="1:10" ht="12.75" x14ac:dyDescent="0.2">
      <c r="A694" s="700">
        <v>2151</v>
      </c>
      <c r="B694" s="700" t="str">
        <f t="shared" si="21"/>
        <v>2151</v>
      </c>
      <c r="C694" s="700">
        <v>130</v>
      </c>
      <c r="D694" s="701">
        <v>81.569999999999993</v>
      </c>
      <c r="E694" s="701"/>
      <c r="F694" s="701"/>
      <c r="G694" s="705">
        <v>2151</v>
      </c>
      <c r="H694" s="705" t="str">
        <f t="shared" si="22"/>
        <v>2151</v>
      </c>
      <c r="I694" s="705">
        <v>102</v>
      </c>
      <c r="J694" s="701">
        <v>464.52</v>
      </c>
    </row>
    <row r="695" spans="1:10" ht="12.75" x14ac:dyDescent="0.2">
      <c r="A695" s="700">
        <v>2151</v>
      </c>
      <c r="B695" s="700" t="str">
        <f t="shared" si="21"/>
        <v>2151</v>
      </c>
      <c r="C695" s="700">
        <v>254</v>
      </c>
      <c r="D695" s="701">
        <v>0.5</v>
      </c>
      <c r="E695" s="701"/>
      <c r="F695" s="701"/>
      <c r="G695" s="705">
        <v>2151</v>
      </c>
      <c r="H695" s="705" t="str">
        <f t="shared" si="22"/>
        <v>2151</v>
      </c>
      <c r="I695" s="705">
        <v>112</v>
      </c>
      <c r="J695" s="701">
        <v>89.5</v>
      </c>
    </row>
    <row r="696" spans="1:10" ht="12.75" x14ac:dyDescent="0.2">
      <c r="A696" s="700">
        <v>2161</v>
      </c>
      <c r="B696" s="700" t="str">
        <f t="shared" si="21"/>
        <v>2161</v>
      </c>
      <c r="C696" s="700">
        <v>101</v>
      </c>
      <c r="D696" s="701">
        <v>144.72999999999999</v>
      </c>
      <c r="E696" s="701"/>
      <c r="F696" s="701"/>
      <c r="G696" s="705">
        <v>2151</v>
      </c>
      <c r="H696" s="705" t="str">
        <f t="shared" si="22"/>
        <v>2151</v>
      </c>
      <c r="I696" s="705">
        <v>130</v>
      </c>
      <c r="J696" s="701">
        <v>77.44</v>
      </c>
    </row>
    <row r="697" spans="1:10" ht="12.75" x14ac:dyDescent="0.2">
      <c r="A697" s="700">
        <v>2161</v>
      </c>
      <c r="B697" s="700" t="str">
        <f t="shared" si="21"/>
        <v>2161</v>
      </c>
      <c r="C697" s="700">
        <v>102</v>
      </c>
      <c r="D697" s="701">
        <v>86.48</v>
      </c>
      <c r="E697" s="701"/>
      <c r="F697" s="701"/>
      <c r="G697" s="705">
        <v>2151</v>
      </c>
      <c r="H697" s="705" t="str">
        <f t="shared" si="22"/>
        <v>2151</v>
      </c>
      <c r="I697" s="705">
        <v>254</v>
      </c>
      <c r="J697" s="701">
        <v>0.5</v>
      </c>
    </row>
    <row r="698" spans="1:10" ht="12.75" x14ac:dyDescent="0.2">
      <c r="A698" s="700">
        <v>2161</v>
      </c>
      <c r="B698" s="700" t="str">
        <f t="shared" si="21"/>
        <v>2161</v>
      </c>
      <c r="C698" s="700">
        <v>111</v>
      </c>
      <c r="D698" s="701">
        <v>81.91</v>
      </c>
      <c r="E698" s="701"/>
      <c r="F698" s="701"/>
      <c r="G698" s="705">
        <v>2161</v>
      </c>
      <c r="H698" s="705" t="str">
        <f t="shared" si="22"/>
        <v>2161</v>
      </c>
      <c r="I698" s="705">
        <v>101</v>
      </c>
      <c r="J698" s="701">
        <v>143.87</v>
      </c>
    </row>
    <row r="699" spans="1:10" ht="12.75" x14ac:dyDescent="0.2">
      <c r="A699" s="700">
        <v>2161</v>
      </c>
      <c r="B699" s="700" t="str">
        <f t="shared" si="21"/>
        <v>2161</v>
      </c>
      <c r="C699" s="700">
        <v>112</v>
      </c>
      <c r="D699" s="701">
        <v>33.5</v>
      </c>
      <c r="E699" s="701"/>
      <c r="F699" s="701"/>
      <c r="G699" s="705">
        <v>2161</v>
      </c>
      <c r="H699" s="705" t="str">
        <f t="shared" si="22"/>
        <v>2161</v>
      </c>
      <c r="I699" s="705">
        <v>102</v>
      </c>
      <c r="J699" s="701">
        <v>87.73</v>
      </c>
    </row>
    <row r="700" spans="1:10" ht="12.75" x14ac:dyDescent="0.2">
      <c r="A700" s="700">
        <v>2161</v>
      </c>
      <c r="B700" s="700" t="str">
        <f t="shared" si="21"/>
        <v>2161</v>
      </c>
      <c r="C700" s="700">
        <v>130</v>
      </c>
      <c r="D700" s="701">
        <v>8.17</v>
      </c>
      <c r="E700" s="701"/>
      <c r="F700" s="701"/>
      <c r="G700" s="705">
        <v>2161</v>
      </c>
      <c r="H700" s="705" t="str">
        <f t="shared" si="22"/>
        <v>2161</v>
      </c>
      <c r="I700" s="705">
        <v>111</v>
      </c>
      <c r="J700" s="701">
        <v>88.88</v>
      </c>
    </row>
    <row r="701" spans="1:10" ht="12.75" x14ac:dyDescent="0.2">
      <c r="A701" s="700">
        <v>2171</v>
      </c>
      <c r="B701" s="700" t="str">
        <f t="shared" si="21"/>
        <v>2171</v>
      </c>
      <c r="C701" s="700">
        <v>101</v>
      </c>
      <c r="D701" s="701">
        <v>166.2</v>
      </c>
      <c r="E701" s="701"/>
      <c r="F701" s="701"/>
      <c r="G701" s="705">
        <v>2161</v>
      </c>
      <c r="H701" s="705" t="str">
        <f t="shared" si="22"/>
        <v>2161</v>
      </c>
      <c r="I701" s="705">
        <v>112</v>
      </c>
      <c r="J701" s="701">
        <v>33.5</v>
      </c>
    </row>
    <row r="702" spans="1:10" ht="12.75" x14ac:dyDescent="0.2">
      <c r="A702" s="700">
        <v>2171</v>
      </c>
      <c r="B702" s="700" t="str">
        <f t="shared" si="21"/>
        <v>2171</v>
      </c>
      <c r="C702" s="700">
        <v>102</v>
      </c>
      <c r="D702" s="701">
        <v>82</v>
      </c>
      <c r="E702" s="701"/>
      <c r="F702" s="701"/>
      <c r="G702" s="705">
        <v>2161</v>
      </c>
      <c r="H702" s="705" t="str">
        <f t="shared" si="22"/>
        <v>2161</v>
      </c>
      <c r="I702" s="705">
        <v>130</v>
      </c>
      <c r="J702" s="701">
        <v>13.9</v>
      </c>
    </row>
    <row r="703" spans="1:10" ht="12.75" x14ac:dyDescent="0.2">
      <c r="A703" s="700">
        <v>2171</v>
      </c>
      <c r="B703" s="700" t="str">
        <f t="shared" si="21"/>
        <v>2171</v>
      </c>
      <c r="C703" s="700">
        <v>111</v>
      </c>
      <c r="D703" s="701">
        <v>89.5</v>
      </c>
      <c r="E703" s="701"/>
      <c r="F703" s="701"/>
      <c r="G703" s="705">
        <v>2171</v>
      </c>
      <c r="H703" s="705" t="str">
        <f t="shared" si="22"/>
        <v>2171</v>
      </c>
      <c r="I703" s="705">
        <v>101</v>
      </c>
      <c r="J703" s="701">
        <v>155.85</v>
      </c>
    </row>
    <row r="704" spans="1:10" ht="12.75" x14ac:dyDescent="0.2">
      <c r="A704" s="700">
        <v>2171</v>
      </c>
      <c r="B704" s="700" t="str">
        <f t="shared" si="21"/>
        <v>2171</v>
      </c>
      <c r="C704" s="700">
        <v>112</v>
      </c>
      <c r="D704" s="701">
        <v>69.13</v>
      </c>
      <c r="E704" s="701"/>
      <c r="F704" s="701"/>
      <c r="G704" s="705">
        <v>2171</v>
      </c>
      <c r="H704" s="705" t="str">
        <f t="shared" si="22"/>
        <v>2171</v>
      </c>
      <c r="I704" s="705">
        <v>102</v>
      </c>
      <c r="J704" s="701">
        <v>82.43</v>
      </c>
    </row>
    <row r="705" spans="1:10" ht="12.75" x14ac:dyDescent="0.2">
      <c r="A705" s="700">
        <v>2171</v>
      </c>
      <c r="B705" s="700" t="str">
        <f t="shared" si="21"/>
        <v>2171</v>
      </c>
      <c r="C705" s="700">
        <v>130</v>
      </c>
      <c r="D705" s="701">
        <v>67.3</v>
      </c>
      <c r="E705" s="701"/>
      <c r="F705" s="701"/>
      <c r="G705" s="705">
        <v>2171</v>
      </c>
      <c r="H705" s="705" t="str">
        <f t="shared" si="22"/>
        <v>2171</v>
      </c>
      <c r="I705" s="705">
        <v>111</v>
      </c>
      <c r="J705" s="701">
        <v>101</v>
      </c>
    </row>
    <row r="706" spans="1:10" ht="12.75" x14ac:dyDescent="0.2">
      <c r="A706" s="700">
        <v>2171</v>
      </c>
      <c r="B706" s="700" t="str">
        <f t="shared" ref="B706:B769" si="23">TEXT(A706,"0000")</f>
        <v>2171</v>
      </c>
      <c r="C706" s="700">
        <v>254</v>
      </c>
      <c r="D706" s="701">
        <v>1.5</v>
      </c>
      <c r="E706" s="701"/>
      <c r="F706" s="701"/>
      <c r="G706" s="705">
        <v>2171</v>
      </c>
      <c r="H706" s="705" t="str">
        <f t="shared" si="22"/>
        <v>2171</v>
      </c>
      <c r="I706" s="705">
        <v>112</v>
      </c>
      <c r="J706" s="701">
        <v>68.510000000000005</v>
      </c>
    </row>
    <row r="707" spans="1:10" ht="12.75" x14ac:dyDescent="0.2">
      <c r="A707" s="700">
        <v>2181</v>
      </c>
      <c r="B707" s="700" t="str">
        <f t="shared" si="23"/>
        <v>2181</v>
      </c>
      <c r="C707" s="700">
        <v>103</v>
      </c>
      <c r="D707" s="701">
        <v>679.9</v>
      </c>
      <c r="E707" s="701"/>
      <c r="F707" s="701"/>
      <c r="G707" s="705">
        <v>2171</v>
      </c>
      <c r="H707" s="705" t="str">
        <f t="shared" ref="H707:H770" si="24">TEXT(G707,"0000")</f>
        <v>2171</v>
      </c>
      <c r="I707" s="705">
        <v>130</v>
      </c>
      <c r="J707" s="701">
        <v>72.23</v>
      </c>
    </row>
    <row r="708" spans="1:10" ht="12.75" x14ac:dyDescent="0.2">
      <c r="A708" s="700">
        <v>2181</v>
      </c>
      <c r="B708" s="700" t="str">
        <f t="shared" si="23"/>
        <v>2181</v>
      </c>
      <c r="C708" s="700">
        <v>113</v>
      </c>
      <c r="D708" s="701">
        <v>131.01</v>
      </c>
      <c r="E708" s="701"/>
      <c r="F708" s="701"/>
      <c r="G708" s="705">
        <v>2171</v>
      </c>
      <c r="H708" s="705" t="str">
        <f t="shared" si="24"/>
        <v>2171</v>
      </c>
      <c r="I708" s="705">
        <v>254</v>
      </c>
      <c r="J708" s="701">
        <v>1.5</v>
      </c>
    </row>
    <row r="709" spans="1:10" ht="12.75" x14ac:dyDescent="0.2">
      <c r="A709" s="700">
        <v>2181</v>
      </c>
      <c r="B709" s="700" t="str">
        <f t="shared" si="23"/>
        <v>2181</v>
      </c>
      <c r="C709" s="700">
        <v>130</v>
      </c>
      <c r="D709" s="701">
        <v>64.5</v>
      </c>
      <c r="E709" s="701"/>
      <c r="F709" s="701"/>
      <c r="G709" s="705">
        <v>2181</v>
      </c>
      <c r="H709" s="705" t="str">
        <f t="shared" si="24"/>
        <v>2181</v>
      </c>
      <c r="I709" s="705">
        <v>103</v>
      </c>
      <c r="J709" s="701">
        <v>678.06</v>
      </c>
    </row>
    <row r="710" spans="1:10" ht="12.75" x14ac:dyDescent="0.2">
      <c r="A710" s="700">
        <v>2181</v>
      </c>
      <c r="B710" s="700" t="str">
        <f t="shared" si="23"/>
        <v>2181</v>
      </c>
      <c r="C710" s="700">
        <v>254</v>
      </c>
      <c r="D710" s="701">
        <v>3</v>
      </c>
      <c r="E710" s="701"/>
      <c r="F710" s="701"/>
      <c r="G710" s="705">
        <v>2181</v>
      </c>
      <c r="H710" s="705" t="str">
        <f t="shared" si="24"/>
        <v>2181</v>
      </c>
      <c r="I710" s="705">
        <v>113</v>
      </c>
      <c r="J710" s="701">
        <v>122.69</v>
      </c>
    </row>
    <row r="711" spans="1:10" ht="12.75" x14ac:dyDescent="0.2">
      <c r="A711" s="700">
        <v>2181</v>
      </c>
      <c r="B711" s="700" t="str">
        <f t="shared" si="23"/>
        <v>2181</v>
      </c>
      <c r="C711" s="700">
        <v>255</v>
      </c>
      <c r="D711" s="701">
        <v>0.5</v>
      </c>
      <c r="E711" s="701"/>
      <c r="F711" s="701"/>
      <c r="G711" s="705">
        <v>2181</v>
      </c>
      <c r="H711" s="705" t="str">
        <f t="shared" si="24"/>
        <v>2181</v>
      </c>
      <c r="I711" s="705">
        <v>130</v>
      </c>
      <c r="J711" s="701">
        <v>57.42</v>
      </c>
    </row>
    <row r="712" spans="1:10" ht="12.75" x14ac:dyDescent="0.2">
      <c r="A712" s="700">
        <v>2181</v>
      </c>
      <c r="B712" s="700" t="str">
        <f t="shared" si="23"/>
        <v>2181</v>
      </c>
      <c r="C712" s="700">
        <v>300</v>
      </c>
      <c r="D712" s="701">
        <v>60.87</v>
      </c>
      <c r="E712" s="701"/>
      <c r="F712" s="701"/>
      <c r="G712" s="705">
        <v>2181</v>
      </c>
      <c r="H712" s="705" t="str">
        <f t="shared" si="24"/>
        <v>2181</v>
      </c>
      <c r="I712" s="705">
        <v>254</v>
      </c>
      <c r="J712" s="701">
        <v>3</v>
      </c>
    </row>
    <row r="713" spans="1:10" ht="12.75" x14ac:dyDescent="0.2">
      <c r="A713" s="700">
        <v>2191</v>
      </c>
      <c r="B713" s="700" t="str">
        <f t="shared" si="23"/>
        <v>2191</v>
      </c>
      <c r="C713" s="700">
        <v>103</v>
      </c>
      <c r="D713" s="701">
        <v>985.04</v>
      </c>
      <c r="E713" s="701"/>
      <c r="F713" s="701"/>
      <c r="G713" s="705">
        <v>2181</v>
      </c>
      <c r="H713" s="705" t="str">
        <f t="shared" si="24"/>
        <v>2181</v>
      </c>
      <c r="I713" s="705">
        <v>255</v>
      </c>
      <c r="J713" s="701">
        <v>0.5</v>
      </c>
    </row>
    <row r="714" spans="1:10" ht="12.75" x14ac:dyDescent="0.2">
      <c r="A714" s="700">
        <v>2191</v>
      </c>
      <c r="B714" s="700" t="str">
        <f t="shared" si="23"/>
        <v>2191</v>
      </c>
      <c r="C714" s="700">
        <v>113</v>
      </c>
      <c r="D714" s="701">
        <v>159.08000000000001</v>
      </c>
      <c r="E714" s="701"/>
      <c r="F714" s="701"/>
      <c r="G714" s="705">
        <v>2181</v>
      </c>
      <c r="H714" s="705" t="str">
        <f t="shared" si="24"/>
        <v>2181</v>
      </c>
      <c r="I714" s="705">
        <v>300</v>
      </c>
      <c r="J714" s="701">
        <v>59.55</v>
      </c>
    </row>
    <row r="715" spans="1:10" ht="12.75" x14ac:dyDescent="0.2">
      <c r="A715" s="700">
        <v>2191</v>
      </c>
      <c r="B715" s="700" t="str">
        <f t="shared" si="23"/>
        <v>2191</v>
      </c>
      <c r="C715" s="700">
        <v>130</v>
      </c>
      <c r="D715" s="701">
        <v>39.31</v>
      </c>
      <c r="E715" s="701"/>
      <c r="F715" s="701"/>
      <c r="G715" s="705">
        <v>2191</v>
      </c>
      <c r="H715" s="705" t="str">
        <f t="shared" si="24"/>
        <v>2191</v>
      </c>
      <c r="I715" s="705">
        <v>103</v>
      </c>
      <c r="J715" s="701">
        <v>949.55</v>
      </c>
    </row>
    <row r="716" spans="1:10" ht="12.75" x14ac:dyDescent="0.2">
      <c r="A716" s="700">
        <v>2191</v>
      </c>
      <c r="B716" s="700" t="str">
        <f t="shared" si="23"/>
        <v>2191</v>
      </c>
      <c r="C716" s="700">
        <v>254</v>
      </c>
      <c r="D716" s="701">
        <v>1</v>
      </c>
      <c r="E716" s="701"/>
      <c r="F716" s="701"/>
      <c r="G716" s="705">
        <v>2191</v>
      </c>
      <c r="H716" s="705" t="str">
        <f t="shared" si="24"/>
        <v>2191</v>
      </c>
      <c r="I716" s="705">
        <v>113</v>
      </c>
      <c r="J716" s="701">
        <v>155.05000000000001</v>
      </c>
    </row>
    <row r="717" spans="1:10" ht="12.75" x14ac:dyDescent="0.2">
      <c r="A717" s="700">
        <v>2191</v>
      </c>
      <c r="B717" s="700" t="str">
        <f t="shared" si="23"/>
        <v>2191</v>
      </c>
      <c r="C717" s="700">
        <v>255</v>
      </c>
      <c r="D717" s="701">
        <v>0.5</v>
      </c>
      <c r="E717" s="701"/>
      <c r="F717" s="701"/>
      <c r="G717" s="705">
        <v>2191</v>
      </c>
      <c r="H717" s="705" t="str">
        <f t="shared" si="24"/>
        <v>2191</v>
      </c>
      <c r="I717" s="705">
        <v>130</v>
      </c>
      <c r="J717" s="701">
        <v>35.729999999999997</v>
      </c>
    </row>
    <row r="718" spans="1:10" ht="12.75" x14ac:dyDescent="0.2">
      <c r="A718" s="700">
        <v>2191</v>
      </c>
      <c r="B718" s="700" t="str">
        <f t="shared" si="23"/>
        <v>2191</v>
      </c>
      <c r="C718" s="700">
        <v>300</v>
      </c>
      <c r="D718" s="701">
        <v>83.85</v>
      </c>
      <c r="E718" s="701"/>
      <c r="F718" s="701"/>
      <c r="G718" s="705">
        <v>2191</v>
      </c>
      <c r="H718" s="705" t="str">
        <f t="shared" si="24"/>
        <v>2191</v>
      </c>
      <c r="I718" s="705">
        <v>254</v>
      </c>
      <c r="J718" s="701">
        <v>1.5</v>
      </c>
    </row>
    <row r="719" spans="1:10" ht="12.75" x14ac:dyDescent="0.2">
      <c r="A719" s="700">
        <v>2201</v>
      </c>
      <c r="B719" s="700" t="str">
        <f t="shared" si="23"/>
        <v>2201</v>
      </c>
      <c r="C719" s="700">
        <v>103</v>
      </c>
      <c r="D719" s="701">
        <v>797.92</v>
      </c>
      <c r="E719" s="701"/>
      <c r="F719" s="701"/>
      <c r="G719" s="705">
        <v>2191</v>
      </c>
      <c r="H719" s="705" t="str">
        <f t="shared" si="24"/>
        <v>2191</v>
      </c>
      <c r="I719" s="705">
        <v>255</v>
      </c>
      <c r="J719" s="701">
        <v>0.5</v>
      </c>
    </row>
    <row r="720" spans="1:10" ht="12.75" x14ac:dyDescent="0.2">
      <c r="A720" s="700">
        <v>2201</v>
      </c>
      <c r="B720" s="700" t="str">
        <f t="shared" si="23"/>
        <v>2201</v>
      </c>
      <c r="C720" s="700">
        <v>111</v>
      </c>
      <c r="D720" s="701">
        <v>0.01</v>
      </c>
      <c r="E720" s="701"/>
      <c r="F720" s="701"/>
      <c r="G720" s="705">
        <v>2191</v>
      </c>
      <c r="H720" s="705" t="str">
        <f t="shared" si="24"/>
        <v>2191</v>
      </c>
      <c r="I720" s="705">
        <v>300</v>
      </c>
      <c r="J720" s="701">
        <v>79.2</v>
      </c>
    </row>
    <row r="721" spans="1:10" ht="12.75" x14ac:dyDescent="0.2">
      <c r="A721" s="700">
        <v>2201</v>
      </c>
      <c r="B721" s="700" t="str">
        <f t="shared" si="23"/>
        <v>2201</v>
      </c>
      <c r="C721" s="700">
        <v>113</v>
      </c>
      <c r="D721" s="701">
        <v>155.80000000000001</v>
      </c>
      <c r="E721" s="701"/>
      <c r="F721" s="701"/>
      <c r="G721" s="705">
        <v>2201</v>
      </c>
      <c r="H721" s="705" t="str">
        <f t="shared" si="24"/>
        <v>2201</v>
      </c>
      <c r="I721" s="705">
        <v>103</v>
      </c>
      <c r="J721" s="701">
        <v>772.6</v>
      </c>
    </row>
    <row r="722" spans="1:10" ht="12.75" x14ac:dyDescent="0.2">
      <c r="A722" s="700">
        <v>2201</v>
      </c>
      <c r="B722" s="700" t="str">
        <f t="shared" si="23"/>
        <v>2201</v>
      </c>
      <c r="C722" s="700">
        <v>130</v>
      </c>
      <c r="D722" s="701">
        <v>21.3</v>
      </c>
      <c r="E722" s="701"/>
      <c r="F722" s="701"/>
      <c r="G722" s="705">
        <v>2201</v>
      </c>
      <c r="H722" s="705" t="str">
        <f t="shared" si="24"/>
        <v>2201</v>
      </c>
      <c r="I722" s="705">
        <v>111</v>
      </c>
      <c r="J722" s="701">
        <v>0.03</v>
      </c>
    </row>
    <row r="723" spans="1:10" ht="12.75" x14ac:dyDescent="0.2">
      <c r="A723" s="700">
        <v>2201</v>
      </c>
      <c r="B723" s="700" t="str">
        <f t="shared" si="23"/>
        <v>2201</v>
      </c>
      <c r="C723" s="700">
        <v>254</v>
      </c>
      <c r="D723" s="701">
        <v>5.49</v>
      </c>
      <c r="E723" s="701"/>
      <c r="F723" s="701"/>
      <c r="G723" s="705">
        <v>2201</v>
      </c>
      <c r="H723" s="705" t="str">
        <f t="shared" si="24"/>
        <v>2201</v>
      </c>
      <c r="I723" s="705">
        <v>113</v>
      </c>
      <c r="J723" s="701">
        <v>152.38</v>
      </c>
    </row>
    <row r="724" spans="1:10" ht="12.75" x14ac:dyDescent="0.2">
      <c r="A724" s="700">
        <v>2201</v>
      </c>
      <c r="B724" s="700" t="str">
        <f t="shared" si="23"/>
        <v>2201</v>
      </c>
      <c r="C724" s="700">
        <v>255</v>
      </c>
      <c r="D724" s="701">
        <v>0.5</v>
      </c>
      <c r="E724" s="701"/>
      <c r="F724" s="701"/>
      <c r="G724" s="705">
        <v>2201</v>
      </c>
      <c r="H724" s="705" t="str">
        <f t="shared" si="24"/>
        <v>2201</v>
      </c>
      <c r="I724" s="705">
        <v>130</v>
      </c>
      <c r="J724" s="701">
        <v>19.25</v>
      </c>
    </row>
    <row r="725" spans="1:10" ht="12.75" x14ac:dyDescent="0.2">
      <c r="A725" s="700">
        <v>2201</v>
      </c>
      <c r="B725" s="700" t="str">
        <f t="shared" si="23"/>
        <v>2201</v>
      </c>
      <c r="C725" s="700">
        <v>300</v>
      </c>
      <c r="D725" s="701">
        <v>72.97</v>
      </c>
      <c r="E725" s="701"/>
      <c r="F725" s="701"/>
      <c r="G725" s="705">
        <v>2201</v>
      </c>
      <c r="H725" s="705" t="str">
        <f t="shared" si="24"/>
        <v>2201</v>
      </c>
      <c r="I725" s="705">
        <v>254</v>
      </c>
      <c r="J725" s="701">
        <v>5.0199999999999996</v>
      </c>
    </row>
    <row r="726" spans="1:10" ht="12.75" x14ac:dyDescent="0.2">
      <c r="A726" s="700">
        <v>2241</v>
      </c>
      <c r="B726" s="700" t="str">
        <f t="shared" si="23"/>
        <v>2241</v>
      </c>
      <c r="C726" s="700">
        <v>101</v>
      </c>
      <c r="D726" s="701">
        <v>225.83</v>
      </c>
      <c r="E726" s="701"/>
      <c r="F726" s="701"/>
      <c r="G726" s="705">
        <v>2201</v>
      </c>
      <c r="H726" s="705" t="str">
        <f t="shared" si="24"/>
        <v>2201</v>
      </c>
      <c r="I726" s="705">
        <v>255</v>
      </c>
      <c r="J726" s="701">
        <v>0.5</v>
      </c>
    </row>
    <row r="727" spans="1:10" ht="12.75" x14ac:dyDescent="0.2">
      <c r="A727" s="700">
        <v>2241</v>
      </c>
      <c r="B727" s="700" t="str">
        <f t="shared" si="23"/>
        <v>2241</v>
      </c>
      <c r="C727" s="700">
        <v>102</v>
      </c>
      <c r="D727" s="701">
        <v>121.34</v>
      </c>
      <c r="E727" s="701"/>
      <c r="F727" s="701"/>
      <c r="G727" s="705">
        <v>2201</v>
      </c>
      <c r="H727" s="705" t="str">
        <f t="shared" si="24"/>
        <v>2201</v>
      </c>
      <c r="I727" s="705">
        <v>300</v>
      </c>
      <c r="J727" s="701">
        <v>71.930000000000007</v>
      </c>
    </row>
    <row r="728" spans="1:10" ht="12.75" x14ac:dyDescent="0.2">
      <c r="A728" s="700">
        <v>2241</v>
      </c>
      <c r="B728" s="700" t="str">
        <f t="shared" si="23"/>
        <v>2241</v>
      </c>
      <c r="C728" s="700">
        <v>111</v>
      </c>
      <c r="D728" s="701">
        <v>86.92</v>
      </c>
      <c r="E728" s="701"/>
      <c r="F728" s="701"/>
      <c r="G728" s="705">
        <v>2241</v>
      </c>
      <c r="H728" s="705" t="str">
        <f t="shared" si="24"/>
        <v>2241</v>
      </c>
      <c r="I728" s="705">
        <v>101</v>
      </c>
      <c r="J728" s="701">
        <v>225.21</v>
      </c>
    </row>
    <row r="729" spans="1:10" ht="12.75" x14ac:dyDescent="0.2">
      <c r="A729" s="700">
        <v>2241</v>
      </c>
      <c r="B729" s="700" t="str">
        <f t="shared" si="23"/>
        <v>2241</v>
      </c>
      <c r="C729" s="700">
        <v>112</v>
      </c>
      <c r="D729" s="701">
        <v>64.98</v>
      </c>
      <c r="E729" s="701"/>
      <c r="F729" s="701"/>
      <c r="G729" s="705">
        <v>2241</v>
      </c>
      <c r="H729" s="705" t="str">
        <f t="shared" si="24"/>
        <v>2241</v>
      </c>
      <c r="I729" s="705">
        <v>102</v>
      </c>
      <c r="J729" s="701">
        <v>120.94</v>
      </c>
    </row>
    <row r="730" spans="1:10" ht="12.75" x14ac:dyDescent="0.2">
      <c r="A730" s="700">
        <v>2241</v>
      </c>
      <c r="B730" s="700" t="str">
        <f t="shared" si="23"/>
        <v>2241</v>
      </c>
      <c r="C730" s="700">
        <v>130</v>
      </c>
      <c r="D730" s="701">
        <v>30.92</v>
      </c>
      <c r="E730" s="701"/>
      <c r="F730" s="701"/>
      <c r="G730" s="705">
        <v>2241</v>
      </c>
      <c r="H730" s="705" t="str">
        <f t="shared" si="24"/>
        <v>2241</v>
      </c>
      <c r="I730" s="705">
        <v>111</v>
      </c>
      <c r="J730" s="701">
        <v>95.63</v>
      </c>
    </row>
    <row r="731" spans="1:10" ht="12.75" x14ac:dyDescent="0.2">
      <c r="A731" s="700">
        <v>2241</v>
      </c>
      <c r="B731" s="700" t="str">
        <f t="shared" si="23"/>
        <v>2241</v>
      </c>
      <c r="C731" s="700">
        <v>254</v>
      </c>
      <c r="D731" s="701">
        <v>1.5</v>
      </c>
      <c r="E731" s="701"/>
      <c r="F731" s="701"/>
      <c r="G731" s="705">
        <v>2241</v>
      </c>
      <c r="H731" s="705" t="str">
        <f t="shared" si="24"/>
        <v>2241</v>
      </c>
      <c r="I731" s="705">
        <v>112</v>
      </c>
      <c r="J731" s="701">
        <v>65.98</v>
      </c>
    </row>
    <row r="732" spans="1:10" ht="12.75" x14ac:dyDescent="0.2">
      <c r="A732" s="700">
        <v>2301</v>
      </c>
      <c r="B732" s="700" t="str">
        <f t="shared" si="23"/>
        <v>2301</v>
      </c>
      <c r="C732" s="700">
        <v>103</v>
      </c>
      <c r="D732" s="701">
        <v>277.62</v>
      </c>
      <c r="E732" s="701"/>
      <c r="F732" s="701"/>
      <c r="G732" s="705">
        <v>2241</v>
      </c>
      <c r="H732" s="705" t="str">
        <f t="shared" si="24"/>
        <v>2241</v>
      </c>
      <c r="I732" s="705">
        <v>130</v>
      </c>
      <c r="J732" s="701">
        <v>30.79</v>
      </c>
    </row>
    <row r="733" spans="1:10" ht="12.75" x14ac:dyDescent="0.2">
      <c r="A733" s="700">
        <v>2301</v>
      </c>
      <c r="B733" s="700" t="str">
        <f t="shared" si="23"/>
        <v>2301</v>
      </c>
      <c r="C733" s="700">
        <v>113</v>
      </c>
      <c r="D733" s="701">
        <v>73.040000000000006</v>
      </c>
      <c r="E733" s="701"/>
      <c r="F733" s="701"/>
      <c r="G733" s="705">
        <v>2241</v>
      </c>
      <c r="H733" s="705" t="str">
        <f t="shared" si="24"/>
        <v>2241</v>
      </c>
      <c r="I733" s="705">
        <v>254</v>
      </c>
      <c r="J733" s="701">
        <v>1</v>
      </c>
    </row>
    <row r="734" spans="1:10" ht="12.75" x14ac:dyDescent="0.2">
      <c r="A734" s="700">
        <v>2301</v>
      </c>
      <c r="B734" s="700" t="str">
        <f t="shared" si="23"/>
        <v>2301</v>
      </c>
      <c r="C734" s="700">
        <v>130</v>
      </c>
      <c r="D734" s="701">
        <v>42.99</v>
      </c>
      <c r="E734" s="701"/>
      <c r="F734" s="701"/>
      <c r="G734" s="705">
        <v>2301</v>
      </c>
      <c r="H734" s="705" t="str">
        <f t="shared" si="24"/>
        <v>2301</v>
      </c>
      <c r="I734" s="705">
        <v>103</v>
      </c>
      <c r="J734" s="701">
        <v>281.35000000000002</v>
      </c>
    </row>
    <row r="735" spans="1:10" ht="12.75" x14ac:dyDescent="0.2">
      <c r="A735" s="700">
        <v>2301</v>
      </c>
      <c r="B735" s="700" t="str">
        <f t="shared" si="23"/>
        <v>2301</v>
      </c>
      <c r="C735" s="700">
        <v>254</v>
      </c>
      <c r="D735" s="701">
        <v>0.5</v>
      </c>
      <c r="E735" s="701"/>
      <c r="F735" s="701"/>
      <c r="G735" s="705">
        <v>2301</v>
      </c>
      <c r="H735" s="705" t="str">
        <f t="shared" si="24"/>
        <v>2301</v>
      </c>
      <c r="I735" s="705">
        <v>113</v>
      </c>
      <c r="J735" s="701">
        <v>70.06</v>
      </c>
    </row>
    <row r="736" spans="1:10" ht="12.75" x14ac:dyDescent="0.2">
      <c r="A736" s="700">
        <v>2301</v>
      </c>
      <c r="B736" s="700" t="str">
        <f t="shared" si="23"/>
        <v>2301</v>
      </c>
      <c r="C736" s="700">
        <v>300</v>
      </c>
      <c r="D736" s="701">
        <v>61.29</v>
      </c>
      <c r="E736" s="701"/>
      <c r="F736" s="701"/>
      <c r="G736" s="705">
        <v>2301</v>
      </c>
      <c r="H736" s="705" t="str">
        <f t="shared" si="24"/>
        <v>2301</v>
      </c>
      <c r="I736" s="705">
        <v>130</v>
      </c>
      <c r="J736" s="701">
        <v>41.67</v>
      </c>
    </row>
    <row r="737" spans="1:10" ht="12.75" x14ac:dyDescent="0.2">
      <c r="A737" s="700">
        <v>2331</v>
      </c>
      <c r="B737" s="700" t="str">
        <f t="shared" si="23"/>
        <v>2331</v>
      </c>
      <c r="C737" s="700">
        <v>103</v>
      </c>
      <c r="D737" s="701">
        <v>770.95</v>
      </c>
      <c r="E737" s="701"/>
      <c r="F737" s="701"/>
      <c r="G737" s="705">
        <v>2301</v>
      </c>
      <c r="H737" s="705" t="str">
        <f t="shared" si="24"/>
        <v>2301</v>
      </c>
      <c r="I737" s="705">
        <v>254</v>
      </c>
      <c r="J737" s="701">
        <v>0.5</v>
      </c>
    </row>
    <row r="738" spans="1:10" ht="12.75" x14ac:dyDescent="0.2">
      <c r="A738" s="700">
        <v>2331</v>
      </c>
      <c r="B738" s="700" t="str">
        <f t="shared" si="23"/>
        <v>2331</v>
      </c>
      <c r="C738" s="700">
        <v>113</v>
      </c>
      <c r="D738" s="701">
        <v>185.12</v>
      </c>
      <c r="E738" s="701"/>
      <c r="F738" s="701"/>
      <c r="G738" s="705">
        <v>2301</v>
      </c>
      <c r="H738" s="705" t="str">
        <f t="shared" si="24"/>
        <v>2301</v>
      </c>
      <c r="I738" s="705">
        <v>300</v>
      </c>
      <c r="J738" s="701">
        <v>61.45</v>
      </c>
    </row>
    <row r="739" spans="1:10" ht="12.75" x14ac:dyDescent="0.2">
      <c r="A739" s="700">
        <v>2331</v>
      </c>
      <c r="B739" s="700" t="str">
        <f t="shared" si="23"/>
        <v>2331</v>
      </c>
      <c r="C739" s="700">
        <v>130</v>
      </c>
      <c r="D739" s="701">
        <v>81.88</v>
      </c>
      <c r="E739" s="701"/>
      <c r="F739" s="701"/>
      <c r="G739" s="705">
        <v>2331</v>
      </c>
      <c r="H739" s="705" t="str">
        <f t="shared" si="24"/>
        <v>2331</v>
      </c>
      <c r="I739" s="705">
        <v>103</v>
      </c>
      <c r="J739" s="701">
        <v>741.69</v>
      </c>
    </row>
    <row r="740" spans="1:10" ht="12.75" x14ac:dyDescent="0.2">
      <c r="A740" s="700">
        <v>2331</v>
      </c>
      <c r="B740" s="700" t="str">
        <f t="shared" si="23"/>
        <v>2331</v>
      </c>
      <c r="C740" s="700">
        <v>254</v>
      </c>
      <c r="D740" s="701">
        <v>2.15</v>
      </c>
      <c r="E740" s="701"/>
      <c r="F740" s="701"/>
      <c r="G740" s="705">
        <v>2331</v>
      </c>
      <c r="H740" s="705" t="str">
        <f t="shared" si="24"/>
        <v>2331</v>
      </c>
      <c r="I740" s="705">
        <v>113</v>
      </c>
      <c r="J740" s="701">
        <v>175.41</v>
      </c>
    </row>
    <row r="741" spans="1:10" ht="12.75" x14ac:dyDescent="0.2">
      <c r="A741" s="700">
        <v>2331</v>
      </c>
      <c r="B741" s="700" t="str">
        <f t="shared" si="23"/>
        <v>2331</v>
      </c>
      <c r="C741" s="700">
        <v>255</v>
      </c>
      <c r="D741" s="701">
        <v>1.99</v>
      </c>
      <c r="E741" s="701"/>
      <c r="F741" s="701"/>
      <c r="G741" s="705">
        <v>2331</v>
      </c>
      <c r="H741" s="705" t="str">
        <f t="shared" si="24"/>
        <v>2331</v>
      </c>
      <c r="I741" s="705">
        <v>130</v>
      </c>
      <c r="J741" s="701">
        <v>70</v>
      </c>
    </row>
    <row r="742" spans="1:10" ht="12.75" x14ac:dyDescent="0.2">
      <c r="A742" s="700">
        <v>2331</v>
      </c>
      <c r="B742" s="700" t="str">
        <f t="shared" si="23"/>
        <v>2331</v>
      </c>
      <c r="C742" s="700">
        <v>300</v>
      </c>
      <c r="D742" s="701">
        <v>61.24</v>
      </c>
      <c r="E742" s="701"/>
      <c r="F742" s="701"/>
      <c r="G742" s="705">
        <v>2331</v>
      </c>
      <c r="H742" s="705" t="str">
        <f t="shared" si="24"/>
        <v>2331</v>
      </c>
      <c r="I742" s="705">
        <v>254</v>
      </c>
      <c r="J742" s="701">
        <v>2.17</v>
      </c>
    </row>
    <row r="743" spans="1:10" ht="12.75" x14ac:dyDescent="0.2">
      <c r="A743" s="700">
        <v>2351</v>
      </c>
      <c r="B743" s="700" t="str">
        <f t="shared" si="23"/>
        <v>2351</v>
      </c>
      <c r="C743" s="700">
        <v>101</v>
      </c>
      <c r="D743" s="701">
        <v>87.23</v>
      </c>
      <c r="E743" s="701"/>
      <c r="F743" s="701"/>
      <c r="G743" s="705">
        <v>2331</v>
      </c>
      <c r="H743" s="705" t="str">
        <f t="shared" si="24"/>
        <v>2331</v>
      </c>
      <c r="I743" s="705">
        <v>255</v>
      </c>
      <c r="J743" s="701">
        <v>2.0099999999999998</v>
      </c>
    </row>
    <row r="744" spans="1:10" ht="12.75" x14ac:dyDescent="0.2">
      <c r="A744" s="700">
        <v>2351</v>
      </c>
      <c r="B744" s="700" t="str">
        <f t="shared" si="23"/>
        <v>2351</v>
      </c>
      <c r="C744" s="700">
        <v>102</v>
      </c>
      <c r="D744" s="701">
        <v>38.909999999999997</v>
      </c>
      <c r="E744" s="701"/>
      <c r="F744" s="701"/>
      <c r="G744" s="705">
        <v>2331</v>
      </c>
      <c r="H744" s="705" t="str">
        <f t="shared" si="24"/>
        <v>2331</v>
      </c>
      <c r="I744" s="705">
        <v>300</v>
      </c>
      <c r="J744" s="701">
        <v>59.38</v>
      </c>
    </row>
    <row r="745" spans="1:10" ht="12.75" x14ac:dyDescent="0.2">
      <c r="A745" s="700">
        <v>2351</v>
      </c>
      <c r="B745" s="700" t="str">
        <f t="shared" si="23"/>
        <v>2351</v>
      </c>
      <c r="C745" s="700">
        <v>111</v>
      </c>
      <c r="D745" s="701">
        <v>62.78</v>
      </c>
      <c r="E745" s="701"/>
      <c r="F745" s="701"/>
      <c r="G745" s="705">
        <v>2351</v>
      </c>
      <c r="H745" s="705" t="str">
        <f t="shared" si="24"/>
        <v>2351</v>
      </c>
      <c r="I745" s="705">
        <v>101</v>
      </c>
      <c r="J745" s="701">
        <v>88.17</v>
      </c>
    </row>
    <row r="746" spans="1:10" ht="12.75" x14ac:dyDescent="0.2">
      <c r="A746" s="700">
        <v>2351</v>
      </c>
      <c r="B746" s="700" t="str">
        <f t="shared" si="23"/>
        <v>2351</v>
      </c>
      <c r="C746" s="700">
        <v>112</v>
      </c>
      <c r="D746" s="701">
        <v>25.25</v>
      </c>
      <c r="E746" s="701"/>
      <c r="F746" s="701"/>
      <c r="G746" s="705">
        <v>2351</v>
      </c>
      <c r="H746" s="705" t="str">
        <f t="shared" si="24"/>
        <v>2351</v>
      </c>
      <c r="I746" s="705">
        <v>102</v>
      </c>
      <c r="J746" s="701">
        <v>37.99</v>
      </c>
    </row>
    <row r="747" spans="1:10" ht="12.75" x14ac:dyDescent="0.2">
      <c r="A747" s="700">
        <v>2351</v>
      </c>
      <c r="B747" s="700" t="str">
        <f t="shared" si="23"/>
        <v>2351</v>
      </c>
      <c r="C747" s="700">
        <v>130</v>
      </c>
      <c r="D747" s="701">
        <v>79.569999999999993</v>
      </c>
      <c r="E747" s="701"/>
      <c r="F747" s="701"/>
      <c r="G747" s="705">
        <v>2351</v>
      </c>
      <c r="H747" s="705" t="str">
        <f t="shared" si="24"/>
        <v>2351</v>
      </c>
      <c r="I747" s="705">
        <v>111</v>
      </c>
      <c r="J747" s="701">
        <v>70.23</v>
      </c>
    </row>
    <row r="748" spans="1:10" ht="12.75" x14ac:dyDescent="0.2">
      <c r="A748" s="700">
        <v>2351</v>
      </c>
      <c r="B748" s="700" t="str">
        <f t="shared" si="23"/>
        <v>2351</v>
      </c>
      <c r="C748" s="700">
        <v>254</v>
      </c>
      <c r="D748" s="701">
        <v>1.75</v>
      </c>
      <c r="E748" s="701"/>
      <c r="F748" s="701"/>
      <c r="G748" s="705">
        <v>2351</v>
      </c>
      <c r="H748" s="705" t="str">
        <f t="shared" si="24"/>
        <v>2351</v>
      </c>
      <c r="I748" s="705">
        <v>112</v>
      </c>
      <c r="J748" s="701">
        <v>28.44</v>
      </c>
    </row>
    <row r="749" spans="1:10" ht="12.75" x14ac:dyDescent="0.2">
      <c r="A749" s="700">
        <v>2361</v>
      </c>
      <c r="B749" s="700" t="str">
        <f t="shared" si="23"/>
        <v>2361</v>
      </c>
      <c r="C749" s="700">
        <v>103</v>
      </c>
      <c r="D749" s="701">
        <v>396.24</v>
      </c>
      <c r="E749" s="701"/>
      <c r="F749" s="701"/>
      <c r="G749" s="705">
        <v>2351</v>
      </c>
      <c r="H749" s="705" t="str">
        <f t="shared" si="24"/>
        <v>2351</v>
      </c>
      <c r="I749" s="705">
        <v>130</v>
      </c>
      <c r="J749" s="701">
        <v>78.81</v>
      </c>
    </row>
    <row r="750" spans="1:10" ht="12.75" x14ac:dyDescent="0.2">
      <c r="A750" s="700">
        <v>2361</v>
      </c>
      <c r="B750" s="700" t="str">
        <f t="shared" si="23"/>
        <v>2361</v>
      </c>
      <c r="C750" s="700">
        <v>113</v>
      </c>
      <c r="D750" s="701">
        <v>128.43</v>
      </c>
      <c r="E750" s="701"/>
      <c r="F750" s="701"/>
      <c r="G750" s="705">
        <v>2351</v>
      </c>
      <c r="H750" s="705" t="str">
        <f t="shared" si="24"/>
        <v>2351</v>
      </c>
      <c r="I750" s="705">
        <v>254</v>
      </c>
      <c r="J750" s="701">
        <v>1.29</v>
      </c>
    </row>
    <row r="751" spans="1:10" ht="12.75" x14ac:dyDescent="0.2">
      <c r="A751" s="700">
        <v>2361</v>
      </c>
      <c r="B751" s="700" t="str">
        <f t="shared" si="23"/>
        <v>2361</v>
      </c>
      <c r="C751" s="700">
        <v>130</v>
      </c>
      <c r="D751" s="701">
        <v>94.04</v>
      </c>
      <c r="E751" s="701"/>
      <c r="F751" s="701"/>
      <c r="G751" s="705">
        <v>2361</v>
      </c>
      <c r="H751" s="705" t="str">
        <f t="shared" si="24"/>
        <v>2361</v>
      </c>
      <c r="I751" s="705">
        <v>103</v>
      </c>
      <c r="J751" s="701">
        <v>390.43</v>
      </c>
    </row>
    <row r="752" spans="1:10" ht="12.75" x14ac:dyDescent="0.2">
      <c r="A752" s="700">
        <v>2361</v>
      </c>
      <c r="B752" s="700" t="str">
        <f t="shared" si="23"/>
        <v>2361</v>
      </c>
      <c r="C752" s="700">
        <v>254</v>
      </c>
      <c r="D752" s="701">
        <v>0.5</v>
      </c>
      <c r="E752" s="701"/>
      <c r="F752" s="701"/>
      <c r="G752" s="705">
        <v>2361</v>
      </c>
      <c r="H752" s="705" t="str">
        <f t="shared" si="24"/>
        <v>2361</v>
      </c>
      <c r="I752" s="705">
        <v>113</v>
      </c>
      <c r="J752" s="701">
        <v>126.31</v>
      </c>
    </row>
    <row r="753" spans="1:10" ht="12.75" x14ac:dyDescent="0.2">
      <c r="A753" s="700">
        <v>2361</v>
      </c>
      <c r="B753" s="700" t="str">
        <f t="shared" si="23"/>
        <v>2361</v>
      </c>
      <c r="C753" s="700">
        <v>300</v>
      </c>
      <c r="D753" s="701">
        <v>70.23</v>
      </c>
      <c r="E753" s="701"/>
      <c r="F753" s="701"/>
      <c r="G753" s="705">
        <v>2361</v>
      </c>
      <c r="H753" s="705" t="str">
        <f t="shared" si="24"/>
        <v>2361</v>
      </c>
      <c r="I753" s="705">
        <v>130</v>
      </c>
      <c r="J753" s="701">
        <v>86.58</v>
      </c>
    </row>
    <row r="754" spans="1:10" ht="12.75" x14ac:dyDescent="0.2">
      <c r="A754" s="700">
        <v>2371</v>
      </c>
      <c r="B754" s="700" t="str">
        <f t="shared" si="23"/>
        <v>2371</v>
      </c>
      <c r="C754" s="700">
        <v>101</v>
      </c>
      <c r="D754" s="701">
        <v>74.27</v>
      </c>
      <c r="E754" s="701"/>
      <c r="F754" s="701"/>
      <c r="G754" s="705">
        <v>2361</v>
      </c>
      <c r="H754" s="705" t="str">
        <f t="shared" si="24"/>
        <v>2361</v>
      </c>
      <c r="I754" s="705">
        <v>254</v>
      </c>
      <c r="J754" s="701">
        <v>0</v>
      </c>
    </row>
    <row r="755" spans="1:10" ht="12.75" x14ac:dyDescent="0.2">
      <c r="A755" s="700">
        <v>2371</v>
      </c>
      <c r="B755" s="700" t="str">
        <f t="shared" si="23"/>
        <v>2371</v>
      </c>
      <c r="C755" s="700">
        <v>102</v>
      </c>
      <c r="D755" s="701">
        <v>36.61</v>
      </c>
      <c r="E755" s="701"/>
      <c r="F755" s="701"/>
      <c r="G755" s="705">
        <v>2361</v>
      </c>
      <c r="H755" s="705" t="str">
        <f t="shared" si="24"/>
        <v>2361</v>
      </c>
      <c r="I755" s="705">
        <v>300</v>
      </c>
      <c r="J755" s="701">
        <v>63.75</v>
      </c>
    </row>
    <row r="756" spans="1:10" ht="12.75" x14ac:dyDescent="0.2">
      <c r="A756" s="700">
        <v>2371</v>
      </c>
      <c r="B756" s="700" t="str">
        <f t="shared" si="23"/>
        <v>2371</v>
      </c>
      <c r="C756" s="700">
        <v>111</v>
      </c>
      <c r="D756" s="701">
        <v>22.63</v>
      </c>
      <c r="E756" s="701"/>
      <c r="F756" s="701"/>
      <c r="G756" s="705">
        <v>2371</v>
      </c>
      <c r="H756" s="705" t="str">
        <f t="shared" si="24"/>
        <v>2371</v>
      </c>
      <c r="I756" s="705">
        <v>101</v>
      </c>
      <c r="J756" s="701">
        <v>70.5</v>
      </c>
    </row>
    <row r="757" spans="1:10" ht="12.75" x14ac:dyDescent="0.2">
      <c r="A757" s="700">
        <v>2371</v>
      </c>
      <c r="B757" s="700" t="str">
        <f t="shared" si="23"/>
        <v>2371</v>
      </c>
      <c r="C757" s="700">
        <v>112</v>
      </c>
      <c r="D757" s="701">
        <v>14.5</v>
      </c>
      <c r="E757" s="701"/>
      <c r="F757" s="701"/>
      <c r="G757" s="705">
        <v>2371</v>
      </c>
      <c r="H757" s="705" t="str">
        <f t="shared" si="24"/>
        <v>2371</v>
      </c>
      <c r="I757" s="705">
        <v>102</v>
      </c>
      <c r="J757" s="701">
        <v>36.96</v>
      </c>
    </row>
    <row r="758" spans="1:10" ht="12.75" x14ac:dyDescent="0.2">
      <c r="A758" s="700">
        <v>2371</v>
      </c>
      <c r="B758" s="700" t="str">
        <f t="shared" si="23"/>
        <v>2371</v>
      </c>
      <c r="C758" s="700">
        <v>130</v>
      </c>
      <c r="D758" s="701">
        <v>32.32</v>
      </c>
      <c r="E758" s="701"/>
      <c r="F758" s="701"/>
      <c r="G758" s="705">
        <v>2371</v>
      </c>
      <c r="H758" s="705" t="str">
        <f t="shared" si="24"/>
        <v>2371</v>
      </c>
      <c r="I758" s="705">
        <v>111</v>
      </c>
      <c r="J758" s="701">
        <v>23.63</v>
      </c>
    </row>
    <row r="759" spans="1:10" ht="12.75" x14ac:dyDescent="0.2">
      <c r="A759" s="700">
        <v>2401</v>
      </c>
      <c r="B759" s="700" t="str">
        <f t="shared" si="23"/>
        <v>2401</v>
      </c>
      <c r="C759" s="700">
        <v>101</v>
      </c>
      <c r="D759" s="701">
        <v>94.38</v>
      </c>
      <c r="E759" s="701"/>
      <c r="F759" s="701"/>
      <c r="G759" s="705">
        <v>2371</v>
      </c>
      <c r="H759" s="705" t="str">
        <f t="shared" si="24"/>
        <v>2371</v>
      </c>
      <c r="I759" s="705">
        <v>112</v>
      </c>
      <c r="J759" s="701">
        <v>13</v>
      </c>
    </row>
    <row r="760" spans="1:10" ht="12.75" x14ac:dyDescent="0.2">
      <c r="A760" s="700">
        <v>2401</v>
      </c>
      <c r="B760" s="700" t="str">
        <f t="shared" si="23"/>
        <v>2401</v>
      </c>
      <c r="C760" s="700">
        <v>102</v>
      </c>
      <c r="D760" s="701">
        <v>46.98</v>
      </c>
      <c r="E760" s="701"/>
      <c r="F760" s="701"/>
      <c r="G760" s="705">
        <v>2371</v>
      </c>
      <c r="H760" s="705" t="str">
        <f t="shared" si="24"/>
        <v>2371</v>
      </c>
      <c r="I760" s="705">
        <v>130</v>
      </c>
      <c r="J760" s="701">
        <v>31.05</v>
      </c>
    </row>
    <row r="761" spans="1:10" ht="12.75" x14ac:dyDescent="0.2">
      <c r="A761" s="700">
        <v>2401</v>
      </c>
      <c r="B761" s="700" t="str">
        <f t="shared" si="23"/>
        <v>2401</v>
      </c>
      <c r="C761" s="700">
        <v>111</v>
      </c>
      <c r="D761" s="701">
        <v>30.35</v>
      </c>
      <c r="E761" s="701"/>
      <c r="F761" s="701"/>
      <c r="G761" s="705">
        <v>2401</v>
      </c>
      <c r="H761" s="705" t="str">
        <f t="shared" si="24"/>
        <v>2401</v>
      </c>
      <c r="I761" s="705">
        <v>101</v>
      </c>
      <c r="J761" s="701">
        <v>97.39</v>
      </c>
    </row>
    <row r="762" spans="1:10" ht="12.75" x14ac:dyDescent="0.2">
      <c r="A762" s="700">
        <v>2401</v>
      </c>
      <c r="B762" s="700" t="str">
        <f t="shared" si="23"/>
        <v>2401</v>
      </c>
      <c r="C762" s="700">
        <v>112</v>
      </c>
      <c r="D762" s="701">
        <v>17.5</v>
      </c>
      <c r="E762" s="701"/>
      <c r="F762" s="701"/>
      <c r="G762" s="705">
        <v>2401</v>
      </c>
      <c r="H762" s="705" t="str">
        <f t="shared" si="24"/>
        <v>2401</v>
      </c>
      <c r="I762" s="705">
        <v>102</v>
      </c>
      <c r="J762" s="701">
        <v>47.54</v>
      </c>
    </row>
    <row r="763" spans="1:10" ht="12.75" x14ac:dyDescent="0.2">
      <c r="A763" s="700">
        <v>2401</v>
      </c>
      <c r="B763" s="700" t="str">
        <f t="shared" si="23"/>
        <v>2401</v>
      </c>
      <c r="C763" s="700">
        <v>130</v>
      </c>
      <c r="D763" s="701">
        <v>82.43</v>
      </c>
      <c r="E763" s="701"/>
      <c r="F763" s="701"/>
      <c r="G763" s="705">
        <v>2401</v>
      </c>
      <c r="H763" s="705" t="str">
        <f t="shared" si="24"/>
        <v>2401</v>
      </c>
      <c r="I763" s="705">
        <v>111</v>
      </c>
      <c r="J763" s="701">
        <v>34.31</v>
      </c>
    </row>
    <row r="764" spans="1:10" ht="12.75" x14ac:dyDescent="0.2">
      <c r="A764" s="700">
        <v>2411</v>
      </c>
      <c r="B764" s="700" t="str">
        <f t="shared" si="23"/>
        <v>2411</v>
      </c>
      <c r="C764" s="700">
        <v>111</v>
      </c>
      <c r="D764" s="701">
        <v>1</v>
      </c>
      <c r="E764" s="701"/>
      <c r="F764" s="701"/>
      <c r="G764" s="705">
        <v>2401</v>
      </c>
      <c r="H764" s="705" t="str">
        <f t="shared" si="24"/>
        <v>2401</v>
      </c>
      <c r="I764" s="705">
        <v>112</v>
      </c>
      <c r="J764" s="701">
        <v>18.52</v>
      </c>
    </row>
    <row r="765" spans="1:10" ht="12.75" x14ac:dyDescent="0.2">
      <c r="A765" s="700">
        <v>2411</v>
      </c>
      <c r="B765" s="700" t="str">
        <f t="shared" si="23"/>
        <v>2411</v>
      </c>
      <c r="C765" s="700">
        <v>112</v>
      </c>
      <c r="D765" s="701">
        <v>8.51</v>
      </c>
      <c r="E765" s="701"/>
      <c r="F765" s="701"/>
      <c r="G765" s="705">
        <v>2401</v>
      </c>
      <c r="H765" s="705" t="str">
        <f t="shared" si="24"/>
        <v>2401</v>
      </c>
      <c r="I765" s="705">
        <v>130</v>
      </c>
      <c r="J765" s="701">
        <v>78.959999999999994</v>
      </c>
    </row>
    <row r="766" spans="1:10" ht="12.75" x14ac:dyDescent="0.2">
      <c r="A766" s="700">
        <v>2411</v>
      </c>
      <c r="B766" s="700" t="str">
        <f t="shared" si="23"/>
        <v>2411</v>
      </c>
      <c r="C766" s="700">
        <v>113</v>
      </c>
      <c r="D766" s="701">
        <v>12.6</v>
      </c>
      <c r="E766" s="701"/>
      <c r="F766" s="701"/>
      <c r="G766" s="705">
        <v>2411</v>
      </c>
      <c r="H766" s="705" t="str">
        <f t="shared" si="24"/>
        <v>2411</v>
      </c>
      <c r="I766" s="705">
        <v>111</v>
      </c>
      <c r="J766" s="701">
        <v>1.5</v>
      </c>
    </row>
    <row r="767" spans="1:10" ht="12.75" x14ac:dyDescent="0.2">
      <c r="A767" s="700">
        <v>2411</v>
      </c>
      <c r="B767" s="700" t="str">
        <f t="shared" si="23"/>
        <v>2411</v>
      </c>
      <c r="C767" s="700">
        <v>254</v>
      </c>
      <c r="D767" s="701">
        <v>13.01</v>
      </c>
      <c r="E767" s="701"/>
      <c r="F767" s="701"/>
      <c r="G767" s="705">
        <v>2411</v>
      </c>
      <c r="H767" s="705" t="str">
        <f t="shared" si="24"/>
        <v>2411</v>
      </c>
      <c r="I767" s="705">
        <v>112</v>
      </c>
      <c r="J767" s="701">
        <v>10.050000000000001</v>
      </c>
    </row>
    <row r="768" spans="1:10" ht="12.75" x14ac:dyDescent="0.2">
      <c r="A768" s="700">
        <v>2421</v>
      </c>
      <c r="B768" s="700" t="str">
        <f t="shared" si="23"/>
        <v>2421</v>
      </c>
      <c r="C768" s="700">
        <v>101</v>
      </c>
      <c r="D768" s="701">
        <v>235.44</v>
      </c>
      <c r="E768" s="701"/>
      <c r="F768" s="701"/>
      <c r="G768" s="705">
        <v>2411</v>
      </c>
      <c r="H768" s="705" t="str">
        <f t="shared" si="24"/>
        <v>2411</v>
      </c>
      <c r="I768" s="705">
        <v>113</v>
      </c>
      <c r="J768" s="701">
        <v>12.58</v>
      </c>
    </row>
    <row r="769" spans="1:10" ht="12.75" x14ac:dyDescent="0.2">
      <c r="A769" s="700">
        <v>2421</v>
      </c>
      <c r="B769" s="700" t="str">
        <f t="shared" si="23"/>
        <v>2421</v>
      </c>
      <c r="C769" s="700">
        <v>102</v>
      </c>
      <c r="D769" s="701">
        <v>124.16</v>
      </c>
      <c r="E769" s="701"/>
      <c r="F769" s="701"/>
      <c r="G769" s="705">
        <v>2411</v>
      </c>
      <c r="H769" s="705" t="str">
        <f t="shared" si="24"/>
        <v>2411</v>
      </c>
      <c r="I769" s="705">
        <v>254</v>
      </c>
      <c r="J769" s="701">
        <v>13.34</v>
      </c>
    </row>
    <row r="770" spans="1:10" ht="12.75" x14ac:dyDescent="0.2">
      <c r="A770" s="700">
        <v>2421</v>
      </c>
      <c r="B770" s="700" t="str">
        <f t="shared" ref="B770:B833" si="25">TEXT(A770,"0000")</f>
        <v>2421</v>
      </c>
      <c r="C770" s="700">
        <v>111</v>
      </c>
      <c r="D770" s="701">
        <v>51.5</v>
      </c>
      <c r="E770" s="701"/>
      <c r="F770" s="701"/>
      <c r="G770" s="705">
        <v>2421</v>
      </c>
      <c r="H770" s="705" t="str">
        <f t="shared" si="24"/>
        <v>2421</v>
      </c>
      <c r="I770" s="705">
        <v>101</v>
      </c>
      <c r="J770" s="701">
        <v>231.57</v>
      </c>
    </row>
    <row r="771" spans="1:10" ht="12.75" x14ac:dyDescent="0.2">
      <c r="A771" s="700">
        <v>2421</v>
      </c>
      <c r="B771" s="700" t="str">
        <f t="shared" si="25"/>
        <v>2421</v>
      </c>
      <c r="C771" s="700">
        <v>112</v>
      </c>
      <c r="D771" s="701">
        <v>32.979999999999997</v>
      </c>
      <c r="E771" s="701"/>
      <c r="F771" s="701"/>
      <c r="G771" s="705">
        <v>2421</v>
      </c>
      <c r="H771" s="705" t="str">
        <f t="shared" ref="H771:H834" si="26">TEXT(G771,"0000")</f>
        <v>2421</v>
      </c>
      <c r="I771" s="705">
        <v>102</v>
      </c>
      <c r="J771" s="701">
        <v>125.15</v>
      </c>
    </row>
    <row r="772" spans="1:10" ht="12.75" x14ac:dyDescent="0.2">
      <c r="A772" s="700">
        <v>2421</v>
      </c>
      <c r="B772" s="700" t="str">
        <f t="shared" si="25"/>
        <v>2421</v>
      </c>
      <c r="C772" s="700">
        <v>130</v>
      </c>
      <c r="D772" s="701">
        <v>25.86</v>
      </c>
      <c r="E772" s="701"/>
      <c r="F772" s="701"/>
      <c r="G772" s="705">
        <v>2421</v>
      </c>
      <c r="H772" s="705" t="str">
        <f t="shared" si="26"/>
        <v>2421</v>
      </c>
      <c r="I772" s="705">
        <v>111</v>
      </c>
      <c r="J772" s="701">
        <v>58</v>
      </c>
    </row>
    <row r="773" spans="1:10" ht="12.75" x14ac:dyDescent="0.2">
      <c r="A773" s="700">
        <v>2421</v>
      </c>
      <c r="B773" s="700" t="str">
        <f t="shared" si="25"/>
        <v>2421</v>
      </c>
      <c r="C773" s="700">
        <v>255</v>
      </c>
      <c r="D773" s="701">
        <v>0.5</v>
      </c>
      <c r="E773" s="701"/>
      <c r="F773" s="701"/>
      <c r="G773" s="705">
        <v>2421</v>
      </c>
      <c r="H773" s="705" t="str">
        <f t="shared" si="26"/>
        <v>2421</v>
      </c>
      <c r="I773" s="705">
        <v>112</v>
      </c>
      <c r="J773" s="701">
        <v>32.5</v>
      </c>
    </row>
    <row r="774" spans="1:10" ht="12.75" x14ac:dyDescent="0.2">
      <c r="A774" s="700">
        <v>2431</v>
      </c>
      <c r="B774" s="700" t="str">
        <f t="shared" si="25"/>
        <v>2431</v>
      </c>
      <c r="C774" s="700">
        <v>101</v>
      </c>
      <c r="D774" s="701">
        <v>48.63</v>
      </c>
      <c r="E774" s="701"/>
      <c r="F774" s="701"/>
      <c r="G774" s="705">
        <v>2421</v>
      </c>
      <c r="H774" s="705" t="str">
        <f t="shared" si="26"/>
        <v>2421</v>
      </c>
      <c r="I774" s="705">
        <v>130</v>
      </c>
      <c r="J774" s="701">
        <v>24.22</v>
      </c>
    </row>
    <row r="775" spans="1:10" ht="12.75" x14ac:dyDescent="0.2">
      <c r="A775" s="700">
        <v>2431</v>
      </c>
      <c r="B775" s="700" t="str">
        <f t="shared" si="25"/>
        <v>2431</v>
      </c>
      <c r="C775" s="700">
        <v>102</v>
      </c>
      <c r="D775" s="701">
        <v>40</v>
      </c>
      <c r="E775" s="701"/>
      <c r="F775" s="701"/>
      <c r="G775" s="705">
        <v>2421</v>
      </c>
      <c r="H775" s="705" t="str">
        <f t="shared" si="26"/>
        <v>2421</v>
      </c>
      <c r="I775" s="705">
        <v>255</v>
      </c>
      <c r="J775" s="701">
        <v>0.5</v>
      </c>
    </row>
    <row r="776" spans="1:10" ht="12.75" x14ac:dyDescent="0.2">
      <c r="A776" s="700">
        <v>2431</v>
      </c>
      <c r="B776" s="700" t="str">
        <f t="shared" si="25"/>
        <v>2431</v>
      </c>
      <c r="C776" s="700">
        <v>111</v>
      </c>
      <c r="D776" s="701">
        <v>25.54</v>
      </c>
      <c r="E776" s="701"/>
      <c r="F776" s="701"/>
      <c r="G776" s="705">
        <v>2431</v>
      </c>
      <c r="H776" s="705" t="str">
        <f t="shared" si="26"/>
        <v>2431</v>
      </c>
      <c r="I776" s="705">
        <v>101</v>
      </c>
      <c r="J776" s="701">
        <v>47.01</v>
      </c>
    </row>
    <row r="777" spans="1:10" ht="12.75" x14ac:dyDescent="0.2">
      <c r="A777" s="700">
        <v>2431</v>
      </c>
      <c r="B777" s="700" t="str">
        <f t="shared" si="25"/>
        <v>2431</v>
      </c>
      <c r="C777" s="700">
        <v>112</v>
      </c>
      <c r="D777" s="701">
        <v>10.53</v>
      </c>
      <c r="E777" s="701"/>
      <c r="F777" s="701"/>
      <c r="G777" s="705">
        <v>2431</v>
      </c>
      <c r="H777" s="705" t="str">
        <f t="shared" si="26"/>
        <v>2431</v>
      </c>
      <c r="I777" s="705">
        <v>102</v>
      </c>
      <c r="J777" s="701">
        <v>40.96</v>
      </c>
    </row>
    <row r="778" spans="1:10" ht="12.75" x14ac:dyDescent="0.2">
      <c r="A778" s="700">
        <v>2431</v>
      </c>
      <c r="B778" s="700" t="str">
        <f t="shared" si="25"/>
        <v>2431</v>
      </c>
      <c r="C778" s="700">
        <v>130</v>
      </c>
      <c r="D778" s="701">
        <v>164.51</v>
      </c>
      <c r="E778" s="701"/>
      <c r="F778" s="701"/>
      <c r="G778" s="705">
        <v>2431</v>
      </c>
      <c r="H778" s="705" t="str">
        <f t="shared" si="26"/>
        <v>2431</v>
      </c>
      <c r="I778" s="705">
        <v>111</v>
      </c>
      <c r="J778" s="701">
        <v>25.95</v>
      </c>
    </row>
    <row r="779" spans="1:10" ht="12.75" x14ac:dyDescent="0.2">
      <c r="A779" s="700">
        <v>2431</v>
      </c>
      <c r="B779" s="700" t="str">
        <f t="shared" si="25"/>
        <v>2431</v>
      </c>
      <c r="C779" s="700">
        <v>254</v>
      </c>
      <c r="D779" s="701">
        <v>0.5</v>
      </c>
      <c r="E779" s="701"/>
      <c r="F779" s="701"/>
      <c r="G779" s="705">
        <v>2431</v>
      </c>
      <c r="H779" s="705" t="str">
        <f t="shared" si="26"/>
        <v>2431</v>
      </c>
      <c r="I779" s="705">
        <v>112</v>
      </c>
      <c r="J779" s="701">
        <v>9.99</v>
      </c>
    </row>
    <row r="780" spans="1:10" ht="12.75" x14ac:dyDescent="0.2">
      <c r="A780" s="700">
        <v>2451</v>
      </c>
      <c r="B780" s="700" t="str">
        <f t="shared" si="25"/>
        <v>2451</v>
      </c>
      <c r="C780" s="700">
        <v>102</v>
      </c>
      <c r="D780" s="701">
        <v>406.66</v>
      </c>
      <c r="E780" s="701"/>
      <c r="F780" s="701"/>
      <c r="G780" s="705">
        <v>2431</v>
      </c>
      <c r="H780" s="705" t="str">
        <f t="shared" si="26"/>
        <v>2431</v>
      </c>
      <c r="I780" s="705">
        <v>130</v>
      </c>
      <c r="J780" s="701">
        <v>162.26</v>
      </c>
    </row>
    <row r="781" spans="1:10" ht="12.75" x14ac:dyDescent="0.2">
      <c r="A781" s="700">
        <v>2451</v>
      </c>
      <c r="B781" s="700" t="str">
        <f t="shared" si="25"/>
        <v>2451</v>
      </c>
      <c r="C781" s="700">
        <v>112</v>
      </c>
      <c r="D781" s="701">
        <v>131.71</v>
      </c>
      <c r="E781" s="701"/>
      <c r="F781" s="701"/>
      <c r="G781" s="705">
        <v>2431</v>
      </c>
      <c r="H781" s="705" t="str">
        <f t="shared" si="26"/>
        <v>2431</v>
      </c>
      <c r="I781" s="705">
        <v>254</v>
      </c>
      <c r="J781" s="701">
        <v>1.5</v>
      </c>
    </row>
    <row r="782" spans="1:10" ht="12.75" x14ac:dyDescent="0.2">
      <c r="A782" s="700">
        <v>2451</v>
      </c>
      <c r="B782" s="700" t="str">
        <f t="shared" si="25"/>
        <v>2451</v>
      </c>
      <c r="C782" s="700">
        <v>130</v>
      </c>
      <c r="D782" s="701">
        <v>19.399999999999999</v>
      </c>
      <c r="E782" s="701"/>
      <c r="F782" s="701"/>
      <c r="G782" s="705">
        <v>2451</v>
      </c>
      <c r="H782" s="705" t="str">
        <f t="shared" si="26"/>
        <v>2451</v>
      </c>
      <c r="I782" s="705">
        <v>102</v>
      </c>
      <c r="J782" s="701">
        <v>407.88</v>
      </c>
    </row>
    <row r="783" spans="1:10" ht="12.75" x14ac:dyDescent="0.2">
      <c r="A783" s="700">
        <v>2461</v>
      </c>
      <c r="B783" s="700" t="str">
        <f t="shared" si="25"/>
        <v>2461</v>
      </c>
      <c r="C783" s="700">
        <v>102</v>
      </c>
      <c r="D783" s="701">
        <v>479.59</v>
      </c>
      <c r="E783" s="701"/>
      <c r="F783" s="701"/>
      <c r="G783" s="705">
        <v>2451</v>
      </c>
      <c r="H783" s="705" t="str">
        <f t="shared" si="26"/>
        <v>2451</v>
      </c>
      <c r="I783" s="705">
        <v>112</v>
      </c>
      <c r="J783" s="701">
        <v>129.13999999999999</v>
      </c>
    </row>
    <row r="784" spans="1:10" ht="12.75" x14ac:dyDescent="0.2">
      <c r="A784" s="700">
        <v>2461</v>
      </c>
      <c r="B784" s="700" t="str">
        <f t="shared" si="25"/>
        <v>2461</v>
      </c>
      <c r="C784" s="700">
        <v>112</v>
      </c>
      <c r="D784" s="701">
        <v>176.33</v>
      </c>
      <c r="E784" s="701"/>
      <c r="F784" s="701"/>
      <c r="G784" s="705">
        <v>2451</v>
      </c>
      <c r="H784" s="705" t="str">
        <f t="shared" si="26"/>
        <v>2451</v>
      </c>
      <c r="I784" s="705">
        <v>130</v>
      </c>
      <c r="J784" s="701">
        <v>20.93</v>
      </c>
    </row>
    <row r="785" spans="1:10" ht="12.75" x14ac:dyDescent="0.2">
      <c r="A785" s="700">
        <v>2461</v>
      </c>
      <c r="B785" s="700" t="str">
        <f t="shared" si="25"/>
        <v>2461</v>
      </c>
      <c r="C785" s="700">
        <v>130</v>
      </c>
      <c r="D785" s="701">
        <v>59.28</v>
      </c>
      <c r="E785" s="701"/>
      <c r="F785" s="701"/>
      <c r="G785" s="705">
        <v>2461</v>
      </c>
      <c r="H785" s="705" t="str">
        <f t="shared" si="26"/>
        <v>2461</v>
      </c>
      <c r="I785" s="705">
        <v>102</v>
      </c>
      <c r="J785" s="701">
        <v>481.52</v>
      </c>
    </row>
    <row r="786" spans="1:10" ht="12.75" x14ac:dyDescent="0.2">
      <c r="A786" s="700">
        <v>2461</v>
      </c>
      <c r="B786" s="700" t="str">
        <f t="shared" si="25"/>
        <v>2461</v>
      </c>
      <c r="C786" s="700">
        <v>254</v>
      </c>
      <c r="D786" s="701">
        <v>1</v>
      </c>
      <c r="E786" s="701"/>
      <c r="F786" s="701"/>
      <c r="G786" s="705">
        <v>2461</v>
      </c>
      <c r="H786" s="705" t="str">
        <f t="shared" si="26"/>
        <v>2461</v>
      </c>
      <c r="I786" s="705">
        <v>112</v>
      </c>
      <c r="J786" s="701">
        <v>175.73</v>
      </c>
    </row>
    <row r="787" spans="1:10" ht="12.75" x14ac:dyDescent="0.2">
      <c r="A787" s="700">
        <v>2491</v>
      </c>
      <c r="B787" s="700" t="str">
        <f t="shared" si="25"/>
        <v>2491</v>
      </c>
      <c r="C787" s="700">
        <v>101</v>
      </c>
      <c r="D787" s="701">
        <v>130.22999999999999</v>
      </c>
      <c r="E787" s="701"/>
      <c r="F787" s="701"/>
      <c r="G787" s="705">
        <v>2461</v>
      </c>
      <c r="H787" s="705" t="str">
        <f t="shared" si="26"/>
        <v>2461</v>
      </c>
      <c r="I787" s="705">
        <v>130</v>
      </c>
      <c r="J787" s="701">
        <v>59.06</v>
      </c>
    </row>
    <row r="788" spans="1:10" ht="12.75" x14ac:dyDescent="0.2">
      <c r="A788" s="700">
        <v>2491</v>
      </c>
      <c r="B788" s="700" t="str">
        <f t="shared" si="25"/>
        <v>2491</v>
      </c>
      <c r="C788" s="700">
        <v>102</v>
      </c>
      <c r="D788" s="701">
        <v>47.96</v>
      </c>
      <c r="E788" s="701"/>
      <c r="F788" s="701"/>
      <c r="G788" s="705">
        <v>2461</v>
      </c>
      <c r="H788" s="705" t="str">
        <f t="shared" si="26"/>
        <v>2461</v>
      </c>
      <c r="I788" s="705">
        <v>254</v>
      </c>
      <c r="J788" s="701">
        <v>1</v>
      </c>
    </row>
    <row r="789" spans="1:10" ht="12.75" x14ac:dyDescent="0.2">
      <c r="A789" s="700">
        <v>2491</v>
      </c>
      <c r="B789" s="700" t="str">
        <f t="shared" si="25"/>
        <v>2491</v>
      </c>
      <c r="C789" s="700">
        <v>111</v>
      </c>
      <c r="D789" s="701">
        <v>19.62</v>
      </c>
      <c r="E789" s="701"/>
      <c r="F789" s="701"/>
      <c r="G789" s="705">
        <v>2491</v>
      </c>
      <c r="H789" s="705" t="str">
        <f t="shared" si="26"/>
        <v>2491</v>
      </c>
      <c r="I789" s="705">
        <v>101</v>
      </c>
      <c r="J789" s="701">
        <v>128.4</v>
      </c>
    </row>
    <row r="790" spans="1:10" ht="12.75" x14ac:dyDescent="0.2">
      <c r="A790" s="700">
        <v>2491</v>
      </c>
      <c r="B790" s="700" t="str">
        <f t="shared" si="25"/>
        <v>2491</v>
      </c>
      <c r="C790" s="700">
        <v>112</v>
      </c>
      <c r="D790" s="701">
        <v>12.02</v>
      </c>
      <c r="E790" s="701"/>
      <c r="F790" s="701"/>
      <c r="G790" s="705">
        <v>2491</v>
      </c>
      <c r="H790" s="705" t="str">
        <f t="shared" si="26"/>
        <v>2491</v>
      </c>
      <c r="I790" s="705">
        <v>102</v>
      </c>
      <c r="J790" s="701">
        <v>52.19</v>
      </c>
    </row>
    <row r="791" spans="1:10" ht="12.75" x14ac:dyDescent="0.2">
      <c r="A791" s="700">
        <v>2491</v>
      </c>
      <c r="B791" s="700" t="str">
        <f t="shared" si="25"/>
        <v>2491</v>
      </c>
      <c r="C791" s="700">
        <v>130</v>
      </c>
      <c r="D791" s="701">
        <v>24.19</v>
      </c>
      <c r="E791" s="701"/>
      <c r="F791" s="701"/>
      <c r="G791" s="705">
        <v>2491</v>
      </c>
      <c r="H791" s="705" t="str">
        <f t="shared" si="26"/>
        <v>2491</v>
      </c>
      <c r="I791" s="705">
        <v>111</v>
      </c>
      <c r="J791" s="701">
        <v>19.010000000000002</v>
      </c>
    </row>
    <row r="792" spans="1:10" ht="12.75" x14ac:dyDescent="0.2">
      <c r="A792" s="700">
        <v>2511</v>
      </c>
      <c r="B792" s="700" t="str">
        <f t="shared" si="25"/>
        <v>2511</v>
      </c>
      <c r="C792" s="700">
        <v>102</v>
      </c>
      <c r="D792" s="701">
        <v>383.6</v>
      </c>
      <c r="E792" s="701"/>
      <c r="F792" s="701"/>
      <c r="G792" s="705">
        <v>2491</v>
      </c>
      <c r="H792" s="705" t="str">
        <f t="shared" si="26"/>
        <v>2491</v>
      </c>
      <c r="I792" s="705">
        <v>112</v>
      </c>
      <c r="J792" s="701">
        <v>12.89</v>
      </c>
    </row>
    <row r="793" spans="1:10" ht="12.75" x14ac:dyDescent="0.2">
      <c r="A793" s="700">
        <v>2511</v>
      </c>
      <c r="B793" s="700" t="str">
        <f t="shared" si="25"/>
        <v>2511</v>
      </c>
      <c r="C793" s="700">
        <v>112</v>
      </c>
      <c r="D793" s="701">
        <v>229.62</v>
      </c>
      <c r="E793" s="701"/>
      <c r="F793" s="701"/>
      <c r="G793" s="705">
        <v>2491</v>
      </c>
      <c r="H793" s="705" t="str">
        <f t="shared" si="26"/>
        <v>2491</v>
      </c>
      <c r="I793" s="705">
        <v>130</v>
      </c>
      <c r="J793" s="701">
        <v>24.28</v>
      </c>
    </row>
    <row r="794" spans="1:10" ht="12.75" x14ac:dyDescent="0.2">
      <c r="A794" s="700">
        <v>2511</v>
      </c>
      <c r="B794" s="700" t="str">
        <f t="shared" si="25"/>
        <v>2511</v>
      </c>
      <c r="C794" s="700">
        <v>130</v>
      </c>
      <c r="D794" s="701">
        <v>2.2799999999999998</v>
      </c>
      <c r="E794" s="701"/>
      <c r="F794" s="701"/>
      <c r="G794" s="705">
        <v>2511</v>
      </c>
      <c r="H794" s="705" t="str">
        <f t="shared" si="26"/>
        <v>2511</v>
      </c>
      <c r="I794" s="705">
        <v>102</v>
      </c>
      <c r="J794" s="701">
        <v>374.11</v>
      </c>
    </row>
    <row r="795" spans="1:10" ht="12.75" x14ac:dyDescent="0.2">
      <c r="A795" s="700">
        <v>2521</v>
      </c>
      <c r="B795" s="700" t="str">
        <f t="shared" si="25"/>
        <v>2521</v>
      </c>
      <c r="C795" s="700">
        <v>113</v>
      </c>
      <c r="D795" s="701">
        <v>27.75</v>
      </c>
      <c r="E795" s="701"/>
      <c r="F795" s="701"/>
      <c r="G795" s="705">
        <v>2511</v>
      </c>
      <c r="H795" s="705" t="str">
        <f t="shared" si="26"/>
        <v>2511</v>
      </c>
      <c r="I795" s="705">
        <v>112</v>
      </c>
      <c r="J795" s="701">
        <v>229.59</v>
      </c>
    </row>
    <row r="796" spans="1:10" ht="12.75" x14ac:dyDescent="0.2">
      <c r="A796" s="700">
        <v>2521</v>
      </c>
      <c r="B796" s="700" t="str">
        <f t="shared" si="25"/>
        <v>2521</v>
      </c>
      <c r="C796" s="700">
        <v>254</v>
      </c>
      <c r="D796" s="701">
        <v>9.3000000000000007</v>
      </c>
      <c r="E796" s="701"/>
      <c r="F796" s="701"/>
      <c r="G796" s="705">
        <v>2511</v>
      </c>
      <c r="H796" s="705" t="str">
        <f t="shared" si="26"/>
        <v>2511</v>
      </c>
      <c r="I796" s="705">
        <v>130</v>
      </c>
      <c r="J796" s="701">
        <v>1.36</v>
      </c>
    </row>
    <row r="797" spans="1:10" ht="12.75" x14ac:dyDescent="0.2">
      <c r="A797" s="700">
        <v>2531</v>
      </c>
      <c r="B797" s="700" t="str">
        <f t="shared" si="25"/>
        <v>2531</v>
      </c>
      <c r="C797" s="700">
        <v>113</v>
      </c>
      <c r="D797" s="701">
        <v>11.52</v>
      </c>
      <c r="E797" s="701"/>
      <c r="F797" s="701"/>
      <c r="G797" s="705">
        <v>2521</v>
      </c>
      <c r="H797" s="705" t="str">
        <f t="shared" si="26"/>
        <v>2521</v>
      </c>
      <c r="I797" s="705">
        <v>113</v>
      </c>
      <c r="J797" s="701">
        <v>27.19</v>
      </c>
    </row>
    <row r="798" spans="1:10" ht="12.75" x14ac:dyDescent="0.2">
      <c r="A798" s="700">
        <v>2531</v>
      </c>
      <c r="B798" s="700" t="str">
        <f t="shared" si="25"/>
        <v>2531</v>
      </c>
      <c r="C798" s="700">
        <v>254</v>
      </c>
      <c r="D798" s="701">
        <v>2</v>
      </c>
      <c r="E798" s="701"/>
      <c r="F798" s="701"/>
      <c r="G798" s="705">
        <v>2521</v>
      </c>
      <c r="H798" s="705" t="str">
        <f t="shared" si="26"/>
        <v>2521</v>
      </c>
      <c r="I798" s="705">
        <v>254</v>
      </c>
      <c r="J798" s="701">
        <v>9.36</v>
      </c>
    </row>
    <row r="799" spans="1:10" ht="12.75" x14ac:dyDescent="0.2">
      <c r="A799" s="700">
        <v>2531</v>
      </c>
      <c r="B799" s="700" t="str">
        <f t="shared" si="25"/>
        <v>2531</v>
      </c>
      <c r="C799" s="700">
        <v>255</v>
      </c>
      <c r="D799" s="701">
        <v>10.44</v>
      </c>
      <c r="E799" s="701"/>
      <c r="F799" s="701"/>
      <c r="G799" s="705">
        <v>2531</v>
      </c>
      <c r="H799" s="705" t="str">
        <f t="shared" si="26"/>
        <v>2531</v>
      </c>
      <c r="I799" s="705">
        <v>112</v>
      </c>
      <c r="J799" s="701">
        <v>0.5</v>
      </c>
    </row>
    <row r="800" spans="1:10" ht="12.75" x14ac:dyDescent="0.2">
      <c r="A800" s="700">
        <v>2541</v>
      </c>
      <c r="B800" s="700" t="str">
        <f t="shared" si="25"/>
        <v>2541</v>
      </c>
      <c r="C800" s="700">
        <v>101</v>
      </c>
      <c r="D800" s="701">
        <v>65</v>
      </c>
      <c r="E800" s="701"/>
      <c r="F800" s="701"/>
      <c r="G800" s="705">
        <v>2531</v>
      </c>
      <c r="H800" s="705" t="str">
        <f t="shared" si="26"/>
        <v>2531</v>
      </c>
      <c r="I800" s="705">
        <v>113</v>
      </c>
      <c r="J800" s="701">
        <v>10.98</v>
      </c>
    </row>
    <row r="801" spans="1:10" ht="12.75" x14ac:dyDescent="0.2">
      <c r="A801" s="700">
        <v>2541</v>
      </c>
      <c r="B801" s="700" t="str">
        <f t="shared" si="25"/>
        <v>2541</v>
      </c>
      <c r="C801" s="700">
        <v>102</v>
      </c>
      <c r="D801" s="701">
        <v>131.38</v>
      </c>
      <c r="E801" s="701"/>
      <c r="F801" s="701"/>
      <c r="G801" s="705">
        <v>2531</v>
      </c>
      <c r="H801" s="705" t="str">
        <f t="shared" si="26"/>
        <v>2531</v>
      </c>
      <c r="I801" s="705">
        <v>254</v>
      </c>
      <c r="J801" s="701">
        <v>2.52</v>
      </c>
    </row>
    <row r="802" spans="1:10" ht="12.75" x14ac:dyDescent="0.2">
      <c r="A802" s="700">
        <v>2541</v>
      </c>
      <c r="B802" s="700" t="str">
        <f t="shared" si="25"/>
        <v>2541</v>
      </c>
      <c r="C802" s="700">
        <v>111</v>
      </c>
      <c r="D802" s="701">
        <v>26.5</v>
      </c>
      <c r="E802" s="701"/>
      <c r="F802" s="701"/>
      <c r="G802" s="705">
        <v>2531</v>
      </c>
      <c r="H802" s="705" t="str">
        <f t="shared" si="26"/>
        <v>2531</v>
      </c>
      <c r="I802" s="705">
        <v>255</v>
      </c>
      <c r="J802" s="701">
        <v>10.54</v>
      </c>
    </row>
    <row r="803" spans="1:10" ht="12.75" x14ac:dyDescent="0.2">
      <c r="A803" s="700">
        <v>2541</v>
      </c>
      <c r="B803" s="700" t="str">
        <f t="shared" si="25"/>
        <v>2541</v>
      </c>
      <c r="C803" s="700">
        <v>112</v>
      </c>
      <c r="D803" s="701">
        <v>54.48</v>
      </c>
      <c r="E803" s="701"/>
      <c r="F803" s="701"/>
      <c r="G803" s="705">
        <v>2541</v>
      </c>
      <c r="H803" s="705" t="str">
        <f t="shared" si="26"/>
        <v>2541</v>
      </c>
      <c r="I803" s="705">
        <v>101</v>
      </c>
      <c r="J803" s="701">
        <v>64.099999999999994</v>
      </c>
    </row>
    <row r="804" spans="1:10" ht="12.75" x14ac:dyDescent="0.2">
      <c r="A804" s="700">
        <v>2541</v>
      </c>
      <c r="B804" s="700" t="str">
        <f t="shared" si="25"/>
        <v>2541</v>
      </c>
      <c r="C804" s="700">
        <v>130</v>
      </c>
      <c r="D804" s="701">
        <v>2.0299999999999998</v>
      </c>
      <c r="E804" s="701"/>
      <c r="F804" s="701"/>
      <c r="G804" s="705">
        <v>2541</v>
      </c>
      <c r="H804" s="705" t="str">
        <f t="shared" si="26"/>
        <v>2541</v>
      </c>
      <c r="I804" s="705">
        <v>102</v>
      </c>
      <c r="J804" s="701">
        <v>131.88999999999999</v>
      </c>
    </row>
    <row r="805" spans="1:10" ht="12.75" x14ac:dyDescent="0.2">
      <c r="A805" s="700">
        <v>2551</v>
      </c>
      <c r="B805" s="700" t="str">
        <f t="shared" si="25"/>
        <v>2551</v>
      </c>
      <c r="C805" s="700">
        <v>101</v>
      </c>
      <c r="D805" s="701">
        <v>159.6</v>
      </c>
      <c r="E805" s="701"/>
      <c r="F805" s="701"/>
      <c r="G805" s="705">
        <v>2541</v>
      </c>
      <c r="H805" s="705" t="str">
        <f t="shared" si="26"/>
        <v>2541</v>
      </c>
      <c r="I805" s="705">
        <v>111</v>
      </c>
      <c r="J805" s="701">
        <v>26.5</v>
      </c>
    </row>
    <row r="806" spans="1:10" ht="12.75" x14ac:dyDescent="0.2">
      <c r="A806" s="700">
        <v>2551</v>
      </c>
      <c r="B806" s="700" t="str">
        <f t="shared" si="25"/>
        <v>2551</v>
      </c>
      <c r="C806" s="700">
        <v>102</v>
      </c>
      <c r="D806" s="701">
        <v>90.86</v>
      </c>
      <c r="E806" s="701"/>
      <c r="F806" s="701"/>
      <c r="G806" s="705">
        <v>2541</v>
      </c>
      <c r="H806" s="705" t="str">
        <f t="shared" si="26"/>
        <v>2541</v>
      </c>
      <c r="I806" s="705">
        <v>112</v>
      </c>
      <c r="J806" s="701">
        <v>54.98</v>
      </c>
    </row>
    <row r="807" spans="1:10" ht="12.75" x14ac:dyDescent="0.2">
      <c r="A807" s="700">
        <v>2551</v>
      </c>
      <c r="B807" s="700" t="str">
        <f t="shared" si="25"/>
        <v>2551</v>
      </c>
      <c r="C807" s="700">
        <v>111</v>
      </c>
      <c r="D807" s="701">
        <v>39</v>
      </c>
      <c r="E807" s="701"/>
      <c r="F807" s="701"/>
      <c r="G807" s="705">
        <v>2541</v>
      </c>
      <c r="H807" s="705" t="str">
        <f t="shared" si="26"/>
        <v>2541</v>
      </c>
      <c r="I807" s="705">
        <v>130</v>
      </c>
      <c r="J807" s="701">
        <v>2.4300000000000002</v>
      </c>
    </row>
    <row r="808" spans="1:10" ht="12.75" x14ac:dyDescent="0.2">
      <c r="A808" s="700">
        <v>2551</v>
      </c>
      <c r="B808" s="700" t="str">
        <f t="shared" si="25"/>
        <v>2551</v>
      </c>
      <c r="C808" s="700">
        <v>112</v>
      </c>
      <c r="D808" s="701">
        <v>23</v>
      </c>
      <c r="E808" s="701"/>
      <c r="F808" s="701"/>
      <c r="G808" s="705">
        <v>2551</v>
      </c>
      <c r="H808" s="705" t="str">
        <f t="shared" si="26"/>
        <v>2551</v>
      </c>
      <c r="I808" s="705">
        <v>101</v>
      </c>
      <c r="J808" s="701">
        <v>158</v>
      </c>
    </row>
    <row r="809" spans="1:10" ht="12.75" x14ac:dyDescent="0.2">
      <c r="A809" s="700">
        <v>2551</v>
      </c>
      <c r="B809" s="700" t="str">
        <f t="shared" si="25"/>
        <v>2551</v>
      </c>
      <c r="C809" s="700">
        <v>130</v>
      </c>
      <c r="D809" s="701">
        <v>15.55</v>
      </c>
      <c r="E809" s="701"/>
      <c r="F809" s="701"/>
      <c r="G809" s="705">
        <v>2551</v>
      </c>
      <c r="H809" s="705" t="str">
        <f t="shared" si="26"/>
        <v>2551</v>
      </c>
      <c r="I809" s="705">
        <v>102</v>
      </c>
      <c r="J809" s="701">
        <v>90.25</v>
      </c>
    </row>
    <row r="810" spans="1:10" ht="12.75" x14ac:dyDescent="0.2">
      <c r="A810" s="700">
        <v>2561</v>
      </c>
      <c r="B810" s="700" t="str">
        <f t="shared" si="25"/>
        <v>2561</v>
      </c>
      <c r="C810" s="700">
        <v>101</v>
      </c>
      <c r="D810" s="701">
        <v>122.92</v>
      </c>
      <c r="E810" s="701"/>
      <c r="F810" s="701"/>
      <c r="G810" s="705">
        <v>2551</v>
      </c>
      <c r="H810" s="705" t="str">
        <f t="shared" si="26"/>
        <v>2551</v>
      </c>
      <c r="I810" s="705">
        <v>111</v>
      </c>
      <c r="J810" s="701">
        <v>39</v>
      </c>
    </row>
    <row r="811" spans="1:10" ht="12.75" x14ac:dyDescent="0.2">
      <c r="A811" s="700">
        <v>2561</v>
      </c>
      <c r="B811" s="700" t="str">
        <f t="shared" si="25"/>
        <v>2561</v>
      </c>
      <c r="C811" s="700">
        <v>102</v>
      </c>
      <c r="D811" s="701">
        <v>95.21</v>
      </c>
      <c r="E811" s="701"/>
      <c r="F811" s="701"/>
      <c r="G811" s="705">
        <v>2551</v>
      </c>
      <c r="H811" s="705" t="str">
        <f t="shared" si="26"/>
        <v>2551</v>
      </c>
      <c r="I811" s="705">
        <v>112</v>
      </c>
      <c r="J811" s="701">
        <v>22.5</v>
      </c>
    </row>
    <row r="812" spans="1:10" ht="12.75" x14ac:dyDescent="0.2">
      <c r="A812" s="700">
        <v>2561</v>
      </c>
      <c r="B812" s="700" t="str">
        <f t="shared" si="25"/>
        <v>2561</v>
      </c>
      <c r="C812" s="700">
        <v>111</v>
      </c>
      <c r="D812" s="701">
        <v>62</v>
      </c>
      <c r="E812" s="701"/>
      <c r="F812" s="701"/>
      <c r="G812" s="705">
        <v>2551</v>
      </c>
      <c r="H812" s="705" t="str">
        <f t="shared" si="26"/>
        <v>2551</v>
      </c>
      <c r="I812" s="705">
        <v>130</v>
      </c>
      <c r="J812" s="701">
        <v>15.54</v>
      </c>
    </row>
    <row r="813" spans="1:10" ht="12.75" x14ac:dyDescent="0.2">
      <c r="A813" s="700">
        <v>2561</v>
      </c>
      <c r="B813" s="700" t="str">
        <f t="shared" si="25"/>
        <v>2561</v>
      </c>
      <c r="C813" s="700">
        <v>112</v>
      </c>
      <c r="D813" s="701">
        <v>52</v>
      </c>
      <c r="E813" s="701"/>
      <c r="F813" s="701"/>
      <c r="G813" s="705">
        <v>2561</v>
      </c>
      <c r="H813" s="705" t="str">
        <f t="shared" si="26"/>
        <v>2561</v>
      </c>
      <c r="I813" s="705">
        <v>101</v>
      </c>
      <c r="J813" s="701">
        <v>124.43</v>
      </c>
    </row>
    <row r="814" spans="1:10" ht="12.75" x14ac:dyDescent="0.2">
      <c r="A814" s="700">
        <v>2561</v>
      </c>
      <c r="B814" s="700" t="str">
        <f t="shared" si="25"/>
        <v>2561</v>
      </c>
      <c r="C814" s="700">
        <v>130</v>
      </c>
      <c r="D814" s="701">
        <v>15.27</v>
      </c>
      <c r="E814" s="701"/>
      <c r="F814" s="701"/>
      <c r="G814" s="705">
        <v>2561</v>
      </c>
      <c r="H814" s="705" t="str">
        <f t="shared" si="26"/>
        <v>2561</v>
      </c>
      <c r="I814" s="705">
        <v>102</v>
      </c>
      <c r="J814" s="701">
        <v>94.08</v>
      </c>
    </row>
    <row r="815" spans="1:10" ht="12.75" x14ac:dyDescent="0.2">
      <c r="A815" s="700">
        <v>2571</v>
      </c>
      <c r="B815" s="700" t="str">
        <f t="shared" si="25"/>
        <v>2571</v>
      </c>
      <c r="C815" s="700">
        <v>101</v>
      </c>
      <c r="D815" s="701">
        <v>122.72</v>
      </c>
      <c r="E815" s="701"/>
      <c r="F815" s="701"/>
      <c r="G815" s="705">
        <v>2561</v>
      </c>
      <c r="H815" s="705" t="str">
        <f t="shared" si="26"/>
        <v>2561</v>
      </c>
      <c r="I815" s="705">
        <v>111</v>
      </c>
      <c r="J815" s="701">
        <v>64.5</v>
      </c>
    </row>
    <row r="816" spans="1:10" ht="12.75" x14ac:dyDescent="0.2">
      <c r="A816" s="700">
        <v>2571</v>
      </c>
      <c r="B816" s="700" t="str">
        <f t="shared" si="25"/>
        <v>2571</v>
      </c>
      <c r="C816" s="700">
        <v>102</v>
      </c>
      <c r="D816" s="701">
        <v>80.28</v>
      </c>
      <c r="E816" s="701"/>
      <c r="F816" s="701"/>
      <c r="G816" s="705">
        <v>2561</v>
      </c>
      <c r="H816" s="705" t="str">
        <f t="shared" si="26"/>
        <v>2561</v>
      </c>
      <c r="I816" s="705">
        <v>112</v>
      </c>
      <c r="J816" s="701">
        <v>52</v>
      </c>
    </row>
    <row r="817" spans="1:10" ht="12.75" x14ac:dyDescent="0.2">
      <c r="A817" s="700">
        <v>2571</v>
      </c>
      <c r="B817" s="700" t="str">
        <f t="shared" si="25"/>
        <v>2571</v>
      </c>
      <c r="C817" s="700">
        <v>111</v>
      </c>
      <c r="D817" s="701">
        <v>29.49</v>
      </c>
      <c r="E817" s="701"/>
      <c r="F817" s="701"/>
      <c r="G817" s="705">
        <v>2561</v>
      </c>
      <c r="H817" s="705" t="str">
        <f t="shared" si="26"/>
        <v>2561</v>
      </c>
      <c r="I817" s="705">
        <v>130</v>
      </c>
      <c r="J817" s="701">
        <v>14.81</v>
      </c>
    </row>
    <row r="818" spans="1:10" ht="12.75" x14ac:dyDescent="0.2">
      <c r="A818" s="700">
        <v>2571</v>
      </c>
      <c r="B818" s="700" t="str">
        <f t="shared" si="25"/>
        <v>2571</v>
      </c>
      <c r="C818" s="700">
        <v>112</v>
      </c>
      <c r="D818" s="701">
        <v>27.97</v>
      </c>
      <c r="E818" s="701"/>
      <c r="F818" s="701"/>
      <c r="G818" s="705">
        <v>2571</v>
      </c>
      <c r="H818" s="705" t="str">
        <f t="shared" si="26"/>
        <v>2571</v>
      </c>
      <c r="I818" s="705">
        <v>101</v>
      </c>
      <c r="J818" s="701">
        <v>118.44</v>
      </c>
    </row>
    <row r="819" spans="1:10" ht="12.75" x14ac:dyDescent="0.2">
      <c r="A819" s="700">
        <v>2571</v>
      </c>
      <c r="B819" s="700" t="str">
        <f t="shared" si="25"/>
        <v>2571</v>
      </c>
      <c r="C819" s="700">
        <v>130</v>
      </c>
      <c r="D819" s="701">
        <v>117.39</v>
      </c>
      <c r="E819" s="701"/>
      <c r="F819" s="701"/>
      <c r="G819" s="705">
        <v>2571</v>
      </c>
      <c r="H819" s="705" t="str">
        <f t="shared" si="26"/>
        <v>2571</v>
      </c>
      <c r="I819" s="705">
        <v>102</v>
      </c>
      <c r="J819" s="701">
        <v>78.010000000000005</v>
      </c>
    </row>
    <row r="820" spans="1:10" ht="12.75" x14ac:dyDescent="0.2">
      <c r="A820" s="700">
        <v>2581</v>
      </c>
      <c r="B820" s="700" t="str">
        <f t="shared" si="25"/>
        <v>2581</v>
      </c>
      <c r="C820" s="700">
        <v>101</v>
      </c>
      <c r="D820" s="701">
        <v>197.1</v>
      </c>
      <c r="E820" s="701"/>
      <c r="F820" s="701"/>
      <c r="G820" s="705">
        <v>2571</v>
      </c>
      <c r="H820" s="705" t="str">
        <f t="shared" si="26"/>
        <v>2571</v>
      </c>
      <c r="I820" s="705">
        <v>111</v>
      </c>
      <c r="J820" s="701">
        <v>33.5</v>
      </c>
    </row>
    <row r="821" spans="1:10" ht="12.75" x14ac:dyDescent="0.2">
      <c r="A821" s="700">
        <v>2581</v>
      </c>
      <c r="B821" s="700" t="str">
        <f t="shared" si="25"/>
        <v>2581</v>
      </c>
      <c r="C821" s="700">
        <v>102</v>
      </c>
      <c r="D821" s="701">
        <v>101.52</v>
      </c>
      <c r="E821" s="701"/>
      <c r="F821" s="701"/>
      <c r="G821" s="705">
        <v>2571</v>
      </c>
      <c r="H821" s="705" t="str">
        <f t="shared" si="26"/>
        <v>2571</v>
      </c>
      <c r="I821" s="705">
        <v>112</v>
      </c>
      <c r="J821" s="701">
        <v>29.5</v>
      </c>
    </row>
    <row r="822" spans="1:10" ht="12.75" x14ac:dyDescent="0.2">
      <c r="A822" s="700">
        <v>2581</v>
      </c>
      <c r="B822" s="700" t="str">
        <f t="shared" si="25"/>
        <v>2581</v>
      </c>
      <c r="C822" s="700">
        <v>111</v>
      </c>
      <c r="D822" s="701">
        <v>90.09</v>
      </c>
      <c r="E822" s="701"/>
      <c r="F822" s="701"/>
      <c r="G822" s="705">
        <v>2571</v>
      </c>
      <c r="H822" s="705" t="str">
        <f t="shared" si="26"/>
        <v>2571</v>
      </c>
      <c r="I822" s="705">
        <v>130</v>
      </c>
      <c r="J822" s="701">
        <v>107.41</v>
      </c>
    </row>
    <row r="823" spans="1:10" ht="12.75" x14ac:dyDescent="0.2">
      <c r="A823" s="700">
        <v>2581</v>
      </c>
      <c r="B823" s="700" t="str">
        <f t="shared" si="25"/>
        <v>2581</v>
      </c>
      <c r="C823" s="700">
        <v>112</v>
      </c>
      <c r="D823" s="701">
        <v>63.47</v>
      </c>
      <c r="E823" s="701"/>
      <c r="F823" s="701"/>
      <c r="G823" s="705">
        <v>2581</v>
      </c>
      <c r="H823" s="705" t="str">
        <f t="shared" si="26"/>
        <v>2581</v>
      </c>
      <c r="I823" s="705">
        <v>101</v>
      </c>
      <c r="J823" s="701">
        <v>194.59</v>
      </c>
    </row>
    <row r="824" spans="1:10" ht="12.75" x14ac:dyDescent="0.2">
      <c r="A824" s="700">
        <v>2581</v>
      </c>
      <c r="B824" s="700" t="str">
        <f t="shared" si="25"/>
        <v>2581</v>
      </c>
      <c r="C824" s="700">
        <v>130</v>
      </c>
      <c r="D824" s="701">
        <v>34.85</v>
      </c>
      <c r="E824" s="701"/>
      <c r="F824" s="701"/>
      <c r="G824" s="705">
        <v>2581</v>
      </c>
      <c r="H824" s="705" t="str">
        <f t="shared" si="26"/>
        <v>2581</v>
      </c>
      <c r="I824" s="705">
        <v>102</v>
      </c>
      <c r="J824" s="701">
        <v>102.02</v>
      </c>
    </row>
    <row r="825" spans="1:10" ht="12.75" x14ac:dyDescent="0.2">
      <c r="A825" s="700">
        <v>2581</v>
      </c>
      <c r="B825" s="700" t="str">
        <f t="shared" si="25"/>
        <v>2581</v>
      </c>
      <c r="C825" s="700">
        <v>254</v>
      </c>
      <c r="D825" s="701">
        <v>0.5</v>
      </c>
      <c r="E825" s="701"/>
      <c r="F825" s="701"/>
      <c r="G825" s="705">
        <v>2581</v>
      </c>
      <c r="H825" s="705" t="str">
        <f t="shared" si="26"/>
        <v>2581</v>
      </c>
      <c r="I825" s="705">
        <v>111</v>
      </c>
      <c r="J825" s="701">
        <v>94.5</v>
      </c>
    </row>
    <row r="826" spans="1:10" ht="12.75" x14ac:dyDescent="0.2">
      <c r="A826" s="700">
        <v>2591</v>
      </c>
      <c r="B826" s="700" t="str">
        <f t="shared" si="25"/>
        <v>2591</v>
      </c>
      <c r="C826" s="700">
        <v>101</v>
      </c>
      <c r="D826" s="701">
        <v>72.88</v>
      </c>
      <c r="E826" s="701"/>
      <c r="F826" s="701"/>
      <c r="G826" s="705">
        <v>2581</v>
      </c>
      <c r="H826" s="705" t="str">
        <f t="shared" si="26"/>
        <v>2581</v>
      </c>
      <c r="I826" s="705">
        <v>112</v>
      </c>
      <c r="J826" s="701">
        <v>62.96</v>
      </c>
    </row>
    <row r="827" spans="1:10" ht="12.75" x14ac:dyDescent="0.2">
      <c r="A827" s="700">
        <v>2591</v>
      </c>
      <c r="B827" s="700" t="str">
        <f t="shared" si="25"/>
        <v>2591</v>
      </c>
      <c r="C827" s="700">
        <v>102</v>
      </c>
      <c r="D827" s="701">
        <v>29.83</v>
      </c>
      <c r="E827" s="701"/>
      <c r="F827" s="701"/>
      <c r="G827" s="705">
        <v>2581</v>
      </c>
      <c r="H827" s="705" t="str">
        <f t="shared" si="26"/>
        <v>2581</v>
      </c>
      <c r="I827" s="705">
        <v>130</v>
      </c>
      <c r="J827" s="701">
        <v>34.89</v>
      </c>
    </row>
    <row r="828" spans="1:10" ht="12.75" x14ac:dyDescent="0.2">
      <c r="A828" s="700">
        <v>2591</v>
      </c>
      <c r="B828" s="700" t="str">
        <f t="shared" si="25"/>
        <v>2591</v>
      </c>
      <c r="C828" s="700">
        <v>111</v>
      </c>
      <c r="D828" s="701">
        <v>10.57</v>
      </c>
      <c r="E828" s="701"/>
      <c r="F828" s="701"/>
      <c r="G828" s="705">
        <v>2581</v>
      </c>
      <c r="H828" s="705" t="str">
        <f t="shared" si="26"/>
        <v>2581</v>
      </c>
      <c r="I828" s="705">
        <v>254</v>
      </c>
      <c r="J828" s="701">
        <v>0.5</v>
      </c>
    </row>
    <row r="829" spans="1:10" ht="12.75" x14ac:dyDescent="0.2">
      <c r="A829" s="700">
        <v>2591</v>
      </c>
      <c r="B829" s="700" t="str">
        <f t="shared" si="25"/>
        <v>2591</v>
      </c>
      <c r="C829" s="700">
        <v>112</v>
      </c>
      <c r="D829" s="701">
        <v>10.01</v>
      </c>
      <c r="E829" s="701"/>
      <c r="F829" s="701"/>
      <c r="G829" s="705">
        <v>2591</v>
      </c>
      <c r="H829" s="705" t="str">
        <f t="shared" si="26"/>
        <v>2591</v>
      </c>
      <c r="I829" s="705">
        <v>101</v>
      </c>
      <c r="J829" s="701">
        <v>70.760000000000005</v>
      </c>
    </row>
    <row r="830" spans="1:10" ht="12.75" x14ac:dyDescent="0.2">
      <c r="A830" s="700">
        <v>2591</v>
      </c>
      <c r="B830" s="700" t="str">
        <f t="shared" si="25"/>
        <v>2591</v>
      </c>
      <c r="C830" s="700">
        <v>130</v>
      </c>
      <c r="D830" s="701">
        <v>8.4499999999999993</v>
      </c>
      <c r="E830" s="701"/>
      <c r="F830" s="701"/>
      <c r="G830" s="705">
        <v>2591</v>
      </c>
      <c r="H830" s="705" t="str">
        <f t="shared" si="26"/>
        <v>2591</v>
      </c>
      <c r="I830" s="705">
        <v>102</v>
      </c>
      <c r="J830" s="701">
        <v>29.49</v>
      </c>
    </row>
    <row r="831" spans="1:10" ht="12.75" x14ac:dyDescent="0.2">
      <c r="A831" s="700">
        <v>2611</v>
      </c>
      <c r="B831" s="700" t="str">
        <f t="shared" si="25"/>
        <v>2611</v>
      </c>
      <c r="C831" s="700">
        <v>102</v>
      </c>
      <c r="D831" s="701">
        <v>377.81</v>
      </c>
      <c r="E831" s="701"/>
      <c r="F831" s="701"/>
      <c r="G831" s="705">
        <v>2591</v>
      </c>
      <c r="H831" s="705" t="str">
        <f t="shared" si="26"/>
        <v>2591</v>
      </c>
      <c r="I831" s="705">
        <v>111</v>
      </c>
      <c r="J831" s="701">
        <v>9.0299999999999994</v>
      </c>
    </row>
    <row r="832" spans="1:10" ht="12.75" x14ac:dyDescent="0.2">
      <c r="A832" s="700">
        <v>2611</v>
      </c>
      <c r="B832" s="700" t="str">
        <f t="shared" si="25"/>
        <v>2611</v>
      </c>
      <c r="C832" s="700">
        <v>112</v>
      </c>
      <c r="D832" s="701">
        <v>152.91999999999999</v>
      </c>
      <c r="E832" s="701"/>
      <c r="F832" s="701"/>
      <c r="G832" s="705">
        <v>2591</v>
      </c>
      <c r="H832" s="705" t="str">
        <f t="shared" si="26"/>
        <v>2591</v>
      </c>
      <c r="I832" s="705">
        <v>112</v>
      </c>
      <c r="J832" s="701">
        <v>10.55</v>
      </c>
    </row>
    <row r="833" spans="1:10" ht="12.75" x14ac:dyDescent="0.2">
      <c r="A833" s="700">
        <v>2611</v>
      </c>
      <c r="B833" s="700" t="str">
        <f t="shared" si="25"/>
        <v>2611</v>
      </c>
      <c r="C833" s="700">
        <v>130</v>
      </c>
      <c r="D833" s="701">
        <v>17.16</v>
      </c>
      <c r="E833" s="701"/>
      <c r="F833" s="701"/>
      <c r="G833" s="705">
        <v>2591</v>
      </c>
      <c r="H833" s="705" t="str">
        <f t="shared" si="26"/>
        <v>2591</v>
      </c>
      <c r="I833" s="705">
        <v>130</v>
      </c>
      <c r="J833" s="701">
        <v>10.35</v>
      </c>
    </row>
    <row r="834" spans="1:10" ht="12.75" x14ac:dyDescent="0.2">
      <c r="A834" s="700">
        <v>2621</v>
      </c>
      <c r="B834" s="700" t="str">
        <f t="shared" ref="B834:B897" si="27">TEXT(A834,"0000")</f>
        <v>2621</v>
      </c>
      <c r="C834" s="700">
        <v>102</v>
      </c>
      <c r="D834" s="701">
        <v>512.21</v>
      </c>
      <c r="E834" s="701"/>
      <c r="F834" s="701"/>
      <c r="G834" s="705">
        <v>2611</v>
      </c>
      <c r="H834" s="705" t="str">
        <f t="shared" si="26"/>
        <v>2611</v>
      </c>
      <c r="I834" s="705">
        <v>102</v>
      </c>
      <c r="J834" s="701">
        <v>378.11</v>
      </c>
    </row>
    <row r="835" spans="1:10" ht="12.75" x14ac:dyDescent="0.2">
      <c r="A835" s="700">
        <v>2621</v>
      </c>
      <c r="B835" s="700" t="str">
        <f t="shared" si="27"/>
        <v>2621</v>
      </c>
      <c r="C835" s="700">
        <v>112</v>
      </c>
      <c r="D835" s="701">
        <v>171.02</v>
      </c>
      <c r="E835" s="701"/>
      <c r="F835" s="701"/>
      <c r="G835" s="705">
        <v>2611</v>
      </c>
      <c r="H835" s="705" t="str">
        <f t="shared" ref="H835:H898" si="28">TEXT(G835,"0000")</f>
        <v>2611</v>
      </c>
      <c r="I835" s="705">
        <v>112</v>
      </c>
      <c r="J835" s="701">
        <v>153.21</v>
      </c>
    </row>
    <row r="836" spans="1:10" ht="12.75" x14ac:dyDescent="0.2">
      <c r="A836" s="700">
        <v>2621</v>
      </c>
      <c r="B836" s="700" t="str">
        <f t="shared" si="27"/>
        <v>2621</v>
      </c>
      <c r="C836" s="700">
        <v>130</v>
      </c>
      <c r="D836" s="701">
        <v>14.97</v>
      </c>
      <c r="E836" s="701"/>
      <c r="F836" s="701"/>
      <c r="G836" s="705">
        <v>2611</v>
      </c>
      <c r="H836" s="705" t="str">
        <f t="shared" si="28"/>
        <v>2611</v>
      </c>
      <c r="I836" s="705">
        <v>130</v>
      </c>
      <c r="J836" s="701">
        <v>17.48</v>
      </c>
    </row>
    <row r="837" spans="1:10" ht="12.75" x14ac:dyDescent="0.2">
      <c r="A837" s="700">
        <v>2621</v>
      </c>
      <c r="B837" s="700" t="str">
        <f t="shared" si="27"/>
        <v>2621</v>
      </c>
      <c r="C837" s="700">
        <v>254</v>
      </c>
      <c r="D837" s="701">
        <v>0.51</v>
      </c>
      <c r="E837" s="701"/>
      <c r="F837" s="701"/>
      <c r="G837" s="705">
        <v>2621</v>
      </c>
      <c r="H837" s="705" t="str">
        <f t="shared" si="28"/>
        <v>2621</v>
      </c>
      <c r="I837" s="705">
        <v>102</v>
      </c>
      <c r="J837" s="701">
        <v>504.83</v>
      </c>
    </row>
    <row r="838" spans="1:10" ht="12.75" x14ac:dyDescent="0.2">
      <c r="A838" s="700">
        <v>2631</v>
      </c>
      <c r="B838" s="700" t="str">
        <f t="shared" si="27"/>
        <v>2631</v>
      </c>
      <c r="C838" s="700">
        <v>103</v>
      </c>
      <c r="D838" s="701">
        <v>903.11</v>
      </c>
      <c r="E838" s="701"/>
      <c r="F838" s="701"/>
      <c r="G838" s="705">
        <v>2621</v>
      </c>
      <c r="H838" s="705" t="str">
        <f t="shared" si="28"/>
        <v>2621</v>
      </c>
      <c r="I838" s="705">
        <v>112</v>
      </c>
      <c r="J838" s="701">
        <v>170.8</v>
      </c>
    </row>
    <row r="839" spans="1:10" ht="12.75" x14ac:dyDescent="0.2">
      <c r="A839" s="700">
        <v>2631</v>
      </c>
      <c r="B839" s="700" t="str">
        <f t="shared" si="27"/>
        <v>2631</v>
      </c>
      <c r="C839" s="700">
        <v>113</v>
      </c>
      <c r="D839" s="701">
        <v>190.54</v>
      </c>
      <c r="E839" s="701"/>
      <c r="F839" s="701"/>
      <c r="G839" s="705">
        <v>2621</v>
      </c>
      <c r="H839" s="705" t="str">
        <f t="shared" si="28"/>
        <v>2621</v>
      </c>
      <c r="I839" s="705">
        <v>130</v>
      </c>
      <c r="J839" s="701">
        <v>14.57</v>
      </c>
    </row>
    <row r="840" spans="1:10" ht="12.75" x14ac:dyDescent="0.2">
      <c r="A840" s="700">
        <v>2631</v>
      </c>
      <c r="B840" s="700" t="str">
        <f t="shared" si="27"/>
        <v>2631</v>
      </c>
      <c r="C840" s="700">
        <v>130</v>
      </c>
      <c r="D840" s="701">
        <v>79.489999999999995</v>
      </c>
      <c r="E840" s="701"/>
      <c r="F840" s="701"/>
      <c r="G840" s="705">
        <v>2621</v>
      </c>
      <c r="H840" s="705" t="str">
        <f t="shared" si="28"/>
        <v>2621</v>
      </c>
      <c r="I840" s="705">
        <v>254</v>
      </c>
      <c r="J840" s="701">
        <v>0.49</v>
      </c>
    </row>
    <row r="841" spans="1:10" ht="12.75" x14ac:dyDescent="0.2">
      <c r="A841" s="700">
        <v>2631</v>
      </c>
      <c r="B841" s="700" t="str">
        <f t="shared" si="27"/>
        <v>2631</v>
      </c>
      <c r="C841" s="700">
        <v>254</v>
      </c>
      <c r="D841" s="701">
        <v>1.99</v>
      </c>
      <c r="E841" s="701"/>
      <c r="F841" s="701"/>
      <c r="G841" s="705">
        <v>2631</v>
      </c>
      <c r="H841" s="705" t="str">
        <f t="shared" si="28"/>
        <v>2631</v>
      </c>
      <c r="I841" s="705">
        <v>103</v>
      </c>
      <c r="J841" s="701">
        <v>884.46</v>
      </c>
    </row>
    <row r="842" spans="1:10" ht="12.75" x14ac:dyDescent="0.2">
      <c r="A842" s="700">
        <v>2631</v>
      </c>
      <c r="B842" s="700" t="str">
        <f t="shared" si="27"/>
        <v>2631</v>
      </c>
      <c r="C842" s="700">
        <v>300</v>
      </c>
      <c r="D842" s="701">
        <v>70.739999999999995</v>
      </c>
      <c r="E842" s="701"/>
      <c r="F842" s="701"/>
      <c r="G842" s="705">
        <v>2631</v>
      </c>
      <c r="H842" s="705" t="str">
        <f t="shared" si="28"/>
        <v>2631</v>
      </c>
      <c r="I842" s="705">
        <v>113</v>
      </c>
      <c r="J842" s="701">
        <v>185.2</v>
      </c>
    </row>
    <row r="843" spans="1:10" ht="12.75" x14ac:dyDescent="0.2">
      <c r="A843" s="700">
        <v>2671</v>
      </c>
      <c r="B843" s="700" t="str">
        <f t="shared" si="27"/>
        <v>2671</v>
      </c>
      <c r="C843" s="700">
        <v>101</v>
      </c>
      <c r="D843" s="701">
        <v>104.56</v>
      </c>
      <c r="E843" s="701"/>
      <c r="F843" s="701"/>
      <c r="G843" s="705">
        <v>2631</v>
      </c>
      <c r="H843" s="705" t="str">
        <f t="shared" si="28"/>
        <v>2631</v>
      </c>
      <c r="I843" s="705">
        <v>130</v>
      </c>
      <c r="J843" s="701">
        <v>71.930000000000007</v>
      </c>
    </row>
    <row r="844" spans="1:10" ht="12.75" x14ac:dyDescent="0.2">
      <c r="A844" s="700">
        <v>2671</v>
      </c>
      <c r="B844" s="700" t="str">
        <f t="shared" si="27"/>
        <v>2671</v>
      </c>
      <c r="C844" s="700">
        <v>102</v>
      </c>
      <c r="D844" s="701">
        <v>60.51</v>
      </c>
      <c r="E844" s="701"/>
      <c r="F844" s="701"/>
      <c r="G844" s="705">
        <v>2631</v>
      </c>
      <c r="H844" s="705" t="str">
        <f t="shared" si="28"/>
        <v>2631</v>
      </c>
      <c r="I844" s="705">
        <v>254</v>
      </c>
      <c r="J844" s="701">
        <v>1.51</v>
      </c>
    </row>
    <row r="845" spans="1:10" ht="12.75" x14ac:dyDescent="0.2">
      <c r="A845" s="700">
        <v>2671</v>
      </c>
      <c r="B845" s="700" t="str">
        <f t="shared" si="27"/>
        <v>2671</v>
      </c>
      <c r="C845" s="700">
        <v>111</v>
      </c>
      <c r="D845" s="701">
        <v>53.06</v>
      </c>
      <c r="E845" s="701"/>
      <c r="F845" s="701"/>
      <c r="G845" s="705">
        <v>2631</v>
      </c>
      <c r="H845" s="705" t="str">
        <f t="shared" si="28"/>
        <v>2631</v>
      </c>
      <c r="I845" s="705">
        <v>300</v>
      </c>
      <c r="J845" s="701">
        <v>66.81</v>
      </c>
    </row>
    <row r="846" spans="1:10" ht="12.75" x14ac:dyDescent="0.2">
      <c r="A846" s="700">
        <v>2671</v>
      </c>
      <c r="B846" s="700" t="str">
        <f t="shared" si="27"/>
        <v>2671</v>
      </c>
      <c r="C846" s="700">
        <v>112</v>
      </c>
      <c r="D846" s="701">
        <v>39.51</v>
      </c>
      <c r="E846" s="701"/>
      <c r="F846" s="701"/>
      <c r="G846" s="705">
        <v>2671</v>
      </c>
      <c r="H846" s="705" t="str">
        <f t="shared" si="28"/>
        <v>2671</v>
      </c>
      <c r="I846" s="705">
        <v>101</v>
      </c>
      <c r="J846" s="701">
        <v>99.01</v>
      </c>
    </row>
    <row r="847" spans="1:10" ht="12.75" x14ac:dyDescent="0.2">
      <c r="A847" s="700">
        <v>2671</v>
      </c>
      <c r="B847" s="700" t="str">
        <f t="shared" si="27"/>
        <v>2671</v>
      </c>
      <c r="C847" s="700">
        <v>130</v>
      </c>
      <c r="D847" s="701">
        <v>71.900000000000006</v>
      </c>
      <c r="E847" s="701"/>
      <c r="F847" s="701"/>
      <c r="G847" s="705">
        <v>2671</v>
      </c>
      <c r="H847" s="705" t="str">
        <f t="shared" si="28"/>
        <v>2671</v>
      </c>
      <c r="I847" s="705">
        <v>102</v>
      </c>
      <c r="J847" s="701">
        <v>59.44</v>
      </c>
    </row>
    <row r="848" spans="1:10" ht="12.75" x14ac:dyDescent="0.2">
      <c r="A848" s="700">
        <v>2671</v>
      </c>
      <c r="B848" s="700" t="str">
        <f t="shared" si="27"/>
        <v>2671</v>
      </c>
      <c r="C848" s="700">
        <v>254</v>
      </c>
      <c r="D848" s="701">
        <v>0.5</v>
      </c>
      <c r="E848" s="701"/>
      <c r="F848" s="701"/>
      <c r="G848" s="705">
        <v>2671</v>
      </c>
      <c r="H848" s="705" t="str">
        <f t="shared" si="28"/>
        <v>2671</v>
      </c>
      <c r="I848" s="705">
        <v>111</v>
      </c>
      <c r="J848" s="701">
        <v>63.2</v>
      </c>
    </row>
    <row r="849" spans="1:10" ht="12.75" x14ac:dyDescent="0.2">
      <c r="A849" s="700">
        <v>2691</v>
      </c>
      <c r="B849" s="700" t="str">
        <f t="shared" si="27"/>
        <v>2691</v>
      </c>
      <c r="C849" s="700">
        <v>101</v>
      </c>
      <c r="D849" s="701">
        <v>242.19</v>
      </c>
      <c r="E849" s="701"/>
      <c r="F849" s="701"/>
      <c r="G849" s="705">
        <v>2671</v>
      </c>
      <c r="H849" s="705" t="str">
        <f t="shared" si="28"/>
        <v>2671</v>
      </c>
      <c r="I849" s="705">
        <v>112</v>
      </c>
      <c r="J849" s="701">
        <v>38</v>
      </c>
    </row>
    <row r="850" spans="1:10" ht="12.75" x14ac:dyDescent="0.2">
      <c r="A850" s="700">
        <v>2691</v>
      </c>
      <c r="B850" s="700" t="str">
        <f t="shared" si="27"/>
        <v>2691</v>
      </c>
      <c r="C850" s="700">
        <v>102</v>
      </c>
      <c r="D850" s="701">
        <v>143.6</v>
      </c>
      <c r="E850" s="701"/>
      <c r="F850" s="701"/>
      <c r="G850" s="705">
        <v>2671</v>
      </c>
      <c r="H850" s="705" t="str">
        <f t="shared" si="28"/>
        <v>2671</v>
      </c>
      <c r="I850" s="705">
        <v>130</v>
      </c>
      <c r="J850" s="701">
        <v>72.540000000000006</v>
      </c>
    </row>
    <row r="851" spans="1:10" ht="12.75" x14ac:dyDescent="0.2">
      <c r="A851" s="700">
        <v>2691</v>
      </c>
      <c r="B851" s="700" t="str">
        <f t="shared" si="27"/>
        <v>2691</v>
      </c>
      <c r="C851" s="700">
        <v>111</v>
      </c>
      <c r="D851" s="701">
        <v>64.7</v>
      </c>
      <c r="E851" s="701"/>
      <c r="F851" s="701"/>
      <c r="G851" s="705">
        <v>2671</v>
      </c>
      <c r="H851" s="705" t="str">
        <f t="shared" si="28"/>
        <v>2671</v>
      </c>
      <c r="I851" s="705">
        <v>254</v>
      </c>
      <c r="J851" s="701">
        <v>0.98</v>
      </c>
    </row>
    <row r="852" spans="1:10" ht="12.75" x14ac:dyDescent="0.2">
      <c r="A852" s="700">
        <v>2691</v>
      </c>
      <c r="B852" s="700" t="str">
        <f t="shared" si="27"/>
        <v>2691</v>
      </c>
      <c r="C852" s="700">
        <v>112</v>
      </c>
      <c r="D852" s="701">
        <v>33</v>
      </c>
      <c r="E852" s="701"/>
      <c r="F852" s="701"/>
      <c r="G852" s="705">
        <v>2691</v>
      </c>
      <c r="H852" s="705" t="str">
        <f t="shared" si="28"/>
        <v>2691</v>
      </c>
      <c r="I852" s="705">
        <v>101</v>
      </c>
      <c r="J852" s="701">
        <v>243.29</v>
      </c>
    </row>
    <row r="853" spans="1:10" ht="12.75" x14ac:dyDescent="0.2">
      <c r="A853" s="700">
        <v>2691</v>
      </c>
      <c r="B853" s="700" t="str">
        <f t="shared" si="27"/>
        <v>2691</v>
      </c>
      <c r="C853" s="700">
        <v>130</v>
      </c>
      <c r="D853" s="701">
        <v>41.04</v>
      </c>
      <c r="E853" s="701"/>
      <c r="F853" s="701"/>
      <c r="G853" s="705">
        <v>2691</v>
      </c>
      <c r="H853" s="705" t="str">
        <f t="shared" si="28"/>
        <v>2691</v>
      </c>
      <c r="I853" s="705">
        <v>102</v>
      </c>
      <c r="J853" s="701">
        <v>144.44999999999999</v>
      </c>
    </row>
    <row r="854" spans="1:10" ht="12.75" x14ac:dyDescent="0.2">
      <c r="A854" s="700">
        <v>2691</v>
      </c>
      <c r="B854" s="700" t="str">
        <f t="shared" si="27"/>
        <v>2691</v>
      </c>
      <c r="C854" s="700">
        <v>254</v>
      </c>
      <c r="D854" s="701">
        <v>0.5</v>
      </c>
      <c r="E854" s="701"/>
      <c r="F854" s="701"/>
      <c r="G854" s="705">
        <v>2691</v>
      </c>
      <c r="H854" s="705" t="str">
        <f t="shared" si="28"/>
        <v>2691</v>
      </c>
      <c r="I854" s="705">
        <v>111</v>
      </c>
      <c r="J854" s="701">
        <v>68.709999999999994</v>
      </c>
    </row>
    <row r="855" spans="1:10" ht="12.75" x14ac:dyDescent="0.2">
      <c r="A855" s="700">
        <v>2701</v>
      </c>
      <c r="B855" s="700" t="str">
        <f t="shared" si="27"/>
        <v>2701</v>
      </c>
      <c r="C855" s="700">
        <v>102</v>
      </c>
      <c r="D855" s="701">
        <v>278.64</v>
      </c>
      <c r="E855" s="701"/>
      <c r="F855" s="701"/>
      <c r="G855" s="705">
        <v>2691</v>
      </c>
      <c r="H855" s="705" t="str">
        <f t="shared" si="28"/>
        <v>2691</v>
      </c>
      <c r="I855" s="705">
        <v>112</v>
      </c>
      <c r="J855" s="701">
        <v>31.5</v>
      </c>
    </row>
    <row r="856" spans="1:10" ht="12.75" x14ac:dyDescent="0.2">
      <c r="A856" s="700">
        <v>2701</v>
      </c>
      <c r="B856" s="700" t="str">
        <f t="shared" si="27"/>
        <v>2701</v>
      </c>
      <c r="C856" s="700">
        <v>112</v>
      </c>
      <c r="D856" s="701">
        <v>70.540000000000006</v>
      </c>
      <c r="E856" s="701"/>
      <c r="F856" s="701"/>
      <c r="G856" s="705">
        <v>2691</v>
      </c>
      <c r="H856" s="705" t="str">
        <f t="shared" si="28"/>
        <v>2691</v>
      </c>
      <c r="I856" s="705">
        <v>130</v>
      </c>
      <c r="J856" s="701">
        <v>39.020000000000003</v>
      </c>
    </row>
    <row r="857" spans="1:10" ht="12.75" x14ac:dyDescent="0.2">
      <c r="A857" s="700">
        <v>2701</v>
      </c>
      <c r="B857" s="700" t="str">
        <f t="shared" si="27"/>
        <v>2701</v>
      </c>
      <c r="C857" s="700">
        <v>130</v>
      </c>
      <c r="D857" s="701">
        <v>60.28</v>
      </c>
      <c r="E857" s="701"/>
      <c r="F857" s="701"/>
      <c r="G857" s="705">
        <v>2691</v>
      </c>
      <c r="H857" s="705" t="str">
        <f t="shared" si="28"/>
        <v>2691</v>
      </c>
      <c r="I857" s="705">
        <v>254</v>
      </c>
      <c r="J857" s="701">
        <v>0</v>
      </c>
    </row>
    <row r="858" spans="1:10" ht="12.75" x14ac:dyDescent="0.2">
      <c r="A858" s="700">
        <v>2701</v>
      </c>
      <c r="B858" s="700" t="str">
        <f t="shared" si="27"/>
        <v>2701</v>
      </c>
      <c r="C858" s="700">
        <v>254</v>
      </c>
      <c r="D858" s="701">
        <v>0.5</v>
      </c>
      <c r="E858" s="701"/>
      <c r="F858" s="701"/>
      <c r="G858" s="705">
        <v>2701</v>
      </c>
      <c r="H858" s="705" t="str">
        <f t="shared" si="28"/>
        <v>2701</v>
      </c>
      <c r="I858" s="705">
        <v>102</v>
      </c>
      <c r="J858" s="701">
        <v>281.39999999999998</v>
      </c>
    </row>
    <row r="859" spans="1:10" ht="12.75" x14ac:dyDescent="0.2">
      <c r="A859" s="700">
        <v>2711</v>
      </c>
      <c r="B859" s="700" t="str">
        <f t="shared" si="27"/>
        <v>2711</v>
      </c>
      <c r="C859" s="700">
        <v>102</v>
      </c>
      <c r="D859" s="701">
        <v>559.54</v>
      </c>
      <c r="E859" s="701"/>
      <c r="F859" s="701"/>
      <c r="G859" s="705">
        <v>2701</v>
      </c>
      <c r="H859" s="705" t="str">
        <f t="shared" si="28"/>
        <v>2701</v>
      </c>
      <c r="I859" s="705">
        <v>112</v>
      </c>
      <c r="J859" s="701">
        <v>71.180000000000007</v>
      </c>
    </row>
    <row r="860" spans="1:10" ht="12.75" x14ac:dyDescent="0.2">
      <c r="A860" s="700">
        <v>2711</v>
      </c>
      <c r="B860" s="700" t="str">
        <f t="shared" si="27"/>
        <v>2711</v>
      </c>
      <c r="C860" s="700">
        <v>112</v>
      </c>
      <c r="D860" s="701">
        <v>73.53</v>
      </c>
      <c r="E860" s="701"/>
      <c r="F860" s="701"/>
      <c r="G860" s="705">
        <v>2701</v>
      </c>
      <c r="H860" s="705" t="str">
        <f t="shared" si="28"/>
        <v>2701</v>
      </c>
      <c r="I860" s="705">
        <v>130</v>
      </c>
      <c r="J860" s="701">
        <v>59.62</v>
      </c>
    </row>
    <row r="861" spans="1:10" ht="12.75" x14ac:dyDescent="0.2">
      <c r="A861" s="700">
        <v>2711</v>
      </c>
      <c r="B861" s="700" t="str">
        <f t="shared" si="27"/>
        <v>2711</v>
      </c>
      <c r="C861" s="700">
        <v>130</v>
      </c>
      <c r="D861" s="701">
        <v>10.38</v>
      </c>
      <c r="E861" s="701"/>
      <c r="F861" s="701"/>
      <c r="G861" s="705">
        <v>2701</v>
      </c>
      <c r="H861" s="705" t="str">
        <f t="shared" si="28"/>
        <v>2701</v>
      </c>
      <c r="I861" s="705">
        <v>254</v>
      </c>
      <c r="J861" s="701">
        <v>0.5</v>
      </c>
    </row>
    <row r="862" spans="1:10" ht="12.75" x14ac:dyDescent="0.2">
      <c r="A862" s="700">
        <v>2721</v>
      </c>
      <c r="B862" s="700" t="str">
        <f t="shared" si="27"/>
        <v>2721</v>
      </c>
      <c r="C862" s="700">
        <v>101</v>
      </c>
      <c r="D862" s="701">
        <v>229.46</v>
      </c>
      <c r="E862" s="701"/>
      <c r="F862" s="701"/>
      <c r="G862" s="705">
        <v>2711</v>
      </c>
      <c r="H862" s="705" t="str">
        <f t="shared" si="28"/>
        <v>2711</v>
      </c>
      <c r="I862" s="705">
        <v>102</v>
      </c>
      <c r="J862" s="701">
        <v>557.76</v>
      </c>
    </row>
    <row r="863" spans="1:10" ht="12.75" x14ac:dyDescent="0.2">
      <c r="A863" s="700">
        <v>2721</v>
      </c>
      <c r="B863" s="700" t="str">
        <f t="shared" si="27"/>
        <v>2721</v>
      </c>
      <c r="C863" s="700">
        <v>102</v>
      </c>
      <c r="D863" s="701">
        <v>131.91</v>
      </c>
      <c r="E863" s="701"/>
      <c r="F863" s="701"/>
      <c r="G863" s="705">
        <v>2711</v>
      </c>
      <c r="H863" s="705" t="str">
        <f t="shared" si="28"/>
        <v>2711</v>
      </c>
      <c r="I863" s="705">
        <v>112</v>
      </c>
      <c r="J863" s="701">
        <v>68.33</v>
      </c>
    </row>
    <row r="864" spans="1:10" ht="12.75" x14ac:dyDescent="0.2">
      <c r="A864" s="700">
        <v>2721</v>
      </c>
      <c r="B864" s="700" t="str">
        <f t="shared" si="27"/>
        <v>2721</v>
      </c>
      <c r="C864" s="700">
        <v>111</v>
      </c>
      <c r="D864" s="701">
        <v>52</v>
      </c>
      <c r="E864" s="701"/>
      <c r="F864" s="701"/>
      <c r="G864" s="705">
        <v>2711</v>
      </c>
      <c r="H864" s="705" t="str">
        <f t="shared" si="28"/>
        <v>2711</v>
      </c>
      <c r="I864" s="705">
        <v>130</v>
      </c>
      <c r="J864" s="701">
        <v>7.66</v>
      </c>
    </row>
    <row r="865" spans="1:10" ht="12.75" x14ac:dyDescent="0.2">
      <c r="A865" s="700">
        <v>2721</v>
      </c>
      <c r="B865" s="700" t="str">
        <f t="shared" si="27"/>
        <v>2721</v>
      </c>
      <c r="C865" s="700">
        <v>112</v>
      </c>
      <c r="D865" s="701">
        <v>40.51</v>
      </c>
      <c r="E865" s="701"/>
      <c r="F865" s="701"/>
      <c r="G865" s="705">
        <v>2721</v>
      </c>
      <c r="H865" s="705" t="str">
        <f t="shared" si="28"/>
        <v>2721</v>
      </c>
      <c r="I865" s="705">
        <v>101</v>
      </c>
      <c r="J865" s="701">
        <v>227.6</v>
      </c>
    </row>
    <row r="866" spans="1:10" ht="12.75" x14ac:dyDescent="0.2">
      <c r="A866" s="700">
        <v>2721</v>
      </c>
      <c r="B866" s="700" t="str">
        <f t="shared" si="27"/>
        <v>2721</v>
      </c>
      <c r="C866" s="700">
        <v>130</v>
      </c>
      <c r="D866" s="701">
        <v>36.880000000000003</v>
      </c>
      <c r="E866" s="701"/>
      <c r="F866" s="701"/>
      <c r="G866" s="705">
        <v>2721</v>
      </c>
      <c r="H866" s="705" t="str">
        <f t="shared" si="28"/>
        <v>2721</v>
      </c>
      <c r="I866" s="705">
        <v>102</v>
      </c>
      <c r="J866" s="701">
        <v>133.68</v>
      </c>
    </row>
    <row r="867" spans="1:10" ht="12.75" x14ac:dyDescent="0.2">
      <c r="A867" s="700">
        <v>2721</v>
      </c>
      <c r="B867" s="700" t="str">
        <f t="shared" si="27"/>
        <v>2721</v>
      </c>
      <c r="C867" s="700">
        <v>254</v>
      </c>
      <c r="D867" s="701">
        <v>1.5</v>
      </c>
      <c r="E867" s="701"/>
      <c r="F867" s="701"/>
      <c r="G867" s="705">
        <v>2721</v>
      </c>
      <c r="H867" s="705" t="str">
        <f t="shared" si="28"/>
        <v>2721</v>
      </c>
      <c r="I867" s="705">
        <v>111</v>
      </c>
      <c r="J867" s="701">
        <v>55</v>
      </c>
    </row>
    <row r="868" spans="1:10" ht="12.75" x14ac:dyDescent="0.2">
      <c r="A868" s="700">
        <v>2731</v>
      </c>
      <c r="B868" s="700" t="str">
        <f t="shared" si="27"/>
        <v>2731</v>
      </c>
      <c r="C868" s="700">
        <v>101</v>
      </c>
      <c r="D868" s="701">
        <v>85.56</v>
      </c>
      <c r="E868" s="701"/>
      <c r="F868" s="701"/>
      <c r="G868" s="705">
        <v>2721</v>
      </c>
      <c r="H868" s="705" t="str">
        <f t="shared" si="28"/>
        <v>2721</v>
      </c>
      <c r="I868" s="705">
        <v>112</v>
      </c>
      <c r="J868" s="701">
        <v>38.99</v>
      </c>
    </row>
    <row r="869" spans="1:10" ht="12.75" x14ac:dyDescent="0.2">
      <c r="A869" s="700">
        <v>2731</v>
      </c>
      <c r="B869" s="700" t="str">
        <f t="shared" si="27"/>
        <v>2731</v>
      </c>
      <c r="C869" s="700">
        <v>102</v>
      </c>
      <c r="D869" s="701">
        <v>59.56</v>
      </c>
      <c r="E869" s="701"/>
      <c r="F869" s="701"/>
      <c r="G869" s="705">
        <v>2721</v>
      </c>
      <c r="H869" s="705" t="str">
        <f t="shared" si="28"/>
        <v>2721</v>
      </c>
      <c r="I869" s="705">
        <v>130</v>
      </c>
      <c r="J869" s="701">
        <v>35.31</v>
      </c>
    </row>
    <row r="870" spans="1:10" ht="12.75" x14ac:dyDescent="0.2">
      <c r="A870" s="700">
        <v>2731</v>
      </c>
      <c r="B870" s="700" t="str">
        <f t="shared" si="27"/>
        <v>2731</v>
      </c>
      <c r="C870" s="700">
        <v>111</v>
      </c>
      <c r="D870" s="701">
        <v>35.99</v>
      </c>
      <c r="E870" s="701"/>
      <c r="F870" s="701"/>
      <c r="G870" s="705">
        <v>2721</v>
      </c>
      <c r="H870" s="705" t="str">
        <f t="shared" si="28"/>
        <v>2721</v>
      </c>
      <c r="I870" s="705">
        <v>254</v>
      </c>
      <c r="J870" s="701">
        <v>2</v>
      </c>
    </row>
    <row r="871" spans="1:10" ht="12.75" x14ac:dyDescent="0.2">
      <c r="A871" s="700">
        <v>2731</v>
      </c>
      <c r="B871" s="700" t="str">
        <f t="shared" si="27"/>
        <v>2731</v>
      </c>
      <c r="C871" s="700">
        <v>112</v>
      </c>
      <c r="D871" s="701">
        <v>23.64</v>
      </c>
      <c r="E871" s="701"/>
      <c r="F871" s="701"/>
      <c r="G871" s="705">
        <v>2731</v>
      </c>
      <c r="H871" s="705" t="str">
        <f t="shared" si="28"/>
        <v>2731</v>
      </c>
      <c r="I871" s="705">
        <v>101</v>
      </c>
      <c r="J871" s="701">
        <v>86.47</v>
      </c>
    </row>
    <row r="872" spans="1:10" ht="12.75" x14ac:dyDescent="0.2">
      <c r="A872" s="700">
        <v>2731</v>
      </c>
      <c r="B872" s="700" t="str">
        <f t="shared" si="27"/>
        <v>2731</v>
      </c>
      <c r="C872" s="700">
        <v>130</v>
      </c>
      <c r="D872" s="701">
        <v>64.8</v>
      </c>
      <c r="E872" s="701"/>
      <c r="F872" s="701"/>
      <c r="G872" s="705">
        <v>2731</v>
      </c>
      <c r="H872" s="705" t="str">
        <f t="shared" si="28"/>
        <v>2731</v>
      </c>
      <c r="I872" s="705">
        <v>102</v>
      </c>
      <c r="J872" s="701">
        <v>61.34</v>
      </c>
    </row>
    <row r="873" spans="1:10" ht="12.75" x14ac:dyDescent="0.2">
      <c r="A873" s="700">
        <v>2731</v>
      </c>
      <c r="B873" s="700" t="str">
        <f t="shared" si="27"/>
        <v>2731</v>
      </c>
      <c r="C873" s="700">
        <v>254</v>
      </c>
      <c r="D873" s="701">
        <v>0.5</v>
      </c>
      <c r="E873" s="701"/>
      <c r="F873" s="701"/>
      <c r="G873" s="705">
        <v>2731</v>
      </c>
      <c r="H873" s="705" t="str">
        <f t="shared" si="28"/>
        <v>2731</v>
      </c>
      <c r="I873" s="705">
        <v>111</v>
      </c>
      <c r="J873" s="701">
        <v>42.59</v>
      </c>
    </row>
    <row r="874" spans="1:10" ht="12.75" x14ac:dyDescent="0.2">
      <c r="A874" s="700">
        <v>2741</v>
      </c>
      <c r="B874" s="700" t="str">
        <f t="shared" si="27"/>
        <v>2741</v>
      </c>
      <c r="C874" s="700">
        <v>101</v>
      </c>
      <c r="D874" s="701">
        <v>132.88999999999999</v>
      </c>
      <c r="E874" s="701"/>
      <c r="F874" s="701"/>
      <c r="G874" s="705">
        <v>2731</v>
      </c>
      <c r="H874" s="705" t="str">
        <f t="shared" si="28"/>
        <v>2731</v>
      </c>
      <c r="I874" s="705">
        <v>112</v>
      </c>
      <c r="J874" s="701">
        <v>24.9</v>
      </c>
    </row>
    <row r="875" spans="1:10" ht="12.75" x14ac:dyDescent="0.2">
      <c r="A875" s="700">
        <v>2741</v>
      </c>
      <c r="B875" s="700" t="str">
        <f t="shared" si="27"/>
        <v>2741</v>
      </c>
      <c r="C875" s="700">
        <v>102</v>
      </c>
      <c r="D875" s="701">
        <v>77.25</v>
      </c>
      <c r="E875" s="701"/>
      <c r="F875" s="701"/>
      <c r="G875" s="705">
        <v>2731</v>
      </c>
      <c r="H875" s="705" t="str">
        <f t="shared" si="28"/>
        <v>2731</v>
      </c>
      <c r="I875" s="705">
        <v>130</v>
      </c>
      <c r="J875" s="701">
        <v>63.87</v>
      </c>
    </row>
    <row r="876" spans="1:10" ht="12.75" x14ac:dyDescent="0.2">
      <c r="A876" s="700">
        <v>2741</v>
      </c>
      <c r="B876" s="700" t="str">
        <f t="shared" si="27"/>
        <v>2741</v>
      </c>
      <c r="C876" s="700">
        <v>111</v>
      </c>
      <c r="D876" s="701">
        <v>51.51</v>
      </c>
      <c r="E876" s="701"/>
      <c r="F876" s="701"/>
      <c r="G876" s="705">
        <v>2731</v>
      </c>
      <c r="H876" s="705" t="str">
        <f t="shared" si="28"/>
        <v>2731</v>
      </c>
      <c r="I876" s="705">
        <v>254</v>
      </c>
      <c r="J876" s="701">
        <v>0.48</v>
      </c>
    </row>
    <row r="877" spans="1:10" ht="12.75" x14ac:dyDescent="0.2">
      <c r="A877" s="700">
        <v>2741</v>
      </c>
      <c r="B877" s="700" t="str">
        <f t="shared" si="27"/>
        <v>2741</v>
      </c>
      <c r="C877" s="700">
        <v>112</v>
      </c>
      <c r="D877" s="701">
        <v>28.5</v>
      </c>
      <c r="E877" s="701"/>
      <c r="F877" s="701"/>
      <c r="G877" s="705">
        <v>2741</v>
      </c>
      <c r="H877" s="705" t="str">
        <f t="shared" si="28"/>
        <v>2741</v>
      </c>
      <c r="I877" s="705">
        <v>101</v>
      </c>
      <c r="J877" s="701">
        <v>130.63</v>
      </c>
    </row>
    <row r="878" spans="1:10" ht="12.75" x14ac:dyDescent="0.2">
      <c r="A878" s="700">
        <v>2741</v>
      </c>
      <c r="B878" s="700" t="str">
        <f t="shared" si="27"/>
        <v>2741</v>
      </c>
      <c r="C878" s="700">
        <v>130</v>
      </c>
      <c r="D878" s="701">
        <v>18.53</v>
      </c>
      <c r="E878" s="701"/>
      <c r="F878" s="701"/>
      <c r="G878" s="705">
        <v>2741</v>
      </c>
      <c r="H878" s="705" t="str">
        <f t="shared" si="28"/>
        <v>2741</v>
      </c>
      <c r="I878" s="705">
        <v>102</v>
      </c>
      <c r="J878" s="701">
        <v>77.17</v>
      </c>
    </row>
    <row r="879" spans="1:10" ht="12.75" x14ac:dyDescent="0.2">
      <c r="A879" s="700">
        <v>2741</v>
      </c>
      <c r="B879" s="700" t="str">
        <f t="shared" si="27"/>
        <v>2741</v>
      </c>
      <c r="C879" s="700">
        <v>254</v>
      </c>
      <c r="D879" s="701">
        <v>3.5</v>
      </c>
      <c r="E879" s="701"/>
      <c r="F879" s="701"/>
      <c r="G879" s="705">
        <v>2741</v>
      </c>
      <c r="H879" s="705" t="str">
        <f t="shared" si="28"/>
        <v>2741</v>
      </c>
      <c r="I879" s="705">
        <v>111</v>
      </c>
      <c r="J879" s="701">
        <v>58.05</v>
      </c>
    </row>
    <row r="880" spans="1:10" ht="12.75" x14ac:dyDescent="0.2">
      <c r="A880" s="700">
        <v>2751</v>
      </c>
      <c r="B880" s="700" t="str">
        <f t="shared" si="27"/>
        <v>2751</v>
      </c>
      <c r="C880" s="700">
        <v>101</v>
      </c>
      <c r="D880" s="701">
        <v>63.69</v>
      </c>
      <c r="E880" s="701"/>
      <c r="F880" s="701"/>
      <c r="G880" s="705">
        <v>2741</v>
      </c>
      <c r="H880" s="705" t="str">
        <f t="shared" si="28"/>
        <v>2741</v>
      </c>
      <c r="I880" s="705">
        <v>112</v>
      </c>
      <c r="J880" s="701">
        <v>30</v>
      </c>
    </row>
    <row r="881" spans="1:10" ht="12.75" x14ac:dyDescent="0.2">
      <c r="A881" s="700">
        <v>2751</v>
      </c>
      <c r="B881" s="700" t="str">
        <f t="shared" si="27"/>
        <v>2751</v>
      </c>
      <c r="C881" s="700">
        <v>102</v>
      </c>
      <c r="D881" s="701">
        <v>33.729999999999997</v>
      </c>
      <c r="E881" s="701"/>
      <c r="F881" s="701"/>
      <c r="G881" s="705">
        <v>2741</v>
      </c>
      <c r="H881" s="705" t="str">
        <f t="shared" si="28"/>
        <v>2741</v>
      </c>
      <c r="I881" s="705">
        <v>130</v>
      </c>
      <c r="J881" s="701">
        <v>18.53</v>
      </c>
    </row>
    <row r="882" spans="1:10" ht="12.75" x14ac:dyDescent="0.2">
      <c r="A882" s="700">
        <v>2751</v>
      </c>
      <c r="B882" s="700" t="str">
        <f t="shared" si="27"/>
        <v>2751</v>
      </c>
      <c r="C882" s="700">
        <v>111</v>
      </c>
      <c r="D882" s="701">
        <v>35.799999999999997</v>
      </c>
      <c r="E882" s="701"/>
      <c r="F882" s="701"/>
      <c r="G882" s="705">
        <v>2741</v>
      </c>
      <c r="H882" s="705" t="str">
        <f t="shared" si="28"/>
        <v>2741</v>
      </c>
      <c r="I882" s="705">
        <v>254</v>
      </c>
      <c r="J882" s="701">
        <v>3.5</v>
      </c>
    </row>
    <row r="883" spans="1:10" ht="12.75" x14ac:dyDescent="0.2">
      <c r="A883" s="700">
        <v>2751</v>
      </c>
      <c r="B883" s="700" t="str">
        <f t="shared" si="27"/>
        <v>2751</v>
      </c>
      <c r="C883" s="700">
        <v>112</v>
      </c>
      <c r="D883" s="701">
        <v>7</v>
      </c>
      <c r="E883" s="701"/>
      <c r="F883" s="701"/>
      <c r="G883" s="705">
        <v>2751</v>
      </c>
      <c r="H883" s="705" t="str">
        <f t="shared" si="28"/>
        <v>2751</v>
      </c>
      <c r="I883" s="705">
        <v>101</v>
      </c>
      <c r="J883" s="701">
        <v>58.57</v>
      </c>
    </row>
    <row r="884" spans="1:10" ht="12.75" x14ac:dyDescent="0.2">
      <c r="A884" s="700">
        <v>2751</v>
      </c>
      <c r="B884" s="700" t="str">
        <f t="shared" si="27"/>
        <v>2751</v>
      </c>
      <c r="C884" s="700">
        <v>130</v>
      </c>
      <c r="D884" s="701">
        <v>52.22</v>
      </c>
      <c r="E884" s="701"/>
      <c r="F884" s="701"/>
      <c r="G884" s="705">
        <v>2751</v>
      </c>
      <c r="H884" s="705" t="str">
        <f t="shared" si="28"/>
        <v>2751</v>
      </c>
      <c r="I884" s="705">
        <v>102</v>
      </c>
      <c r="J884" s="701">
        <v>29.9</v>
      </c>
    </row>
    <row r="885" spans="1:10" ht="12.75" x14ac:dyDescent="0.2">
      <c r="A885" s="700">
        <v>2751</v>
      </c>
      <c r="B885" s="700" t="str">
        <f t="shared" si="27"/>
        <v>2751</v>
      </c>
      <c r="C885" s="700">
        <v>254</v>
      </c>
      <c r="D885" s="701">
        <v>1.81</v>
      </c>
      <c r="E885" s="701"/>
      <c r="F885" s="701"/>
      <c r="G885" s="705">
        <v>2751</v>
      </c>
      <c r="H885" s="705" t="str">
        <f t="shared" si="28"/>
        <v>2751</v>
      </c>
      <c r="I885" s="705">
        <v>111</v>
      </c>
      <c r="J885" s="701">
        <v>38.74</v>
      </c>
    </row>
    <row r="886" spans="1:10" ht="12.75" x14ac:dyDescent="0.2">
      <c r="A886" s="700">
        <v>2751</v>
      </c>
      <c r="B886" s="700" t="str">
        <f t="shared" si="27"/>
        <v>2751</v>
      </c>
      <c r="C886" s="700">
        <v>255</v>
      </c>
      <c r="D886" s="701">
        <v>0.5</v>
      </c>
      <c r="E886" s="701"/>
      <c r="F886" s="701"/>
      <c r="G886" s="705">
        <v>2751</v>
      </c>
      <c r="H886" s="705" t="str">
        <f t="shared" si="28"/>
        <v>2751</v>
      </c>
      <c r="I886" s="705">
        <v>112</v>
      </c>
      <c r="J886" s="701">
        <v>9.64</v>
      </c>
    </row>
    <row r="887" spans="1:10" ht="12.75" x14ac:dyDescent="0.2">
      <c r="A887" s="700">
        <v>2761</v>
      </c>
      <c r="B887" s="700" t="str">
        <f t="shared" si="27"/>
        <v>2761</v>
      </c>
      <c r="C887" s="700">
        <v>101</v>
      </c>
      <c r="D887" s="701">
        <v>115.8</v>
      </c>
      <c r="E887" s="701"/>
      <c r="F887" s="701"/>
      <c r="G887" s="705">
        <v>2751</v>
      </c>
      <c r="H887" s="705" t="str">
        <f t="shared" si="28"/>
        <v>2751</v>
      </c>
      <c r="I887" s="705">
        <v>130</v>
      </c>
      <c r="J887" s="701">
        <v>52.39</v>
      </c>
    </row>
    <row r="888" spans="1:10" ht="12.75" x14ac:dyDescent="0.2">
      <c r="A888" s="700">
        <v>2761</v>
      </c>
      <c r="B888" s="700" t="str">
        <f t="shared" si="27"/>
        <v>2761</v>
      </c>
      <c r="C888" s="700">
        <v>102</v>
      </c>
      <c r="D888" s="701">
        <v>79.73</v>
      </c>
      <c r="E888" s="701"/>
      <c r="F888" s="701"/>
      <c r="G888" s="705">
        <v>2751</v>
      </c>
      <c r="H888" s="705" t="str">
        <f t="shared" si="28"/>
        <v>2751</v>
      </c>
      <c r="I888" s="705">
        <v>254</v>
      </c>
      <c r="J888" s="701">
        <v>1.31</v>
      </c>
    </row>
    <row r="889" spans="1:10" ht="12.75" x14ac:dyDescent="0.2">
      <c r="A889" s="700">
        <v>2761</v>
      </c>
      <c r="B889" s="700" t="str">
        <f t="shared" si="27"/>
        <v>2761</v>
      </c>
      <c r="C889" s="700">
        <v>111</v>
      </c>
      <c r="D889" s="701">
        <v>54.47</v>
      </c>
      <c r="E889" s="701"/>
      <c r="F889" s="701"/>
      <c r="G889" s="705">
        <v>2751</v>
      </c>
      <c r="H889" s="705" t="str">
        <f t="shared" si="28"/>
        <v>2751</v>
      </c>
      <c r="I889" s="705">
        <v>255</v>
      </c>
      <c r="J889" s="701">
        <v>0.5</v>
      </c>
    </row>
    <row r="890" spans="1:10" ht="12.75" x14ac:dyDescent="0.2">
      <c r="A890" s="700">
        <v>2761</v>
      </c>
      <c r="B890" s="700" t="str">
        <f t="shared" si="27"/>
        <v>2761</v>
      </c>
      <c r="C890" s="700">
        <v>112</v>
      </c>
      <c r="D890" s="701">
        <v>22.47</v>
      </c>
      <c r="E890" s="701"/>
      <c r="F890" s="701"/>
      <c r="G890" s="705">
        <v>2761</v>
      </c>
      <c r="H890" s="705" t="str">
        <f t="shared" si="28"/>
        <v>2761</v>
      </c>
      <c r="I890" s="705">
        <v>101</v>
      </c>
      <c r="J890" s="701">
        <v>115.41</v>
      </c>
    </row>
    <row r="891" spans="1:10" ht="12.75" x14ac:dyDescent="0.2">
      <c r="A891" s="700">
        <v>2761</v>
      </c>
      <c r="B891" s="700" t="str">
        <f t="shared" si="27"/>
        <v>2761</v>
      </c>
      <c r="C891" s="700">
        <v>130</v>
      </c>
      <c r="D891" s="701">
        <v>176.94</v>
      </c>
      <c r="E891" s="701"/>
      <c r="F891" s="701"/>
      <c r="G891" s="705">
        <v>2761</v>
      </c>
      <c r="H891" s="705" t="str">
        <f t="shared" si="28"/>
        <v>2761</v>
      </c>
      <c r="I891" s="705">
        <v>102</v>
      </c>
      <c r="J891" s="701">
        <v>79.84</v>
      </c>
    </row>
    <row r="892" spans="1:10" ht="12.75" x14ac:dyDescent="0.2">
      <c r="A892" s="700">
        <v>2761</v>
      </c>
      <c r="B892" s="700" t="str">
        <f t="shared" si="27"/>
        <v>2761</v>
      </c>
      <c r="C892" s="700">
        <v>254</v>
      </c>
      <c r="D892" s="701">
        <v>4.5</v>
      </c>
      <c r="E892" s="701"/>
      <c r="F892" s="701"/>
      <c r="G892" s="705">
        <v>2761</v>
      </c>
      <c r="H892" s="705" t="str">
        <f t="shared" si="28"/>
        <v>2761</v>
      </c>
      <c r="I892" s="705">
        <v>111</v>
      </c>
      <c r="J892" s="701">
        <v>57.99</v>
      </c>
    </row>
    <row r="893" spans="1:10" ht="12.75" x14ac:dyDescent="0.2">
      <c r="A893" s="700">
        <v>2781</v>
      </c>
      <c r="B893" s="700" t="str">
        <f t="shared" si="27"/>
        <v>2781</v>
      </c>
      <c r="C893" s="700">
        <v>102</v>
      </c>
      <c r="D893" s="701">
        <v>224.18</v>
      </c>
      <c r="E893" s="701"/>
      <c r="F893" s="701"/>
      <c r="G893" s="705">
        <v>2761</v>
      </c>
      <c r="H893" s="705" t="str">
        <f t="shared" si="28"/>
        <v>2761</v>
      </c>
      <c r="I893" s="705">
        <v>112</v>
      </c>
      <c r="J893" s="701">
        <v>24.51</v>
      </c>
    </row>
    <row r="894" spans="1:10" ht="12.75" x14ac:dyDescent="0.2">
      <c r="A894" s="700">
        <v>2781</v>
      </c>
      <c r="B894" s="700" t="str">
        <f t="shared" si="27"/>
        <v>2781</v>
      </c>
      <c r="C894" s="700">
        <v>112</v>
      </c>
      <c r="D894" s="701">
        <v>88.11</v>
      </c>
      <c r="E894" s="701"/>
      <c r="F894" s="701"/>
      <c r="G894" s="705">
        <v>2761</v>
      </c>
      <c r="H894" s="705" t="str">
        <f t="shared" si="28"/>
        <v>2761</v>
      </c>
      <c r="I894" s="705">
        <v>130</v>
      </c>
      <c r="J894" s="701">
        <v>170.26</v>
      </c>
    </row>
    <row r="895" spans="1:10" ht="12.75" x14ac:dyDescent="0.2">
      <c r="A895" s="700">
        <v>2781</v>
      </c>
      <c r="B895" s="700" t="str">
        <f t="shared" si="27"/>
        <v>2781</v>
      </c>
      <c r="C895" s="700">
        <v>130</v>
      </c>
      <c r="D895" s="701">
        <v>53.74</v>
      </c>
      <c r="E895" s="701"/>
      <c r="F895" s="701"/>
      <c r="G895" s="705">
        <v>2761</v>
      </c>
      <c r="H895" s="705" t="str">
        <f t="shared" si="28"/>
        <v>2761</v>
      </c>
      <c r="I895" s="705">
        <v>254</v>
      </c>
      <c r="J895" s="701">
        <v>4.5</v>
      </c>
    </row>
    <row r="896" spans="1:10" ht="12.75" x14ac:dyDescent="0.2">
      <c r="A896" s="700">
        <v>2791</v>
      </c>
      <c r="B896" s="700" t="str">
        <f t="shared" si="27"/>
        <v>2791</v>
      </c>
      <c r="C896" s="700">
        <v>111</v>
      </c>
      <c r="D896" s="701">
        <v>3</v>
      </c>
      <c r="E896" s="701"/>
      <c r="F896" s="701"/>
      <c r="G896" s="705">
        <v>2781</v>
      </c>
      <c r="H896" s="705" t="str">
        <f t="shared" si="28"/>
        <v>2781</v>
      </c>
      <c r="I896" s="705">
        <v>102</v>
      </c>
      <c r="J896" s="701">
        <v>235.74</v>
      </c>
    </row>
    <row r="897" spans="1:10" ht="12.75" x14ac:dyDescent="0.2">
      <c r="A897" s="700">
        <v>2791</v>
      </c>
      <c r="B897" s="700" t="str">
        <f t="shared" si="27"/>
        <v>2791</v>
      </c>
      <c r="C897" s="700">
        <v>112</v>
      </c>
      <c r="D897" s="701">
        <v>1</v>
      </c>
      <c r="E897" s="701"/>
      <c r="F897" s="701"/>
      <c r="G897" s="705">
        <v>2781</v>
      </c>
      <c r="H897" s="705" t="str">
        <f t="shared" si="28"/>
        <v>2781</v>
      </c>
      <c r="I897" s="705">
        <v>112</v>
      </c>
      <c r="J897" s="701">
        <v>84.97</v>
      </c>
    </row>
    <row r="898" spans="1:10" ht="12.75" x14ac:dyDescent="0.2">
      <c r="A898" s="700">
        <v>2791</v>
      </c>
      <c r="B898" s="700" t="str">
        <f t="shared" ref="B898:B961" si="29">TEXT(A898,"0000")</f>
        <v>2791</v>
      </c>
      <c r="C898" s="700">
        <v>254</v>
      </c>
      <c r="D898" s="701">
        <v>60.5</v>
      </c>
      <c r="E898" s="701"/>
      <c r="F898" s="701"/>
      <c r="G898" s="705">
        <v>2781</v>
      </c>
      <c r="H898" s="705" t="str">
        <f t="shared" si="28"/>
        <v>2781</v>
      </c>
      <c r="I898" s="705">
        <v>130</v>
      </c>
      <c r="J898" s="701">
        <v>40.58</v>
      </c>
    </row>
    <row r="899" spans="1:10" ht="12.75" x14ac:dyDescent="0.2">
      <c r="A899" s="700">
        <v>2791</v>
      </c>
      <c r="B899" s="700" t="str">
        <f t="shared" si="29"/>
        <v>2791</v>
      </c>
      <c r="C899" s="700">
        <v>255</v>
      </c>
      <c r="D899" s="701">
        <v>22</v>
      </c>
      <c r="E899" s="701"/>
      <c r="F899" s="701"/>
      <c r="G899" s="705">
        <v>2791</v>
      </c>
      <c r="H899" s="705" t="str">
        <f t="shared" ref="H899:H962" si="30">TEXT(G899,"0000")</f>
        <v>2791</v>
      </c>
      <c r="I899" s="705">
        <v>111</v>
      </c>
      <c r="J899" s="701">
        <v>1.04</v>
      </c>
    </row>
    <row r="900" spans="1:10" ht="12.75" x14ac:dyDescent="0.2">
      <c r="A900" s="700">
        <v>2801</v>
      </c>
      <c r="B900" s="700" t="str">
        <f t="shared" si="29"/>
        <v>2801</v>
      </c>
      <c r="C900" s="700">
        <v>101</v>
      </c>
      <c r="D900" s="701">
        <v>111.49</v>
      </c>
      <c r="E900" s="701"/>
      <c r="F900" s="701"/>
      <c r="G900" s="705">
        <v>2791</v>
      </c>
      <c r="H900" s="705" t="str">
        <f t="shared" si="30"/>
        <v>2791</v>
      </c>
      <c r="I900" s="705">
        <v>112</v>
      </c>
      <c r="J900" s="701">
        <v>0</v>
      </c>
    </row>
    <row r="901" spans="1:10" ht="12.75" x14ac:dyDescent="0.2">
      <c r="A901" s="700">
        <v>2801</v>
      </c>
      <c r="B901" s="700" t="str">
        <f t="shared" si="29"/>
        <v>2801</v>
      </c>
      <c r="C901" s="700">
        <v>102</v>
      </c>
      <c r="D901" s="701">
        <v>59.89</v>
      </c>
      <c r="E901" s="701"/>
      <c r="F901" s="701"/>
      <c r="G901" s="705">
        <v>2791</v>
      </c>
      <c r="H901" s="705" t="str">
        <f t="shared" si="30"/>
        <v>2791</v>
      </c>
      <c r="I901" s="705">
        <v>254</v>
      </c>
      <c r="J901" s="701">
        <v>48.02</v>
      </c>
    </row>
    <row r="902" spans="1:10" ht="12.75" x14ac:dyDescent="0.2">
      <c r="A902" s="700">
        <v>2801</v>
      </c>
      <c r="B902" s="700" t="str">
        <f t="shared" si="29"/>
        <v>2801</v>
      </c>
      <c r="C902" s="700">
        <v>111</v>
      </c>
      <c r="D902" s="701">
        <v>25</v>
      </c>
      <c r="E902" s="701"/>
      <c r="F902" s="701"/>
      <c r="G902" s="705">
        <v>2791</v>
      </c>
      <c r="H902" s="705" t="str">
        <f t="shared" si="30"/>
        <v>2791</v>
      </c>
      <c r="I902" s="705">
        <v>255</v>
      </c>
      <c r="J902" s="701">
        <v>37.5</v>
      </c>
    </row>
    <row r="903" spans="1:10" ht="12.75" x14ac:dyDescent="0.2">
      <c r="A903" s="700">
        <v>2801</v>
      </c>
      <c r="B903" s="700" t="str">
        <f t="shared" si="29"/>
        <v>2801</v>
      </c>
      <c r="C903" s="700">
        <v>112</v>
      </c>
      <c r="D903" s="701">
        <v>14</v>
      </c>
      <c r="E903" s="701"/>
      <c r="F903" s="701"/>
      <c r="G903" s="705">
        <v>2801</v>
      </c>
      <c r="H903" s="705" t="str">
        <f t="shared" si="30"/>
        <v>2801</v>
      </c>
      <c r="I903" s="705">
        <v>101</v>
      </c>
      <c r="J903" s="701">
        <v>105.01</v>
      </c>
    </row>
    <row r="904" spans="1:10" ht="12.75" x14ac:dyDescent="0.2">
      <c r="A904" s="700">
        <v>2801</v>
      </c>
      <c r="B904" s="700" t="str">
        <f t="shared" si="29"/>
        <v>2801</v>
      </c>
      <c r="C904" s="700">
        <v>130</v>
      </c>
      <c r="D904" s="701">
        <v>69.739999999999995</v>
      </c>
      <c r="E904" s="701"/>
      <c r="F904" s="701"/>
      <c r="G904" s="705">
        <v>2801</v>
      </c>
      <c r="H904" s="705" t="str">
        <f t="shared" si="30"/>
        <v>2801</v>
      </c>
      <c r="I904" s="705">
        <v>102</v>
      </c>
      <c r="J904" s="701">
        <v>57.85</v>
      </c>
    </row>
    <row r="905" spans="1:10" ht="12.75" x14ac:dyDescent="0.2">
      <c r="A905" s="700">
        <v>2811</v>
      </c>
      <c r="B905" s="700" t="str">
        <f t="shared" si="29"/>
        <v>2811</v>
      </c>
      <c r="C905" s="700">
        <v>101</v>
      </c>
      <c r="D905" s="701">
        <v>65.45</v>
      </c>
      <c r="E905" s="701"/>
      <c r="F905" s="701"/>
      <c r="G905" s="705">
        <v>2801</v>
      </c>
      <c r="H905" s="705" t="str">
        <f t="shared" si="30"/>
        <v>2801</v>
      </c>
      <c r="I905" s="705">
        <v>111</v>
      </c>
      <c r="J905" s="701">
        <v>29.51</v>
      </c>
    </row>
    <row r="906" spans="1:10" ht="12.75" x14ac:dyDescent="0.2">
      <c r="A906" s="700">
        <v>2811</v>
      </c>
      <c r="B906" s="700" t="str">
        <f t="shared" si="29"/>
        <v>2811</v>
      </c>
      <c r="C906" s="700">
        <v>102</v>
      </c>
      <c r="D906" s="701">
        <v>80.73</v>
      </c>
      <c r="E906" s="701"/>
      <c r="F906" s="701"/>
      <c r="G906" s="705">
        <v>2801</v>
      </c>
      <c r="H906" s="705" t="str">
        <f t="shared" si="30"/>
        <v>2801</v>
      </c>
      <c r="I906" s="705">
        <v>112</v>
      </c>
      <c r="J906" s="701">
        <v>14.98</v>
      </c>
    </row>
    <row r="907" spans="1:10" ht="12.75" x14ac:dyDescent="0.2">
      <c r="A907" s="700">
        <v>2811</v>
      </c>
      <c r="B907" s="700" t="str">
        <f t="shared" si="29"/>
        <v>2811</v>
      </c>
      <c r="C907" s="700">
        <v>103</v>
      </c>
      <c r="D907" s="701">
        <v>22.26</v>
      </c>
      <c r="E907" s="701"/>
      <c r="F907" s="701"/>
      <c r="G907" s="705">
        <v>2801</v>
      </c>
      <c r="H907" s="705" t="str">
        <f t="shared" si="30"/>
        <v>2801</v>
      </c>
      <c r="I907" s="705">
        <v>130</v>
      </c>
      <c r="J907" s="701">
        <v>68.02</v>
      </c>
    </row>
    <row r="908" spans="1:10" ht="12.75" x14ac:dyDescent="0.2">
      <c r="A908" s="700">
        <v>2811</v>
      </c>
      <c r="B908" s="700" t="str">
        <f t="shared" si="29"/>
        <v>2811</v>
      </c>
      <c r="C908" s="700">
        <v>111</v>
      </c>
      <c r="D908" s="701">
        <v>15.67</v>
      </c>
      <c r="E908" s="701"/>
      <c r="F908" s="701"/>
      <c r="G908" s="705">
        <v>2811</v>
      </c>
      <c r="H908" s="705" t="str">
        <f t="shared" si="30"/>
        <v>2811</v>
      </c>
      <c r="I908" s="705">
        <v>101</v>
      </c>
      <c r="J908" s="701">
        <v>63.18</v>
      </c>
    </row>
    <row r="909" spans="1:10" ht="12.75" x14ac:dyDescent="0.2">
      <c r="A909" s="700">
        <v>2811</v>
      </c>
      <c r="B909" s="700" t="str">
        <f t="shared" si="29"/>
        <v>2811</v>
      </c>
      <c r="C909" s="700">
        <v>112</v>
      </c>
      <c r="D909" s="701">
        <v>29.75</v>
      </c>
      <c r="E909" s="701"/>
      <c r="F909" s="701"/>
      <c r="G909" s="705">
        <v>2811</v>
      </c>
      <c r="H909" s="705" t="str">
        <f t="shared" si="30"/>
        <v>2811</v>
      </c>
      <c r="I909" s="705">
        <v>102</v>
      </c>
      <c r="J909" s="701">
        <v>79.239999999999995</v>
      </c>
    </row>
    <row r="910" spans="1:10" ht="12.75" x14ac:dyDescent="0.2">
      <c r="A910" s="700">
        <v>2811</v>
      </c>
      <c r="B910" s="700" t="str">
        <f t="shared" si="29"/>
        <v>2811</v>
      </c>
      <c r="C910" s="700">
        <v>113</v>
      </c>
      <c r="D910" s="701">
        <v>8.42</v>
      </c>
      <c r="E910" s="701"/>
      <c r="F910" s="701"/>
      <c r="G910" s="705">
        <v>2811</v>
      </c>
      <c r="H910" s="705" t="str">
        <f t="shared" si="30"/>
        <v>2811</v>
      </c>
      <c r="I910" s="705">
        <v>103</v>
      </c>
      <c r="J910" s="701">
        <v>21.92</v>
      </c>
    </row>
    <row r="911" spans="1:10" ht="12.75" x14ac:dyDescent="0.2">
      <c r="A911" s="700">
        <v>2811</v>
      </c>
      <c r="B911" s="700" t="str">
        <f t="shared" si="29"/>
        <v>2811</v>
      </c>
      <c r="C911" s="700">
        <v>130</v>
      </c>
      <c r="D911" s="701">
        <v>39.44</v>
      </c>
      <c r="E911" s="701"/>
      <c r="F911" s="701"/>
      <c r="G911" s="705">
        <v>2811</v>
      </c>
      <c r="H911" s="705" t="str">
        <f t="shared" si="30"/>
        <v>2811</v>
      </c>
      <c r="I911" s="705">
        <v>111</v>
      </c>
      <c r="J911" s="701">
        <v>13.46</v>
      </c>
    </row>
    <row r="912" spans="1:10" ht="12.75" x14ac:dyDescent="0.2">
      <c r="A912" s="700">
        <v>2811</v>
      </c>
      <c r="B912" s="700" t="str">
        <f t="shared" si="29"/>
        <v>2811</v>
      </c>
      <c r="C912" s="700">
        <v>300</v>
      </c>
      <c r="D912" s="701">
        <v>1.9</v>
      </c>
      <c r="E912" s="701"/>
      <c r="F912" s="701"/>
      <c r="G912" s="705">
        <v>2811</v>
      </c>
      <c r="H912" s="705" t="str">
        <f t="shared" si="30"/>
        <v>2811</v>
      </c>
      <c r="I912" s="705">
        <v>112</v>
      </c>
      <c r="J912" s="701">
        <v>27.79</v>
      </c>
    </row>
    <row r="913" spans="1:10" ht="12.75" x14ac:dyDescent="0.2">
      <c r="A913" s="700">
        <v>2821</v>
      </c>
      <c r="B913" s="700" t="str">
        <f t="shared" si="29"/>
        <v>2821</v>
      </c>
      <c r="C913" s="700">
        <v>102</v>
      </c>
      <c r="D913" s="701">
        <v>316.61</v>
      </c>
      <c r="E913" s="701"/>
      <c r="F913" s="701"/>
      <c r="G913" s="705">
        <v>2811</v>
      </c>
      <c r="H913" s="705" t="str">
        <f t="shared" si="30"/>
        <v>2811</v>
      </c>
      <c r="I913" s="705">
        <v>113</v>
      </c>
      <c r="J913" s="701">
        <v>8.26</v>
      </c>
    </row>
    <row r="914" spans="1:10" ht="12.75" x14ac:dyDescent="0.2">
      <c r="A914" s="700">
        <v>2821</v>
      </c>
      <c r="B914" s="700" t="str">
        <f t="shared" si="29"/>
        <v>2821</v>
      </c>
      <c r="C914" s="700">
        <v>112</v>
      </c>
      <c r="D914" s="701">
        <v>87.57</v>
      </c>
      <c r="E914" s="701"/>
      <c r="F914" s="701"/>
      <c r="G914" s="705">
        <v>2811</v>
      </c>
      <c r="H914" s="705" t="str">
        <f t="shared" si="30"/>
        <v>2811</v>
      </c>
      <c r="I914" s="705">
        <v>130</v>
      </c>
      <c r="J914" s="701">
        <v>34.85</v>
      </c>
    </row>
    <row r="915" spans="1:10" ht="12.75" x14ac:dyDescent="0.2">
      <c r="A915" s="700">
        <v>2821</v>
      </c>
      <c r="B915" s="700" t="str">
        <f t="shared" si="29"/>
        <v>2821</v>
      </c>
      <c r="C915" s="700">
        <v>130</v>
      </c>
      <c r="D915" s="701">
        <v>10.86</v>
      </c>
      <c r="E915" s="701"/>
      <c r="F915" s="701"/>
      <c r="G915" s="705">
        <v>2811</v>
      </c>
      <c r="H915" s="705" t="str">
        <f t="shared" si="30"/>
        <v>2811</v>
      </c>
      <c r="I915" s="705">
        <v>300</v>
      </c>
      <c r="J915" s="701">
        <v>1.34</v>
      </c>
    </row>
    <row r="916" spans="1:10" ht="12.75" x14ac:dyDescent="0.2">
      <c r="A916" s="700">
        <v>2821</v>
      </c>
      <c r="B916" s="700" t="str">
        <f t="shared" si="29"/>
        <v>2821</v>
      </c>
      <c r="C916" s="700">
        <v>254</v>
      </c>
      <c r="D916" s="701">
        <v>2.5</v>
      </c>
      <c r="E916" s="701"/>
      <c r="F916" s="701"/>
      <c r="G916" s="705">
        <v>2821</v>
      </c>
      <c r="H916" s="705" t="str">
        <f t="shared" si="30"/>
        <v>2821</v>
      </c>
      <c r="I916" s="705">
        <v>102</v>
      </c>
      <c r="J916" s="701">
        <v>313.88</v>
      </c>
    </row>
    <row r="917" spans="1:10" ht="12.75" x14ac:dyDescent="0.2">
      <c r="A917" s="700">
        <v>2861</v>
      </c>
      <c r="B917" s="700" t="str">
        <f t="shared" si="29"/>
        <v>2861</v>
      </c>
      <c r="C917" s="700">
        <v>101</v>
      </c>
      <c r="D917" s="701">
        <v>96.25</v>
      </c>
      <c r="E917" s="701"/>
      <c r="F917" s="701"/>
      <c r="G917" s="705">
        <v>2821</v>
      </c>
      <c r="H917" s="705" t="str">
        <f t="shared" si="30"/>
        <v>2821</v>
      </c>
      <c r="I917" s="705">
        <v>112</v>
      </c>
      <c r="J917" s="701">
        <v>89.96</v>
      </c>
    </row>
    <row r="918" spans="1:10" ht="12.75" x14ac:dyDescent="0.2">
      <c r="A918" s="700">
        <v>2861</v>
      </c>
      <c r="B918" s="700" t="str">
        <f t="shared" si="29"/>
        <v>2861</v>
      </c>
      <c r="C918" s="700">
        <v>102</v>
      </c>
      <c r="D918" s="701">
        <v>70.22</v>
      </c>
      <c r="E918" s="701"/>
      <c r="F918" s="701"/>
      <c r="G918" s="705">
        <v>2821</v>
      </c>
      <c r="H918" s="705" t="str">
        <f t="shared" si="30"/>
        <v>2821</v>
      </c>
      <c r="I918" s="705">
        <v>130</v>
      </c>
      <c r="J918" s="701">
        <v>11.73</v>
      </c>
    </row>
    <row r="919" spans="1:10" ht="12.75" x14ac:dyDescent="0.2">
      <c r="A919" s="700">
        <v>2861</v>
      </c>
      <c r="B919" s="700" t="str">
        <f t="shared" si="29"/>
        <v>2861</v>
      </c>
      <c r="C919" s="700">
        <v>111</v>
      </c>
      <c r="D919" s="701">
        <v>28.49</v>
      </c>
      <c r="E919" s="701"/>
      <c r="F919" s="701"/>
      <c r="G919" s="705">
        <v>2821</v>
      </c>
      <c r="H919" s="705" t="str">
        <f t="shared" si="30"/>
        <v>2821</v>
      </c>
      <c r="I919" s="705">
        <v>254</v>
      </c>
      <c r="J919" s="701">
        <v>3</v>
      </c>
    </row>
    <row r="920" spans="1:10" ht="12.75" x14ac:dyDescent="0.2">
      <c r="A920" s="700">
        <v>2861</v>
      </c>
      <c r="B920" s="700" t="str">
        <f t="shared" si="29"/>
        <v>2861</v>
      </c>
      <c r="C920" s="700">
        <v>112</v>
      </c>
      <c r="D920" s="701">
        <v>17.98</v>
      </c>
      <c r="E920" s="701"/>
      <c r="F920" s="701"/>
      <c r="G920" s="705">
        <v>2861</v>
      </c>
      <c r="H920" s="705" t="str">
        <f t="shared" si="30"/>
        <v>2861</v>
      </c>
      <c r="I920" s="705">
        <v>101</v>
      </c>
      <c r="J920" s="701">
        <v>92.12</v>
      </c>
    </row>
    <row r="921" spans="1:10" ht="12.75" x14ac:dyDescent="0.2">
      <c r="A921" s="700">
        <v>2861</v>
      </c>
      <c r="B921" s="700" t="str">
        <f t="shared" si="29"/>
        <v>2861</v>
      </c>
      <c r="C921" s="700">
        <v>130</v>
      </c>
      <c r="D921" s="701">
        <v>11.05</v>
      </c>
      <c r="E921" s="701"/>
      <c r="F921" s="701"/>
      <c r="G921" s="705">
        <v>2861</v>
      </c>
      <c r="H921" s="705" t="str">
        <f t="shared" si="30"/>
        <v>2861</v>
      </c>
      <c r="I921" s="705">
        <v>102</v>
      </c>
      <c r="J921" s="701">
        <v>69.709999999999994</v>
      </c>
    </row>
    <row r="922" spans="1:10" ht="12.75" x14ac:dyDescent="0.2">
      <c r="A922" s="700">
        <v>2861</v>
      </c>
      <c r="B922" s="700" t="str">
        <f t="shared" si="29"/>
        <v>2861</v>
      </c>
      <c r="C922" s="700">
        <v>254</v>
      </c>
      <c r="D922" s="701">
        <v>2</v>
      </c>
      <c r="E922" s="701"/>
      <c r="F922" s="701"/>
      <c r="G922" s="705">
        <v>2861</v>
      </c>
      <c r="H922" s="705" t="str">
        <f t="shared" si="30"/>
        <v>2861</v>
      </c>
      <c r="I922" s="705">
        <v>111</v>
      </c>
      <c r="J922" s="701">
        <v>34.479999999999997</v>
      </c>
    </row>
    <row r="923" spans="1:10" ht="12.75" x14ac:dyDescent="0.2">
      <c r="A923" s="700">
        <v>2911</v>
      </c>
      <c r="B923" s="700" t="str">
        <f t="shared" si="29"/>
        <v>2911</v>
      </c>
      <c r="C923" s="700">
        <v>101</v>
      </c>
      <c r="D923" s="701">
        <v>129.36000000000001</v>
      </c>
      <c r="E923" s="701"/>
      <c r="F923" s="701"/>
      <c r="G923" s="705">
        <v>2861</v>
      </c>
      <c r="H923" s="705" t="str">
        <f t="shared" si="30"/>
        <v>2861</v>
      </c>
      <c r="I923" s="705">
        <v>112</v>
      </c>
      <c r="J923" s="701">
        <v>18.95</v>
      </c>
    </row>
    <row r="924" spans="1:10" ht="12.75" x14ac:dyDescent="0.2">
      <c r="A924" s="700">
        <v>2911</v>
      </c>
      <c r="B924" s="700" t="str">
        <f t="shared" si="29"/>
        <v>2911</v>
      </c>
      <c r="C924" s="700">
        <v>102</v>
      </c>
      <c r="D924" s="701">
        <v>171.22</v>
      </c>
      <c r="E924" s="701"/>
      <c r="F924" s="701"/>
      <c r="G924" s="705">
        <v>2861</v>
      </c>
      <c r="H924" s="705" t="str">
        <f t="shared" si="30"/>
        <v>2861</v>
      </c>
      <c r="I924" s="705">
        <v>130</v>
      </c>
      <c r="J924" s="701">
        <v>10.62</v>
      </c>
    </row>
    <row r="925" spans="1:10" ht="12.75" x14ac:dyDescent="0.2">
      <c r="A925" s="700">
        <v>2911</v>
      </c>
      <c r="B925" s="700" t="str">
        <f t="shared" si="29"/>
        <v>2911</v>
      </c>
      <c r="C925" s="700">
        <v>111</v>
      </c>
      <c r="D925" s="701">
        <v>30.54</v>
      </c>
      <c r="E925" s="701"/>
      <c r="F925" s="701"/>
      <c r="G925" s="705">
        <v>2861</v>
      </c>
      <c r="H925" s="705" t="str">
        <f t="shared" si="30"/>
        <v>2861</v>
      </c>
      <c r="I925" s="705">
        <v>254</v>
      </c>
      <c r="J925" s="701">
        <v>2</v>
      </c>
    </row>
    <row r="926" spans="1:10" ht="12.75" x14ac:dyDescent="0.2">
      <c r="A926" s="700">
        <v>2911</v>
      </c>
      <c r="B926" s="700" t="str">
        <f t="shared" si="29"/>
        <v>2911</v>
      </c>
      <c r="C926" s="700">
        <v>112</v>
      </c>
      <c r="D926" s="701">
        <v>53.71</v>
      </c>
      <c r="E926" s="701"/>
      <c r="F926" s="701"/>
      <c r="G926" s="705">
        <v>2911</v>
      </c>
      <c r="H926" s="705" t="str">
        <f t="shared" si="30"/>
        <v>2911</v>
      </c>
      <c r="I926" s="705">
        <v>101</v>
      </c>
      <c r="J926" s="701">
        <v>128.4</v>
      </c>
    </row>
    <row r="927" spans="1:10" ht="12.75" x14ac:dyDescent="0.2">
      <c r="A927" s="700">
        <v>2911</v>
      </c>
      <c r="B927" s="700" t="str">
        <f t="shared" si="29"/>
        <v>2911</v>
      </c>
      <c r="C927" s="700">
        <v>130</v>
      </c>
      <c r="D927" s="701">
        <v>5.76</v>
      </c>
      <c r="E927" s="701"/>
      <c r="F927" s="701"/>
      <c r="G927" s="705">
        <v>2911</v>
      </c>
      <c r="H927" s="705" t="str">
        <f t="shared" si="30"/>
        <v>2911</v>
      </c>
      <c r="I927" s="705">
        <v>102</v>
      </c>
      <c r="J927" s="701">
        <v>167.87</v>
      </c>
    </row>
    <row r="928" spans="1:10" ht="12.75" x14ac:dyDescent="0.2">
      <c r="A928" s="700">
        <v>2941</v>
      </c>
      <c r="B928" s="700" t="str">
        <f t="shared" si="29"/>
        <v>2941</v>
      </c>
      <c r="C928" s="700">
        <v>101</v>
      </c>
      <c r="D928" s="701">
        <v>0.5</v>
      </c>
      <c r="E928" s="701"/>
      <c r="F928" s="701"/>
      <c r="G928" s="705">
        <v>2911</v>
      </c>
      <c r="H928" s="705" t="str">
        <f t="shared" si="30"/>
        <v>2911</v>
      </c>
      <c r="I928" s="705">
        <v>111</v>
      </c>
      <c r="J928" s="701">
        <v>31.53</v>
      </c>
    </row>
    <row r="929" spans="1:10" ht="12.75" x14ac:dyDescent="0.2">
      <c r="A929" s="700">
        <v>2941</v>
      </c>
      <c r="B929" s="700" t="str">
        <f t="shared" si="29"/>
        <v>2941</v>
      </c>
      <c r="C929" s="700">
        <v>111</v>
      </c>
      <c r="D929" s="701">
        <v>7.5</v>
      </c>
      <c r="E929" s="701"/>
      <c r="F929" s="701"/>
      <c r="G929" s="705">
        <v>2911</v>
      </c>
      <c r="H929" s="705" t="str">
        <f t="shared" si="30"/>
        <v>2911</v>
      </c>
      <c r="I929" s="705">
        <v>112</v>
      </c>
      <c r="J929" s="701">
        <v>53.45</v>
      </c>
    </row>
    <row r="930" spans="1:10" ht="12.75" x14ac:dyDescent="0.2">
      <c r="A930" s="700">
        <v>2941</v>
      </c>
      <c r="B930" s="700" t="str">
        <f t="shared" si="29"/>
        <v>2941</v>
      </c>
      <c r="C930" s="700">
        <v>112</v>
      </c>
      <c r="D930" s="701">
        <v>11.02</v>
      </c>
      <c r="E930" s="701"/>
      <c r="F930" s="701"/>
      <c r="G930" s="705">
        <v>2911</v>
      </c>
      <c r="H930" s="705" t="str">
        <f t="shared" si="30"/>
        <v>2911</v>
      </c>
      <c r="I930" s="705">
        <v>130</v>
      </c>
      <c r="J930" s="701">
        <v>6.69</v>
      </c>
    </row>
    <row r="931" spans="1:10" ht="12.75" x14ac:dyDescent="0.2">
      <c r="A931" s="700">
        <v>2941</v>
      </c>
      <c r="B931" s="700" t="str">
        <f t="shared" si="29"/>
        <v>2941</v>
      </c>
      <c r="C931" s="700">
        <v>113</v>
      </c>
      <c r="D931" s="701">
        <v>23.23</v>
      </c>
      <c r="E931" s="701"/>
      <c r="F931" s="701"/>
      <c r="G931" s="705">
        <v>2941</v>
      </c>
      <c r="H931" s="706" t="str">
        <f t="shared" si="30"/>
        <v>2941</v>
      </c>
      <c r="I931" s="706">
        <v>101</v>
      </c>
      <c r="J931" s="707">
        <v>0</v>
      </c>
    </row>
    <row r="932" spans="1:10" ht="12.75" x14ac:dyDescent="0.2">
      <c r="A932" s="700">
        <v>2941</v>
      </c>
      <c r="B932" s="700" t="str">
        <f t="shared" si="29"/>
        <v>2941</v>
      </c>
      <c r="C932" s="700">
        <v>254</v>
      </c>
      <c r="D932" s="701">
        <v>105</v>
      </c>
      <c r="E932" s="701"/>
      <c r="F932" s="701"/>
      <c r="G932" s="705">
        <v>2941</v>
      </c>
      <c r="H932" s="705" t="str">
        <f t="shared" si="30"/>
        <v>2941</v>
      </c>
      <c r="I932" s="705">
        <v>111</v>
      </c>
      <c r="J932" s="701">
        <v>5</v>
      </c>
    </row>
    <row r="933" spans="1:10" ht="12.75" x14ac:dyDescent="0.2">
      <c r="A933" s="700">
        <v>2941</v>
      </c>
      <c r="B933" s="700" t="str">
        <f t="shared" si="29"/>
        <v>2941</v>
      </c>
      <c r="C933" s="700">
        <v>255</v>
      </c>
      <c r="D933" s="701">
        <v>43.5</v>
      </c>
      <c r="E933" s="701"/>
      <c r="F933" s="701"/>
      <c r="G933" s="705">
        <v>2941</v>
      </c>
      <c r="H933" s="705" t="str">
        <f t="shared" si="30"/>
        <v>2941</v>
      </c>
      <c r="I933" s="705">
        <v>112</v>
      </c>
      <c r="J933" s="701">
        <v>10.53</v>
      </c>
    </row>
    <row r="934" spans="1:10" ht="12.75" x14ac:dyDescent="0.2">
      <c r="A934" s="700">
        <v>3002</v>
      </c>
      <c r="B934" s="700" t="str">
        <f t="shared" si="29"/>
        <v>3002</v>
      </c>
      <c r="C934" s="700">
        <v>103</v>
      </c>
      <c r="D934" s="701">
        <v>6.97</v>
      </c>
      <c r="E934" s="701"/>
      <c r="F934" s="701"/>
      <c r="G934" s="705">
        <v>2941</v>
      </c>
      <c r="H934" s="705" t="str">
        <f t="shared" si="30"/>
        <v>2941</v>
      </c>
      <c r="I934" s="705">
        <v>113</v>
      </c>
      <c r="J934" s="701">
        <v>23.9</v>
      </c>
    </row>
    <row r="935" spans="1:10" ht="12.75" x14ac:dyDescent="0.2">
      <c r="A935" s="700">
        <v>3002</v>
      </c>
      <c r="B935" s="700" t="str">
        <f t="shared" si="29"/>
        <v>3002</v>
      </c>
      <c r="C935" s="700">
        <v>113</v>
      </c>
      <c r="D935" s="701">
        <v>2.16</v>
      </c>
      <c r="E935" s="701"/>
      <c r="F935" s="701"/>
      <c r="G935" s="705">
        <v>2941</v>
      </c>
      <c r="H935" s="705" t="str">
        <f t="shared" si="30"/>
        <v>2941</v>
      </c>
      <c r="I935" s="705">
        <v>254</v>
      </c>
      <c r="J935" s="701">
        <v>102.99</v>
      </c>
    </row>
    <row r="936" spans="1:10" ht="12.75" x14ac:dyDescent="0.2">
      <c r="A936" s="700">
        <v>3006</v>
      </c>
      <c r="B936" s="700" t="str">
        <f t="shared" si="29"/>
        <v>3006</v>
      </c>
      <c r="C936" s="700">
        <v>102</v>
      </c>
      <c r="D936" s="701">
        <v>2.5</v>
      </c>
      <c r="E936" s="701"/>
      <c r="F936" s="701"/>
      <c r="G936" s="705">
        <v>2941</v>
      </c>
      <c r="H936" s="705" t="str">
        <f t="shared" si="30"/>
        <v>2941</v>
      </c>
      <c r="I936" s="705">
        <v>255</v>
      </c>
      <c r="J936" s="701">
        <v>47</v>
      </c>
    </row>
    <row r="937" spans="1:10" ht="12.75" x14ac:dyDescent="0.2">
      <c r="A937" s="700">
        <v>3006</v>
      </c>
      <c r="B937" s="700" t="str">
        <f t="shared" si="29"/>
        <v>3006</v>
      </c>
      <c r="C937" s="700">
        <v>103</v>
      </c>
      <c r="D937" s="701">
        <v>18.11</v>
      </c>
      <c r="E937" s="701"/>
      <c r="F937" s="701"/>
      <c r="G937" s="705">
        <v>3002</v>
      </c>
      <c r="H937" s="705" t="str">
        <f t="shared" si="30"/>
        <v>3002</v>
      </c>
      <c r="I937" s="705">
        <v>103</v>
      </c>
      <c r="J937" s="701">
        <v>3.1</v>
      </c>
    </row>
    <row r="938" spans="1:10" ht="12.75" x14ac:dyDescent="0.2">
      <c r="A938" s="700">
        <v>3006</v>
      </c>
      <c r="B938" s="700" t="str">
        <f t="shared" si="29"/>
        <v>3006</v>
      </c>
      <c r="C938" s="700">
        <v>112</v>
      </c>
      <c r="D938" s="701">
        <v>0.95</v>
      </c>
      <c r="E938" s="701"/>
      <c r="F938" s="701"/>
      <c r="G938" s="705">
        <v>3002</v>
      </c>
      <c r="H938" s="705" t="str">
        <f t="shared" si="30"/>
        <v>3002</v>
      </c>
      <c r="I938" s="705">
        <v>113</v>
      </c>
      <c r="J938" s="701">
        <v>0.92</v>
      </c>
    </row>
    <row r="939" spans="1:10" ht="12.75" x14ac:dyDescent="0.2">
      <c r="A939" s="700">
        <v>3006</v>
      </c>
      <c r="B939" s="700" t="str">
        <f t="shared" si="29"/>
        <v>3006</v>
      </c>
      <c r="C939" s="700">
        <v>113</v>
      </c>
      <c r="D939" s="701">
        <v>4.37</v>
      </c>
      <c r="E939" s="701"/>
      <c r="F939" s="701"/>
      <c r="G939" s="705">
        <v>3006</v>
      </c>
      <c r="H939" s="705" t="str">
        <f t="shared" si="30"/>
        <v>3006</v>
      </c>
      <c r="I939" s="705">
        <v>102</v>
      </c>
      <c r="J939" s="701">
        <v>2.93</v>
      </c>
    </row>
    <row r="940" spans="1:10" ht="12.75" x14ac:dyDescent="0.2">
      <c r="A940" s="700">
        <v>3006</v>
      </c>
      <c r="B940" s="700" t="str">
        <f t="shared" si="29"/>
        <v>3006</v>
      </c>
      <c r="C940" s="700">
        <v>130</v>
      </c>
      <c r="D940" s="701">
        <v>1.5</v>
      </c>
      <c r="E940" s="701"/>
      <c r="F940" s="701"/>
      <c r="G940" s="705">
        <v>3006</v>
      </c>
      <c r="H940" s="705" t="str">
        <f t="shared" si="30"/>
        <v>3006</v>
      </c>
      <c r="I940" s="705">
        <v>103</v>
      </c>
      <c r="J940" s="701">
        <v>10.74</v>
      </c>
    </row>
    <row r="941" spans="1:10" ht="12.75" x14ac:dyDescent="0.2">
      <c r="A941" s="700">
        <v>3010</v>
      </c>
      <c r="B941" s="700" t="str">
        <f t="shared" si="29"/>
        <v>3010</v>
      </c>
      <c r="C941" s="700">
        <v>102</v>
      </c>
      <c r="D941" s="701">
        <v>3.96</v>
      </c>
      <c r="E941" s="701"/>
      <c r="F941" s="701"/>
      <c r="G941" s="705">
        <v>3006</v>
      </c>
      <c r="H941" s="705" t="str">
        <f t="shared" si="30"/>
        <v>3006</v>
      </c>
      <c r="I941" s="705">
        <v>112</v>
      </c>
      <c r="J941" s="701">
        <v>1.44</v>
      </c>
    </row>
    <row r="942" spans="1:10" ht="12.75" x14ac:dyDescent="0.2">
      <c r="A942" s="700">
        <v>3010</v>
      </c>
      <c r="B942" s="700" t="str">
        <f t="shared" si="29"/>
        <v>3010</v>
      </c>
      <c r="C942" s="700">
        <v>103</v>
      </c>
      <c r="D942" s="701">
        <v>11.66</v>
      </c>
      <c r="E942" s="701"/>
      <c r="F942" s="701"/>
      <c r="G942" s="705">
        <v>3006</v>
      </c>
      <c r="H942" s="705" t="str">
        <f t="shared" si="30"/>
        <v>3006</v>
      </c>
      <c r="I942" s="705">
        <v>113</v>
      </c>
      <c r="J942" s="701">
        <v>5.43</v>
      </c>
    </row>
    <row r="943" spans="1:10" ht="12.75" x14ac:dyDescent="0.2">
      <c r="A943" s="700">
        <v>3010</v>
      </c>
      <c r="B943" s="700" t="str">
        <f t="shared" si="29"/>
        <v>3010</v>
      </c>
      <c r="C943" s="700">
        <v>112</v>
      </c>
      <c r="D943" s="701">
        <v>0.95</v>
      </c>
      <c r="E943" s="701"/>
      <c r="F943" s="701"/>
      <c r="G943" s="705">
        <v>3006</v>
      </c>
      <c r="H943" s="705" t="str">
        <f t="shared" si="30"/>
        <v>3006</v>
      </c>
      <c r="I943" s="705">
        <v>130</v>
      </c>
      <c r="J943" s="701">
        <v>0.96</v>
      </c>
    </row>
    <row r="944" spans="1:10" ht="12.75" x14ac:dyDescent="0.2">
      <c r="A944" s="700">
        <v>3010</v>
      </c>
      <c r="B944" s="700" t="str">
        <f t="shared" si="29"/>
        <v>3010</v>
      </c>
      <c r="C944" s="700">
        <v>113</v>
      </c>
      <c r="D944" s="701">
        <v>1</v>
      </c>
      <c r="E944" s="701"/>
      <c r="F944" s="701"/>
      <c r="G944" s="705">
        <v>3006</v>
      </c>
      <c r="H944" s="705" t="str">
        <f t="shared" si="30"/>
        <v>3006</v>
      </c>
      <c r="I944" s="705">
        <v>254</v>
      </c>
      <c r="J944" s="701">
        <v>0</v>
      </c>
    </row>
    <row r="945" spans="1:10" ht="12.75" x14ac:dyDescent="0.2">
      <c r="A945" s="700">
        <v>3010</v>
      </c>
      <c r="B945" s="700" t="str">
        <f t="shared" si="29"/>
        <v>3010</v>
      </c>
      <c r="C945" s="700">
        <v>130</v>
      </c>
      <c r="D945" s="701">
        <v>1.57</v>
      </c>
      <c r="E945" s="701"/>
      <c r="F945" s="701"/>
      <c r="G945" s="705">
        <v>3010</v>
      </c>
      <c r="H945" s="705" t="str">
        <f t="shared" si="30"/>
        <v>3010</v>
      </c>
      <c r="I945" s="705">
        <v>102</v>
      </c>
      <c r="J945" s="701">
        <v>3.82</v>
      </c>
    </row>
    <row r="946" spans="1:10" ht="12.75" x14ac:dyDescent="0.2">
      <c r="A946" s="700">
        <v>3024</v>
      </c>
      <c r="B946" s="700" t="str">
        <f t="shared" si="29"/>
        <v>3024</v>
      </c>
      <c r="C946" s="700">
        <v>102</v>
      </c>
      <c r="D946" s="701">
        <v>0.92</v>
      </c>
      <c r="E946" s="701"/>
      <c r="F946" s="701"/>
      <c r="G946" s="705">
        <v>3010</v>
      </c>
      <c r="H946" s="705" t="str">
        <f t="shared" si="30"/>
        <v>3010</v>
      </c>
      <c r="I946" s="705">
        <v>103</v>
      </c>
      <c r="J946" s="701">
        <v>14.41</v>
      </c>
    </row>
    <row r="947" spans="1:10" ht="12.75" x14ac:dyDescent="0.2">
      <c r="A947" s="700">
        <v>3024</v>
      </c>
      <c r="B947" s="700" t="str">
        <f t="shared" si="29"/>
        <v>3024</v>
      </c>
      <c r="C947" s="700">
        <v>103</v>
      </c>
      <c r="D947" s="701">
        <v>4.8899999999999997</v>
      </c>
      <c r="E947" s="701"/>
      <c r="F947" s="701"/>
      <c r="G947" s="705">
        <v>3010</v>
      </c>
      <c r="H947" s="705" t="str">
        <f t="shared" si="30"/>
        <v>3010</v>
      </c>
      <c r="I947" s="705">
        <v>112</v>
      </c>
      <c r="J947" s="701">
        <v>0.95</v>
      </c>
    </row>
    <row r="948" spans="1:10" ht="12.75" x14ac:dyDescent="0.2">
      <c r="A948" s="700">
        <v>3024</v>
      </c>
      <c r="B948" s="700" t="str">
        <f t="shared" si="29"/>
        <v>3024</v>
      </c>
      <c r="C948" s="700">
        <v>112</v>
      </c>
      <c r="D948" s="701">
        <v>1.89</v>
      </c>
      <c r="E948" s="701"/>
      <c r="F948" s="701"/>
      <c r="G948" s="705">
        <v>3010</v>
      </c>
      <c r="H948" s="705" t="str">
        <f t="shared" si="30"/>
        <v>3010</v>
      </c>
      <c r="I948" s="705">
        <v>113</v>
      </c>
      <c r="J948" s="701">
        <v>0.89</v>
      </c>
    </row>
    <row r="949" spans="1:10" ht="12.75" x14ac:dyDescent="0.2">
      <c r="A949" s="700">
        <v>3024</v>
      </c>
      <c r="B949" s="700" t="str">
        <f t="shared" si="29"/>
        <v>3024</v>
      </c>
      <c r="C949" s="700">
        <v>113</v>
      </c>
      <c r="D949" s="701">
        <v>1.79</v>
      </c>
      <c r="E949" s="701"/>
      <c r="F949" s="701"/>
      <c r="G949" s="705">
        <v>3010</v>
      </c>
      <c r="H949" s="705" t="str">
        <f t="shared" si="30"/>
        <v>3010</v>
      </c>
      <c r="I949" s="705">
        <v>130</v>
      </c>
      <c r="J949" s="701">
        <v>0.74</v>
      </c>
    </row>
    <row r="950" spans="1:10" ht="12.75" x14ac:dyDescent="0.2">
      <c r="A950" s="700">
        <v>3039</v>
      </c>
      <c r="B950" s="700" t="str">
        <f t="shared" si="29"/>
        <v>3039</v>
      </c>
      <c r="C950" s="700">
        <v>103</v>
      </c>
      <c r="D950" s="701">
        <v>2.87</v>
      </c>
      <c r="E950" s="701"/>
      <c r="F950" s="701"/>
      <c r="G950" s="705">
        <v>3024</v>
      </c>
      <c r="H950" s="706" t="str">
        <f t="shared" si="30"/>
        <v>3024</v>
      </c>
      <c r="I950" s="706">
        <v>102</v>
      </c>
      <c r="J950" s="707">
        <v>4.21</v>
      </c>
    </row>
    <row r="951" spans="1:10" ht="12.75" x14ac:dyDescent="0.2">
      <c r="A951" s="700">
        <v>3046</v>
      </c>
      <c r="B951" s="700" t="str">
        <f t="shared" si="29"/>
        <v>3046</v>
      </c>
      <c r="C951" s="700">
        <v>102</v>
      </c>
      <c r="D951" s="701">
        <v>6.48</v>
      </c>
      <c r="E951" s="701"/>
      <c r="F951" s="701"/>
      <c r="G951" s="705">
        <v>3024</v>
      </c>
      <c r="H951" s="705" t="str">
        <f t="shared" si="30"/>
        <v>3024</v>
      </c>
      <c r="I951" s="705">
        <v>103</v>
      </c>
      <c r="J951" s="701">
        <v>2.17</v>
      </c>
    </row>
    <row r="952" spans="1:10" ht="12.75" x14ac:dyDescent="0.2">
      <c r="A952" s="700">
        <v>3046</v>
      </c>
      <c r="B952" s="700" t="str">
        <f t="shared" si="29"/>
        <v>3046</v>
      </c>
      <c r="C952" s="700">
        <v>103</v>
      </c>
      <c r="D952" s="701">
        <v>9.3000000000000007</v>
      </c>
      <c r="E952" s="701"/>
      <c r="F952" s="701"/>
      <c r="G952" s="705">
        <v>3024</v>
      </c>
      <c r="H952" s="705" t="str">
        <f t="shared" si="30"/>
        <v>3024</v>
      </c>
      <c r="I952" s="705">
        <v>112</v>
      </c>
      <c r="J952" s="701">
        <v>3.39</v>
      </c>
    </row>
    <row r="953" spans="1:10" ht="12.75" x14ac:dyDescent="0.2">
      <c r="A953" s="700">
        <v>3046</v>
      </c>
      <c r="B953" s="700" t="str">
        <f t="shared" si="29"/>
        <v>3046</v>
      </c>
      <c r="C953" s="700">
        <v>112</v>
      </c>
      <c r="D953" s="701">
        <v>7.87</v>
      </c>
      <c r="E953" s="701"/>
      <c r="F953" s="701"/>
      <c r="G953" s="705">
        <v>3024</v>
      </c>
      <c r="H953" s="705" t="str">
        <f t="shared" si="30"/>
        <v>3024</v>
      </c>
      <c r="I953" s="705">
        <v>113</v>
      </c>
      <c r="J953" s="701">
        <v>1.38</v>
      </c>
    </row>
    <row r="954" spans="1:10" ht="12.75" x14ac:dyDescent="0.2">
      <c r="A954" s="700">
        <v>3046</v>
      </c>
      <c r="B954" s="700" t="str">
        <f t="shared" si="29"/>
        <v>3046</v>
      </c>
      <c r="C954" s="700">
        <v>113</v>
      </c>
      <c r="D954" s="701">
        <v>8.52</v>
      </c>
      <c r="E954" s="701"/>
      <c r="F954" s="701"/>
      <c r="G954" s="705">
        <v>3024</v>
      </c>
      <c r="H954" s="705" t="str">
        <f t="shared" si="30"/>
        <v>3024</v>
      </c>
      <c r="I954" s="705">
        <v>130</v>
      </c>
      <c r="J954" s="701">
        <v>0.46</v>
      </c>
    </row>
    <row r="955" spans="1:10" ht="12.75" x14ac:dyDescent="0.2">
      <c r="A955" s="700">
        <v>3046</v>
      </c>
      <c r="B955" s="700" t="str">
        <f t="shared" si="29"/>
        <v>3046</v>
      </c>
      <c r="C955" s="700">
        <v>130</v>
      </c>
      <c r="D955" s="701">
        <v>0.76</v>
      </c>
      <c r="E955" s="701"/>
      <c r="F955" s="701"/>
      <c r="G955" s="705">
        <v>3039</v>
      </c>
      <c r="H955" s="705" t="str">
        <f t="shared" si="30"/>
        <v>3039</v>
      </c>
      <c r="I955" s="705">
        <v>103</v>
      </c>
      <c r="J955" s="701">
        <v>4.13</v>
      </c>
    </row>
    <row r="956" spans="1:10" ht="12.75" x14ac:dyDescent="0.2">
      <c r="A956" s="700">
        <v>3046</v>
      </c>
      <c r="B956" s="700" t="str">
        <f t="shared" si="29"/>
        <v>3046</v>
      </c>
      <c r="C956" s="700">
        <v>300</v>
      </c>
      <c r="D956" s="701">
        <v>0.47</v>
      </c>
      <c r="E956" s="701"/>
      <c r="F956" s="701"/>
      <c r="G956" s="705">
        <v>3039</v>
      </c>
      <c r="H956" s="705" t="str">
        <f t="shared" si="30"/>
        <v>3039</v>
      </c>
      <c r="I956" s="705">
        <v>112</v>
      </c>
      <c r="J956" s="701">
        <v>0.98</v>
      </c>
    </row>
    <row r="957" spans="1:10" ht="12.75" x14ac:dyDescent="0.2">
      <c r="A957" s="700">
        <v>3081</v>
      </c>
      <c r="B957" s="700" t="str">
        <f t="shared" si="29"/>
        <v>3081</v>
      </c>
      <c r="C957" s="700">
        <v>113</v>
      </c>
      <c r="D957" s="701">
        <v>0.1</v>
      </c>
      <c r="E957" s="701"/>
      <c r="F957" s="701"/>
      <c r="G957" s="705">
        <v>3039</v>
      </c>
      <c r="H957" s="705" t="str">
        <f t="shared" si="30"/>
        <v>3039</v>
      </c>
      <c r="I957" s="705">
        <v>130</v>
      </c>
      <c r="J957" s="701">
        <v>0.48</v>
      </c>
    </row>
    <row r="958" spans="1:10" ht="12.75" x14ac:dyDescent="0.2">
      <c r="A958" s="700">
        <v>3083</v>
      </c>
      <c r="B958" s="700" t="str">
        <f t="shared" si="29"/>
        <v>3083</v>
      </c>
      <c r="C958" s="700">
        <v>111</v>
      </c>
      <c r="D958" s="701">
        <v>1.02</v>
      </c>
      <c r="E958" s="701"/>
      <c r="F958" s="701"/>
      <c r="G958" s="705">
        <v>3046</v>
      </c>
      <c r="H958" s="705" t="str">
        <f t="shared" si="30"/>
        <v>3046</v>
      </c>
      <c r="I958" s="705">
        <v>102</v>
      </c>
      <c r="J958" s="701">
        <v>7.06</v>
      </c>
    </row>
    <row r="959" spans="1:10" ht="12.75" x14ac:dyDescent="0.2">
      <c r="A959" s="700">
        <v>3083</v>
      </c>
      <c r="B959" s="700" t="str">
        <f t="shared" si="29"/>
        <v>3083</v>
      </c>
      <c r="C959" s="700">
        <v>112</v>
      </c>
      <c r="D959" s="701">
        <v>0.5</v>
      </c>
      <c r="E959" s="701"/>
      <c r="F959" s="701"/>
      <c r="G959" s="705">
        <v>3046</v>
      </c>
      <c r="H959" s="705" t="str">
        <f t="shared" si="30"/>
        <v>3046</v>
      </c>
      <c r="I959" s="705">
        <v>103</v>
      </c>
      <c r="J959" s="701">
        <v>10.43</v>
      </c>
    </row>
    <row r="960" spans="1:10" ht="12.75" x14ac:dyDescent="0.2">
      <c r="A960" s="700">
        <v>3083</v>
      </c>
      <c r="B960" s="700" t="str">
        <f t="shared" si="29"/>
        <v>3083</v>
      </c>
      <c r="C960" s="700">
        <v>113</v>
      </c>
      <c r="D960" s="701">
        <v>4.96</v>
      </c>
      <c r="E960" s="701"/>
      <c r="F960" s="701"/>
      <c r="G960" s="705">
        <v>3046</v>
      </c>
      <c r="H960" s="705" t="str">
        <f t="shared" si="30"/>
        <v>3046</v>
      </c>
      <c r="I960" s="705">
        <v>112</v>
      </c>
      <c r="J960" s="701">
        <v>7.48</v>
      </c>
    </row>
    <row r="961" spans="1:10" ht="12.75" x14ac:dyDescent="0.2">
      <c r="A961" s="700">
        <v>3083</v>
      </c>
      <c r="B961" s="700" t="str">
        <f t="shared" si="29"/>
        <v>3083</v>
      </c>
      <c r="C961" s="700">
        <v>254</v>
      </c>
      <c r="D961" s="701">
        <v>37.04</v>
      </c>
      <c r="E961" s="701"/>
      <c r="F961" s="701"/>
      <c r="G961" s="705">
        <v>3046</v>
      </c>
      <c r="H961" s="705" t="str">
        <f t="shared" si="30"/>
        <v>3046</v>
      </c>
      <c r="I961" s="705">
        <v>113</v>
      </c>
      <c r="J961" s="701">
        <v>8</v>
      </c>
    </row>
    <row r="962" spans="1:10" ht="12.75" x14ac:dyDescent="0.2">
      <c r="A962" s="700">
        <v>3083</v>
      </c>
      <c r="B962" s="700" t="str">
        <f t="shared" ref="B962:B1025" si="31">TEXT(A962,"0000")</f>
        <v>3083</v>
      </c>
      <c r="C962" s="700">
        <v>255</v>
      </c>
      <c r="D962" s="701">
        <v>45.97</v>
      </c>
      <c r="E962" s="701"/>
      <c r="F962" s="701"/>
      <c r="G962" s="705">
        <v>3046</v>
      </c>
      <c r="H962" s="705" t="str">
        <f t="shared" si="30"/>
        <v>3046</v>
      </c>
      <c r="I962" s="705">
        <v>130</v>
      </c>
      <c r="J962" s="701">
        <v>0.77</v>
      </c>
    </row>
    <row r="963" spans="1:10" ht="12.75" x14ac:dyDescent="0.2">
      <c r="A963" s="700">
        <v>3091</v>
      </c>
      <c r="B963" s="700" t="str">
        <f t="shared" si="31"/>
        <v>3091</v>
      </c>
      <c r="C963" s="700">
        <v>113</v>
      </c>
      <c r="D963" s="701">
        <v>0.2</v>
      </c>
      <c r="E963" s="701"/>
      <c r="F963" s="701"/>
      <c r="G963" s="705">
        <v>3046</v>
      </c>
      <c r="H963" s="705" t="str">
        <f t="shared" ref="H963:H1026" si="32">TEXT(G963,"0000")</f>
        <v>3046</v>
      </c>
      <c r="I963" s="705">
        <v>300</v>
      </c>
      <c r="J963" s="701">
        <v>0.72</v>
      </c>
    </row>
    <row r="964" spans="1:10" ht="12.75" x14ac:dyDescent="0.2">
      <c r="A964" s="700">
        <v>3100</v>
      </c>
      <c r="B964" s="700" t="str">
        <f t="shared" si="31"/>
        <v>3100</v>
      </c>
      <c r="C964" s="700">
        <v>101</v>
      </c>
      <c r="D964" s="701">
        <v>15</v>
      </c>
      <c r="E964" s="701"/>
      <c r="F964" s="701"/>
      <c r="G964" s="705">
        <v>3081</v>
      </c>
      <c r="H964" s="705" t="str">
        <f t="shared" si="32"/>
        <v>3081</v>
      </c>
      <c r="I964" s="705">
        <v>113</v>
      </c>
      <c r="J964" s="701">
        <v>0</v>
      </c>
    </row>
    <row r="965" spans="1:10" ht="12.75" x14ac:dyDescent="0.2">
      <c r="A965" s="700">
        <v>3101</v>
      </c>
      <c r="B965" s="700" t="str">
        <f t="shared" si="31"/>
        <v>3101</v>
      </c>
      <c r="C965" s="700">
        <v>102</v>
      </c>
      <c r="D965" s="701">
        <v>6.42</v>
      </c>
      <c r="E965" s="701"/>
      <c r="F965" s="701"/>
      <c r="G965" s="705">
        <v>3083</v>
      </c>
      <c r="H965" s="705" t="str">
        <f t="shared" si="32"/>
        <v>3083</v>
      </c>
      <c r="I965" s="705">
        <v>111</v>
      </c>
      <c r="J965" s="701">
        <v>0.5</v>
      </c>
    </row>
    <row r="966" spans="1:10" ht="12.75" x14ac:dyDescent="0.2">
      <c r="A966" s="700">
        <v>3101</v>
      </c>
      <c r="B966" s="700" t="str">
        <f t="shared" si="31"/>
        <v>3101</v>
      </c>
      <c r="C966" s="700">
        <v>103</v>
      </c>
      <c r="D966" s="701">
        <v>21.64</v>
      </c>
      <c r="E966" s="701"/>
      <c r="F966" s="701"/>
      <c r="G966" s="705">
        <v>3083</v>
      </c>
      <c r="H966" s="705" t="str">
        <f t="shared" si="32"/>
        <v>3083</v>
      </c>
      <c r="I966" s="705">
        <v>112</v>
      </c>
      <c r="J966" s="701">
        <v>0.5</v>
      </c>
    </row>
    <row r="967" spans="1:10" ht="12.75" x14ac:dyDescent="0.2">
      <c r="A967" s="700">
        <v>3101</v>
      </c>
      <c r="B967" s="700" t="str">
        <f t="shared" si="31"/>
        <v>3101</v>
      </c>
      <c r="C967" s="700">
        <v>112</v>
      </c>
      <c r="D967" s="701">
        <v>2.99</v>
      </c>
      <c r="E967" s="701"/>
      <c r="F967" s="701"/>
      <c r="G967" s="705">
        <v>3083</v>
      </c>
      <c r="H967" s="705" t="str">
        <f t="shared" si="32"/>
        <v>3083</v>
      </c>
      <c r="I967" s="705">
        <v>113</v>
      </c>
      <c r="J967" s="701">
        <v>4.46</v>
      </c>
    </row>
    <row r="968" spans="1:10" ht="12.75" x14ac:dyDescent="0.2">
      <c r="A968" s="700">
        <v>3101</v>
      </c>
      <c r="B968" s="700" t="str">
        <f t="shared" si="31"/>
        <v>3101</v>
      </c>
      <c r="C968" s="700">
        <v>113</v>
      </c>
      <c r="D968" s="701">
        <v>11.75</v>
      </c>
      <c r="E968" s="701"/>
      <c r="F968" s="701"/>
      <c r="G968" s="705">
        <v>3083</v>
      </c>
      <c r="H968" s="705" t="str">
        <f t="shared" si="32"/>
        <v>3083</v>
      </c>
      <c r="I968" s="705">
        <v>254</v>
      </c>
      <c r="J968" s="701">
        <v>33.96</v>
      </c>
    </row>
    <row r="969" spans="1:10" ht="12.75" x14ac:dyDescent="0.2">
      <c r="A969" s="700">
        <v>3101</v>
      </c>
      <c r="B969" s="700" t="str">
        <f t="shared" si="31"/>
        <v>3101</v>
      </c>
      <c r="C969" s="700">
        <v>300</v>
      </c>
      <c r="D969" s="701">
        <v>3.05</v>
      </c>
      <c r="E969" s="701"/>
      <c r="F969" s="701"/>
      <c r="G969" s="705">
        <v>3083</v>
      </c>
      <c r="H969" s="705" t="str">
        <f t="shared" si="32"/>
        <v>3083</v>
      </c>
      <c r="I969" s="705">
        <v>255</v>
      </c>
      <c r="J969" s="701">
        <v>50.48</v>
      </c>
    </row>
    <row r="970" spans="1:10" ht="12.75" x14ac:dyDescent="0.2">
      <c r="A970" s="700">
        <v>3251</v>
      </c>
      <c r="B970" s="700" t="str">
        <f t="shared" si="31"/>
        <v>3251</v>
      </c>
      <c r="C970" s="700">
        <v>103</v>
      </c>
      <c r="D970" s="701">
        <v>801.14</v>
      </c>
      <c r="E970" s="701"/>
      <c r="F970" s="701"/>
      <c r="G970" s="705">
        <v>3091</v>
      </c>
      <c r="H970" s="705" t="str">
        <f t="shared" si="32"/>
        <v>3091</v>
      </c>
      <c r="I970" s="705">
        <v>113</v>
      </c>
      <c r="J970" s="701">
        <v>0.2</v>
      </c>
    </row>
    <row r="971" spans="1:10" ht="12.75" x14ac:dyDescent="0.2">
      <c r="A971" s="700">
        <v>3251</v>
      </c>
      <c r="B971" s="700" t="str">
        <f t="shared" si="31"/>
        <v>3251</v>
      </c>
      <c r="C971" s="700">
        <v>113</v>
      </c>
      <c r="D971" s="701">
        <v>117.49</v>
      </c>
      <c r="E971" s="701"/>
      <c r="F971" s="701"/>
      <c r="G971" s="705">
        <v>3100</v>
      </c>
      <c r="H971" s="705" t="str">
        <f t="shared" si="32"/>
        <v>3100</v>
      </c>
      <c r="I971" s="705">
        <v>101</v>
      </c>
      <c r="J971" s="701">
        <v>16.5</v>
      </c>
    </row>
    <row r="972" spans="1:10" ht="12.75" x14ac:dyDescent="0.2">
      <c r="A972" s="700">
        <v>3251</v>
      </c>
      <c r="B972" s="700" t="str">
        <f t="shared" si="31"/>
        <v>3251</v>
      </c>
      <c r="C972" s="700">
        <v>130</v>
      </c>
      <c r="D972" s="701">
        <v>50.83</v>
      </c>
      <c r="E972" s="701"/>
      <c r="F972" s="701"/>
      <c r="G972" s="705">
        <v>3101</v>
      </c>
      <c r="H972" s="705" t="str">
        <f t="shared" si="32"/>
        <v>3101</v>
      </c>
      <c r="I972" s="705">
        <v>102</v>
      </c>
      <c r="J972" s="701">
        <v>4.5199999999999996</v>
      </c>
    </row>
    <row r="973" spans="1:10" ht="12.75" x14ac:dyDescent="0.2">
      <c r="A973" s="700">
        <v>3251</v>
      </c>
      <c r="B973" s="700" t="str">
        <f t="shared" si="31"/>
        <v>3251</v>
      </c>
      <c r="C973" s="700">
        <v>254</v>
      </c>
      <c r="D973" s="701">
        <v>0.5</v>
      </c>
      <c r="E973" s="701"/>
      <c r="F973" s="701"/>
      <c r="G973" s="705">
        <v>3101</v>
      </c>
      <c r="H973" s="705" t="str">
        <f t="shared" si="32"/>
        <v>3101</v>
      </c>
      <c r="I973" s="705">
        <v>103</v>
      </c>
      <c r="J973" s="701">
        <v>20.72</v>
      </c>
    </row>
    <row r="974" spans="1:10" ht="12.75" x14ac:dyDescent="0.2">
      <c r="A974" s="700">
        <v>3251</v>
      </c>
      <c r="B974" s="700" t="str">
        <f t="shared" si="31"/>
        <v>3251</v>
      </c>
      <c r="C974" s="700">
        <v>300</v>
      </c>
      <c r="D974" s="701">
        <v>88.94</v>
      </c>
      <c r="E974" s="701"/>
      <c r="F974" s="701"/>
      <c r="G974" s="705">
        <v>3101</v>
      </c>
      <c r="H974" s="705" t="str">
        <f t="shared" si="32"/>
        <v>3101</v>
      </c>
      <c r="I974" s="705">
        <v>112</v>
      </c>
      <c r="J974" s="701">
        <v>6.36</v>
      </c>
    </row>
    <row r="975" spans="1:10" ht="12.75" x14ac:dyDescent="0.2">
      <c r="A975" s="700">
        <v>3261</v>
      </c>
      <c r="B975" s="700" t="str">
        <f t="shared" si="31"/>
        <v>3261</v>
      </c>
      <c r="C975" s="700">
        <v>101</v>
      </c>
      <c r="D975" s="701">
        <v>94.98</v>
      </c>
      <c r="E975" s="701"/>
      <c r="F975" s="701"/>
      <c r="G975" s="705">
        <v>3101</v>
      </c>
      <c r="H975" s="705" t="str">
        <f t="shared" si="32"/>
        <v>3101</v>
      </c>
      <c r="I975" s="705">
        <v>113</v>
      </c>
      <c r="J975" s="701">
        <v>13.3</v>
      </c>
    </row>
    <row r="976" spans="1:10" ht="12.75" x14ac:dyDescent="0.2">
      <c r="A976" s="700">
        <v>3261</v>
      </c>
      <c r="B976" s="700" t="str">
        <f t="shared" si="31"/>
        <v>3261</v>
      </c>
      <c r="C976" s="700">
        <v>102</v>
      </c>
      <c r="D976" s="701">
        <v>78.09</v>
      </c>
      <c r="E976" s="701"/>
      <c r="F976" s="701"/>
      <c r="G976" s="705">
        <v>3101</v>
      </c>
      <c r="H976" s="705" t="str">
        <f t="shared" si="32"/>
        <v>3101</v>
      </c>
      <c r="I976" s="705">
        <v>300</v>
      </c>
      <c r="J976" s="701">
        <v>2.78</v>
      </c>
    </row>
    <row r="977" spans="1:10" ht="12.75" x14ac:dyDescent="0.2">
      <c r="A977" s="700">
        <v>3261</v>
      </c>
      <c r="B977" s="700" t="str">
        <f t="shared" si="31"/>
        <v>3261</v>
      </c>
      <c r="C977" s="700">
        <v>111</v>
      </c>
      <c r="D977" s="701">
        <v>74</v>
      </c>
      <c r="E977" s="701"/>
      <c r="F977" s="701"/>
      <c r="G977" s="705">
        <v>3251</v>
      </c>
      <c r="H977" s="705" t="str">
        <f t="shared" si="32"/>
        <v>3251</v>
      </c>
      <c r="I977" s="705">
        <v>103</v>
      </c>
      <c r="J977" s="701">
        <v>781.89</v>
      </c>
    </row>
    <row r="978" spans="1:10" ht="12.75" x14ac:dyDescent="0.2">
      <c r="A978" s="700">
        <v>3261</v>
      </c>
      <c r="B978" s="700" t="str">
        <f t="shared" si="31"/>
        <v>3261</v>
      </c>
      <c r="C978" s="700">
        <v>112</v>
      </c>
      <c r="D978" s="701">
        <v>37.94</v>
      </c>
      <c r="E978" s="701"/>
      <c r="F978" s="701"/>
      <c r="G978" s="705">
        <v>3251</v>
      </c>
      <c r="H978" s="705" t="str">
        <f t="shared" si="32"/>
        <v>3251</v>
      </c>
      <c r="I978" s="705">
        <v>113</v>
      </c>
      <c r="J978" s="701">
        <v>110.75</v>
      </c>
    </row>
    <row r="979" spans="1:10" ht="12.75" x14ac:dyDescent="0.2">
      <c r="A979" s="700">
        <v>3261</v>
      </c>
      <c r="B979" s="700" t="str">
        <f t="shared" si="31"/>
        <v>3261</v>
      </c>
      <c r="C979" s="700">
        <v>130</v>
      </c>
      <c r="D979" s="701">
        <v>85.33</v>
      </c>
      <c r="E979" s="701"/>
      <c r="F979" s="701"/>
      <c r="G979" s="705">
        <v>3251</v>
      </c>
      <c r="H979" s="705" t="str">
        <f t="shared" si="32"/>
        <v>3251</v>
      </c>
      <c r="I979" s="705">
        <v>130</v>
      </c>
      <c r="J979" s="701">
        <v>45.94</v>
      </c>
    </row>
    <row r="980" spans="1:10" ht="12.75" x14ac:dyDescent="0.2">
      <c r="A980" s="700">
        <v>3261</v>
      </c>
      <c r="B980" s="700" t="str">
        <f t="shared" si="31"/>
        <v>3261</v>
      </c>
      <c r="C980" s="700">
        <v>254</v>
      </c>
      <c r="D980" s="701">
        <v>2</v>
      </c>
      <c r="E980" s="701"/>
      <c r="F980" s="701"/>
      <c r="G980" s="705">
        <v>3251</v>
      </c>
      <c r="H980" s="705" t="str">
        <f t="shared" si="32"/>
        <v>3251</v>
      </c>
      <c r="I980" s="705">
        <v>254</v>
      </c>
      <c r="J980" s="701">
        <v>0.5</v>
      </c>
    </row>
    <row r="981" spans="1:10" ht="12.75" x14ac:dyDescent="0.2">
      <c r="A981" s="700">
        <v>3341</v>
      </c>
      <c r="B981" s="700" t="str">
        <f t="shared" si="31"/>
        <v>3341</v>
      </c>
      <c r="C981" s="700">
        <v>101</v>
      </c>
      <c r="D981" s="701">
        <v>160.71</v>
      </c>
      <c r="E981" s="701"/>
      <c r="F981" s="701"/>
      <c r="G981" s="705">
        <v>3251</v>
      </c>
      <c r="H981" s="705" t="str">
        <f t="shared" si="32"/>
        <v>3251</v>
      </c>
      <c r="I981" s="705">
        <v>300</v>
      </c>
      <c r="J981" s="701">
        <v>86.96</v>
      </c>
    </row>
    <row r="982" spans="1:10" ht="12.75" x14ac:dyDescent="0.2">
      <c r="A982" s="700">
        <v>3341</v>
      </c>
      <c r="B982" s="700" t="str">
        <f t="shared" si="31"/>
        <v>3341</v>
      </c>
      <c r="C982" s="700">
        <v>102</v>
      </c>
      <c r="D982" s="701">
        <v>87.33</v>
      </c>
      <c r="E982" s="701"/>
      <c r="F982" s="701"/>
      <c r="G982" s="705">
        <v>3261</v>
      </c>
      <c r="H982" s="705" t="str">
        <f t="shared" si="32"/>
        <v>3261</v>
      </c>
      <c r="I982" s="705">
        <v>101</v>
      </c>
      <c r="J982" s="701">
        <v>97.61</v>
      </c>
    </row>
    <row r="983" spans="1:10" ht="12.75" x14ac:dyDescent="0.2">
      <c r="A983" s="700">
        <v>3341</v>
      </c>
      <c r="B983" s="700" t="str">
        <f t="shared" si="31"/>
        <v>3341</v>
      </c>
      <c r="C983" s="700">
        <v>111</v>
      </c>
      <c r="D983" s="701">
        <v>76.55</v>
      </c>
      <c r="E983" s="701"/>
      <c r="F983" s="701"/>
      <c r="G983" s="705">
        <v>3261</v>
      </c>
      <c r="H983" s="705" t="str">
        <f t="shared" si="32"/>
        <v>3261</v>
      </c>
      <c r="I983" s="705">
        <v>102</v>
      </c>
      <c r="J983" s="701">
        <v>78.11</v>
      </c>
    </row>
    <row r="984" spans="1:10" ht="12.75" x14ac:dyDescent="0.2">
      <c r="A984" s="700">
        <v>3341</v>
      </c>
      <c r="B984" s="700" t="str">
        <f t="shared" si="31"/>
        <v>3341</v>
      </c>
      <c r="C984" s="700">
        <v>112</v>
      </c>
      <c r="D984" s="701">
        <v>56.44</v>
      </c>
      <c r="E984" s="701"/>
      <c r="F984" s="701"/>
      <c r="G984" s="705">
        <v>3261</v>
      </c>
      <c r="H984" s="705" t="str">
        <f t="shared" si="32"/>
        <v>3261</v>
      </c>
      <c r="I984" s="705">
        <v>111</v>
      </c>
      <c r="J984" s="701">
        <v>80.489999999999995</v>
      </c>
    </row>
    <row r="985" spans="1:10" ht="12.75" x14ac:dyDescent="0.2">
      <c r="A985" s="700">
        <v>3341</v>
      </c>
      <c r="B985" s="700" t="str">
        <f t="shared" si="31"/>
        <v>3341</v>
      </c>
      <c r="C985" s="700">
        <v>130</v>
      </c>
      <c r="D985" s="701">
        <v>14.32</v>
      </c>
      <c r="E985" s="701"/>
      <c r="F985" s="701"/>
      <c r="G985" s="705">
        <v>3261</v>
      </c>
      <c r="H985" s="705" t="str">
        <f t="shared" si="32"/>
        <v>3261</v>
      </c>
      <c r="I985" s="705">
        <v>112</v>
      </c>
      <c r="J985" s="701">
        <v>37.43</v>
      </c>
    </row>
    <row r="986" spans="1:10" ht="12.75" x14ac:dyDescent="0.2">
      <c r="A986" s="700">
        <v>3345</v>
      </c>
      <c r="B986" s="700" t="str">
        <f t="shared" si="31"/>
        <v>3345</v>
      </c>
      <c r="C986" s="700">
        <v>113</v>
      </c>
      <c r="D986" s="701">
        <v>40.5</v>
      </c>
      <c r="E986" s="701"/>
      <c r="F986" s="701"/>
      <c r="G986" s="705">
        <v>3261</v>
      </c>
      <c r="H986" s="705" t="str">
        <f t="shared" si="32"/>
        <v>3261</v>
      </c>
      <c r="I986" s="705">
        <v>130</v>
      </c>
      <c r="J986" s="701">
        <v>81.59</v>
      </c>
    </row>
    <row r="987" spans="1:10" ht="12.75" x14ac:dyDescent="0.2">
      <c r="A987" s="700">
        <v>3345</v>
      </c>
      <c r="B987" s="700" t="str">
        <f t="shared" si="31"/>
        <v>3345</v>
      </c>
      <c r="C987" s="700">
        <v>254</v>
      </c>
      <c r="D987" s="701">
        <v>0.5</v>
      </c>
      <c r="E987" s="701"/>
      <c r="F987" s="701"/>
      <c r="G987" s="705">
        <v>3261</v>
      </c>
      <c r="H987" s="705" t="str">
        <f t="shared" si="32"/>
        <v>3261</v>
      </c>
      <c r="I987" s="705">
        <v>254</v>
      </c>
      <c r="J987" s="701">
        <v>2</v>
      </c>
    </row>
    <row r="988" spans="1:10" ht="12.75" x14ac:dyDescent="0.2">
      <c r="A988" s="700">
        <v>3351</v>
      </c>
      <c r="B988" s="700" t="str">
        <f t="shared" si="31"/>
        <v>3351</v>
      </c>
      <c r="C988" s="700">
        <v>101</v>
      </c>
      <c r="D988" s="701">
        <v>121.77</v>
      </c>
      <c r="E988" s="701"/>
      <c r="F988" s="701"/>
      <c r="G988" s="705">
        <v>3341</v>
      </c>
      <c r="H988" s="705" t="str">
        <f t="shared" si="32"/>
        <v>3341</v>
      </c>
      <c r="I988" s="705">
        <v>101</v>
      </c>
      <c r="J988" s="701">
        <v>151.11000000000001</v>
      </c>
    </row>
    <row r="989" spans="1:10" ht="12.75" x14ac:dyDescent="0.2">
      <c r="A989" s="700">
        <v>3351</v>
      </c>
      <c r="B989" s="700" t="str">
        <f t="shared" si="31"/>
        <v>3351</v>
      </c>
      <c r="C989" s="700">
        <v>102</v>
      </c>
      <c r="D989" s="701">
        <v>77.989999999999995</v>
      </c>
      <c r="E989" s="701"/>
      <c r="F989" s="701"/>
      <c r="G989" s="705">
        <v>3341</v>
      </c>
      <c r="H989" s="705" t="str">
        <f t="shared" si="32"/>
        <v>3341</v>
      </c>
      <c r="I989" s="705">
        <v>102</v>
      </c>
      <c r="J989" s="701">
        <v>86.41</v>
      </c>
    </row>
    <row r="990" spans="1:10" ht="12.75" x14ac:dyDescent="0.2">
      <c r="A990" s="700">
        <v>3351</v>
      </c>
      <c r="B990" s="700" t="str">
        <f t="shared" si="31"/>
        <v>3351</v>
      </c>
      <c r="C990" s="700">
        <v>111</v>
      </c>
      <c r="D990" s="701">
        <v>43.09</v>
      </c>
      <c r="E990" s="701"/>
      <c r="F990" s="701"/>
      <c r="G990" s="705">
        <v>3341</v>
      </c>
      <c r="H990" s="705" t="str">
        <f t="shared" si="32"/>
        <v>3341</v>
      </c>
      <c r="I990" s="705">
        <v>111</v>
      </c>
      <c r="J990" s="701">
        <v>88.48</v>
      </c>
    </row>
    <row r="991" spans="1:10" ht="12.75" x14ac:dyDescent="0.2">
      <c r="A991" s="700">
        <v>3351</v>
      </c>
      <c r="B991" s="700" t="str">
        <f t="shared" si="31"/>
        <v>3351</v>
      </c>
      <c r="C991" s="700">
        <v>112</v>
      </c>
      <c r="D991" s="701">
        <v>39.72</v>
      </c>
      <c r="E991" s="701"/>
      <c r="F991" s="701"/>
      <c r="G991" s="705">
        <v>3341</v>
      </c>
      <c r="H991" s="705" t="str">
        <f t="shared" si="32"/>
        <v>3341</v>
      </c>
      <c r="I991" s="705">
        <v>112</v>
      </c>
      <c r="J991" s="701">
        <v>55.94</v>
      </c>
    </row>
    <row r="992" spans="1:10" ht="12.75" x14ac:dyDescent="0.2">
      <c r="A992" s="700">
        <v>3351</v>
      </c>
      <c r="B992" s="700" t="str">
        <f t="shared" si="31"/>
        <v>3351</v>
      </c>
      <c r="C992" s="700">
        <v>130</v>
      </c>
      <c r="D992" s="701">
        <v>20.8</v>
      </c>
      <c r="E992" s="701"/>
      <c r="F992" s="701"/>
      <c r="G992" s="705">
        <v>3341</v>
      </c>
      <c r="H992" s="705" t="str">
        <f t="shared" si="32"/>
        <v>3341</v>
      </c>
      <c r="I992" s="705">
        <v>130</v>
      </c>
      <c r="J992" s="701">
        <v>16.38</v>
      </c>
    </row>
    <row r="993" spans="1:10" ht="12.75" x14ac:dyDescent="0.2">
      <c r="A993" s="700">
        <v>3351</v>
      </c>
      <c r="B993" s="700" t="str">
        <f t="shared" si="31"/>
        <v>3351</v>
      </c>
      <c r="C993" s="700">
        <v>254</v>
      </c>
      <c r="D993" s="701">
        <v>2.5</v>
      </c>
      <c r="E993" s="701"/>
      <c r="F993" s="701"/>
      <c r="G993" s="705">
        <v>3345</v>
      </c>
      <c r="H993" s="705" t="str">
        <f t="shared" si="32"/>
        <v>3345</v>
      </c>
      <c r="I993" s="705">
        <v>113</v>
      </c>
      <c r="J993" s="701">
        <v>41</v>
      </c>
    </row>
    <row r="994" spans="1:10" ht="12.75" x14ac:dyDescent="0.2">
      <c r="A994" s="700">
        <v>3355</v>
      </c>
      <c r="B994" s="700" t="str">
        <f t="shared" si="31"/>
        <v>3355</v>
      </c>
      <c r="C994" s="700">
        <v>102</v>
      </c>
      <c r="D994" s="701">
        <v>11.56</v>
      </c>
      <c r="E994" s="701"/>
      <c r="F994" s="701"/>
      <c r="G994" s="705">
        <v>3345</v>
      </c>
      <c r="H994" s="705" t="str">
        <f t="shared" si="32"/>
        <v>3345</v>
      </c>
      <c r="I994" s="705">
        <v>254</v>
      </c>
      <c r="J994" s="701">
        <v>1</v>
      </c>
    </row>
    <row r="995" spans="1:10" ht="12.75" x14ac:dyDescent="0.2">
      <c r="A995" s="700">
        <v>3355</v>
      </c>
      <c r="B995" s="700" t="str">
        <f t="shared" si="31"/>
        <v>3355</v>
      </c>
      <c r="C995" s="700">
        <v>103</v>
      </c>
      <c r="D995" s="701">
        <v>30.23</v>
      </c>
      <c r="E995" s="701"/>
      <c r="F995" s="701"/>
      <c r="G995" s="705">
        <v>3351</v>
      </c>
      <c r="H995" s="705" t="str">
        <f t="shared" si="32"/>
        <v>3351</v>
      </c>
      <c r="I995" s="705">
        <v>101</v>
      </c>
      <c r="J995" s="701">
        <v>119.83</v>
      </c>
    </row>
    <row r="996" spans="1:10" ht="12.75" x14ac:dyDescent="0.2">
      <c r="A996" s="700">
        <v>3355</v>
      </c>
      <c r="B996" s="700" t="str">
        <f t="shared" si="31"/>
        <v>3355</v>
      </c>
      <c r="C996" s="700">
        <v>112</v>
      </c>
      <c r="D996" s="701">
        <v>3</v>
      </c>
      <c r="E996" s="701"/>
      <c r="F996" s="701"/>
      <c r="G996" s="705">
        <v>3351</v>
      </c>
      <c r="H996" s="705" t="str">
        <f t="shared" si="32"/>
        <v>3351</v>
      </c>
      <c r="I996" s="705">
        <v>102</v>
      </c>
      <c r="J996" s="701">
        <v>75.489999999999995</v>
      </c>
    </row>
    <row r="997" spans="1:10" ht="12.75" x14ac:dyDescent="0.2">
      <c r="A997" s="700">
        <v>3355</v>
      </c>
      <c r="B997" s="700" t="str">
        <f t="shared" si="31"/>
        <v>3355</v>
      </c>
      <c r="C997" s="700">
        <v>113</v>
      </c>
      <c r="D997" s="701">
        <v>6.95</v>
      </c>
      <c r="E997" s="701"/>
      <c r="F997" s="701"/>
      <c r="G997" s="705">
        <v>3351</v>
      </c>
      <c r="H997" s="705" t="str">
        <f t="shared" si="32"/>
        <v>3351</v>
      </c>
      <c r="I997" s="705">
        <v>111</v>
      </c>
      <c r="J997" s="701">
        <v>43.98</v>
      </c>
    </row>
    <row r="998" spans="1:10" ht="12.75" x14ac:dyDescent="0.2">
      <c r="A998" s="700">
        <v>3355</v>
      </c>
      <c r="B998" s="700" t="str">
        <f t="shared" si="31"/>
        <v>3355</v>
      </c>
      <c r="C998" s="700">
        <v>130</v>
      </c>
      <c r="D998" s="701">
        <v>0.28999999999999998</v>
      </c>
      <c r="E998" s="701"/>
      <c r="F998" s="701"/>
      <c r="G998" s="705">
        <v>3351</v>
      </c>
      <c r="H998" s="705" t="str">
        <f t="shared" si="32"/>
        <v>3351</v>
      </c>
      <c r="I998" s="705">
        <v>112</v>
      </c>
      <c r="J998" s="701">
        <v>40.97</v>
      </c>
    </row>
    <row r="999" spans="1:10" ht="12.75" x14ac:dyDescent="0.2">
      <c r="A999" s="700">
        <v>3355</v>
      </c>
      <c r="B999" s="700" t="str">
        <f t="shared" si="31"/>
        <v>3355</v>
      </c>
      <c r="C999" s="700">
        <v>300</v>
      </c>
      <c r="D999" s="701">
        <v>5.04</v>
      </c>
      <c r="E999" s="701"/>
      <c r="F999" s="701"/>
      <c r="G999" s="705">
        <v>3351</v>
      </c>
      <c r="H999" s="705" t="str">
        <f t="shared" si="32"/>
        <v>3351</v>
      </c>
      <c r="I999" s="705">
        <v>130</v>
      </c>
      <c r="J999" s="701">
        <v>21.19</v>
      </c>
    </row>
    <row r="1000" spans="1:10" ht="12.75" x14ac:dyDescent="0.2">
      <c r="A1000" s="700">
        <v>3361</v>
      </c>
      <c r="B1000" s="700" t="str">
        <f t="shared" si="31"/>
        <v>3361</v>
      </c>
      <c r="C1000" s="700">
        <v>101</v>
      </c>
      <c r="D1000" s="701">
        <v>176.9</v>
      </c>
      <c r="E1000" s="701"/>
      <c r="F1000" s="701"/>
      <c r="G1000" s="705">
        <v>3351</v>
      </c>
      <c r="H1000" s="705" t="str">
        <f t="shared" si="32"/>
        <v>3351</v>
      </c>
      <c r="I1000" s="705">
        <v>254</v>
      </c>
      <c r="J1000" s="701">
        <v>1</v>
      </c>
    </row>
    <row r="1001" spans="1:10" ht="12.75" x14ac:dyDescent="0.2">
      <c r="A1001" s="700">
        <v>3361</v>
      </c>
      <c r="B1001" s="700" t="str">
        <f t="shared" si="31"/>
        <v>3361</v>
      </c>
      <c r="C1001" s="700">
        <v>102</v>
      </c>
      <c r="D1001" s="701">
        <v>102.35</v>
      </c>
      <c r="E1001" s="701"/>
      <c r="F1001" s="701"/>
      <c r="G1001" s="705">
        <v>3355</v>
      </c>
      <c r="H1001" s="705" t="str">
        <f t="shared" si="32"/>
        <v>3355</v>
      </c>
      <c r="I1001" s="705">
        <v>102</v>
      </c>
      <c r="J1001" s="701">
        <v>13.43</v>
      </c>
    </row>
    <row r="1002" spans="1:10" ht="12.75" x14ac:dyDescent="0.2">
      <c r="A1002" s="700">
        <v>3361</v>
      </c>
      <c r="B1002" s="700" t="str">
        <f t="shared" si="31"/>
        <v>3361</v>
      </c>
      <c r="C1002" s="700">
        <v>111</v>
      </c>
      <c r="D1002" s="701">
        <v>53.23</v>
      </c>
      <c r="E1002" s="701"/>
      <c r="F1002" s="701"/>
      <c r="G1002" s="705">
        <v>3355</v>
      </c>
      <c r="H1002" s="705" t="str">
        <f t="shared" si="32"/>
        <v>3355</v>
      </c>
      <c r="I1002" s="705">
        <v>103</v>
      </c>
      <c r="J1002" s="701">
        <v>34.96</v>
      </c>
    </row>
    <row r="1003" spans="1:10" ht="12.75" x14ac:dyDescent="0.2">
      <c r="A1003" s="700">
        <v>3361</v>
      </c>
      <c r="B1003" s="700" t="str">
        <f t="shared" si="31"/>
        <v>3361</v>
      </c>
      <c r="C1003" s="700">
        <v>112</v>
      </c>
      <c r="D1003" s="701">
        <v>36.47</v>
      </c>
      <c r="E1003" s="701"/>
      <c r="F1003" s="701"/>
      <c r="G1003" s="705">
        <v>3355</v>
      </c>
      <c r="H1003" s="705" t="str">
        <f t="shared" si="32"/>
        <v>3355</v>
      </c>
      <c r="I1003" s="705">
        <v>112</v>
      </c>
      <c r="J1003" s="701">
        <v>4.04</v>
      </c>
    </row>
    <row r="1004" spans="1:10" ht="12.75" x14ac:dyDescent="0.2">
      <c r="A1004" s="700">
        <v>3361</v>
      </c>
      <c r="B1004" s="700" t="str">
        <f t="shared" si="31"/>
        <v>3361</v>
      </c>
      <c r="C1004" s="700">
        <v>130</v>
      </c>
      <c r="D1004" s="701">
        <v>32.770000000000003</v>
      </c>
      <c r="E1004" s="701"/>
      <c r="F1004" s="701"/>
      <c r="G1004" s="705">
        <v>3355</v>
      </c>
      <c r="H1004" s="705" t="str">
        <f t="shared" si="32"/>
        <v>3355</v>
      </c>
      <c r="I1004" s="705">
        <v>113</v>
      </c>
      <c r="J1004" s="701">
        <v>6.18</v>
      </c>
    </row>
    <row r="1005" spans="1:10" ht="12.75" x14ac:dyDescent="0.2">
      <c r="A1005" s="700">
        <v>3362</v>
      </c>
      <c r="B1005" s="700" t="str">
        <f t="shared" si="31"/>
        <v>3362</v>
      </c>
      <c r="C1005" s="700">
        <v>101</v>
      </c>
      <c r="D1005" s="701">
        <v>49.71</v>
      </c>
      <c r="E1005" s="701"/>
      <c r="F1005" s="701"/>
      <c r="G1005" s="705">
        <v>3355</v>
      </c>
      <c r="H1005" s="705" t="str">
        <f t="shared" si="32"/>
        <v>3355</v>
      </c>
      <c r="I1005" s="705">
        <v>130</v>
      </c>
      <c r="J1005" s="701">
        <v>0.64</v>
      </c>
    </row>
    <row r="1006" spans="1:10" ht="12.75" x14ac:dyDescent="0.2">
      <c r="A1006" s="700">
        <v>3362</v>
      </c>
      <c r="B1006" s="700" t="str">
        <f t="shared" si="31"/>
        <v>3362</v>
      </c>
      <c r="C1006" s="700">
        <v>102</v>
      </c>
      <c r="D1006" s="701">
        <v>13.57</v>
      </c>
      <c r="E1006" s="701"/>
      <c r="F1006" s="701"/>
      <c r="G1006" s="705">
        <v>3355</v>
      </c>
      <c r="H1006" s="705" t="str">
        <f t="shared" si="32"/>
        <v>3355</v>
      </c>
      <c r="I1006" s="705">
        <v>300</v>
      </c>
      <c r="J1006" s="701">
        <v>3.64</v>
      </c>
    </row>
    <row r="1007" spans="1:10" ht="12.75" x14ac:dyDescent="0.2">
      <c r="A1007" s="700">
        <v>3362</v>
      </c>
      <c r="B1007" s="700" t="str">
        <f t="shared" si="31"/>
        <v>3362</v>
      </c>
      <c r="C1007" s="700">
        <v>111</v>
      </c>
      <c r="D1007" s="701">
        <v>6.51</v>
      </c>
      <c r="E1007" s="701"/>
      <c r="F1007" s="701"/>
      <c r="G1007" s="705">
        <v>3361</v>
      </c>
      <c r="H1007" s="705" t="str">
        <f t="shared" si="32"/>
        <v>3361</v>
      </c>
      <c r="I1007" s="705">
        <v>101</v>
      </c>
      <c r="J1007" s="701">
        <v>170.11</v>
      </c>
    </row>
    <row r="1008" spans="1:10" ht="12.75" x14ac:dyDescent="0.2">
      <c r="A1008" s="700">
        <v>3362</v>
      </c>
      <c r="B1008" s="700" t="str">
        <f t="shared" si="31"/>
        <v>3362</v>
      </c>
      <c r="C1008" s="700">
        <v>112</v>
      </c>
      <c r="D1008" s="701">
        <v>3.5</v>
      </c>
      <c r="E1008" s="701"/>
      <c r="F1008" s="701"/>
      <c r="G1008" s="705">
        <v>3361</v>
      </c>
      <c r="H1008" s="705" t="str">
        <f t="shared" si="32"/>
        <v>3361</v>
      </c>
      <c r="I1008" s="705">
        <v>102</v>
      </c>
      <c r="J1008" s="701">
        <v>102.93</v>
      </c>
    </row>
    <row r="1009" spans="1:10" ht="12.75" x14ac:dyDescent="0.2">
      <c r="A1009" s="700">
        <v>3362</v>
      </c>
      <c r="B1009" s="700" t="str">
        <f t="shared" si="31"/>
        <v>3362</v>
      </c>
      <c r="C1009" s="700">
        <v>130</v>
      </c>
      <c r="D1009" s="701">
        <v>6.59</v>
      </c>
      <c r="E1009" s="701"/>
      <c r="F1009" s="701"/>
      <c r="G1009" s="705">
        <v>3361</v>
      </c>
      <c r="H1009" s="705" t="str">
        <f t="shared" si="32"/>
        <v>3361</v>
      </c>
      <c r="I1009" s="705">
        <v>111</v>
      </c>
      <c r="J1009" s="701">
        <v>57.49</v>
      </c>
    </row>
    <row r="1010" spans="1:10" ht="12.75" x14ac:dyDescent="0.2">
      <c r="A1010" s="700">
        <v>3371</v>
      </c>
      <c r="B1010" s="700" t="str">
        <f t="shared" si="31"/>
        <v>3371</v>
      </c>
      <c r="C1010" s="700">
        <v>102</v>
      </c>
      <c r="D1010" s="701">
        <v>406.02</v>
      </c>
      <c r="E1010" s="701"/>
      <c r="F1010" s="701"/>
      <c r="G1010" s="705">
        <v>3361</v>
      </c>
      <c r="H1010" s="705" t="str">
        <f t="shared" si="32"/>
        <v>3361</v>
      </c>
      <c r="I1010" s="705">
        <v>112</v>
      </c>
      <c r="J1010" s="701">
        <v>36.909999999999997</v>
      </c>
    </row>
    <row r="1011" spans="1:10" ht="12.75" x14ac:dyDescent="0.2">
      <c r="A1011" s="700">
        <v>3371</v>
      </c>
      <c r="B1011" s="700" t="str">
        <f t="shared" si="31"/>
        <v>3371</v>
      </c>
      <c r="C1011" s="700">
        <v>112</v>
      </c>
      <c r="D1011" s="701">
        <v>157.76</v>
      </c>
      <c r="E1011" s="701"/>
      <c r="F1011" s="701"/>
      <c r="G1011" s="705">
        <v>3361</v>
      </c>
      <c r="H1011" s="705" t="str">
        <f t="shared" si="32"/>
        <v>3361</v>
      </c>
      <c r="I1011" s="705">
        <v>130</v>
      </c>
      <c r="J1011" s="701">
        <v>37.22</v>
      </c>
    </row>
    <row r="1012" spans="1:10" ht="12.75" x14ac:dyDescent="0.2">
      <c r="A1012" s="700">
        <v>3371</v>
      </c>
      <c r="B1012" s="700" t="str">
        <f t="shared" si="31"/>
        <v>3371</v>
      </c>
      <c r="C1012" s="700">
        <v>130</v>
      </c>
      <c r="D1012" s="701">
        <v>11.45</v>
      </c>
      <c r="E1012" s="701"/>
      <c r="F1012" s="701"/>
      <c r="G1012" s="705">
        <v>3362</v>
      </c>
      <c r="H1012" s="705" t="str">
        <f t="shared" si="32"/>
        <v>3362</v>
      </c>
      <c r="I1012" s="705">
        <v>101</v>
      </c>
      <c r="J1012" s="701">
        <v>49.42</v>
      </c>
    </row>
    <row r="1013" spans="1:10" ht="12.75" x14ac:dyDescent="0.2">
      <c r="A1013" s="700">
        <v>3371</v>
      </c>
      <c r="B1013" s="700" t="str">
        <f t="shared" si="31"/>
        <v>3371</v>
      </c>
      <c r="C1013" s="700">
        <v>254</v>
      </c>
      <c r="D1013" s="701">
        <v>3</v>
      </c>
      <c r="E1013" s="701"/>
      <c r="F1013" s="701"/>
      <c r="G1013" s="705">
        <v>3362</v>
      </c>
      <c r="H1013" s="705" t="str">
        <f t="shared" si="32"/>
        <v>3362</v>
      </c>
      <c r="I1013" s="705">
        <v>102</v>
      </c>
      <c r="J1013" s="701">
        <v>12.56</v>
      </c>
    </row>
    <row r="1014" spans="1:10" ht="12.75" x14ac:dyDescent="0.2">
      <c r="A1014" s="700">
        <v>3371</v>
      </c>
      <c r="B1014" s="700" t="str">
        <f t="shared" si="31"/>
        <v>3371</v>
      </c>
      <c r="C1014" s="700">
        <v>255</v>
      </c>
      <c r="D1014" s="701">
        <v>2</v>
      </c>
      <c r="E1014" s="701"/>
      <c r="F1014" s="701"/>
      <c r="G1014" s="705">
        <v>3362</v>
      </c>
      <c r="H1014" s="705" t="str">
        <f t="shared" si="32"/>
        <v>3362</v>
      </c>
      <c r="I1014" s="705">
        <v>111</v>
      </c>
      <c r="J1014" s="701">
        <v>8.51</v>
      </c>
    </row>
    <row r="1015" spans="1:10" ht="12.75" x14ac:dyDescent="0.2">
      <c r="A1015" s="700">
        <v>3381</v>
      </c>
      <c r="B1015" s="700" t="str">
        <f t="shared" si="31"/>
        <v>3381</v>
      </c>
      <c r="C1015" s="700">
        <v>101</v>
      </c>
      <c r="D1015" s="701">
        <v>171.48</v>
      </c>
      <c r="E1015" s="701"/>
      <c r="F1015" s="701"/>
      <c r="G1015" s="705">
        <v>3362</v>
      </c>
      <c r="H1015" s="705" t="str">
        <f t="shared" si="32"/>
        <v>3362</v>
      </c>
      <c r="I1015" s="705">
        <v>112</v>
      </c>
      <c r="J1015" s="701">
        <v>4.0199999999999996</v>
      </c>
    </row>
    <row r="1016" spans="1:10" ht="12.75" x14ac:dyDescent="0.2">
      <c r="A1016" s="700">
        <v>3381</v>
      </c>
      <c r="B1016" s="700" t="str">
        <f t="shared" si="31"/>
        <v>3381</v>
      </c>
      <c r="C1016" s="700">
        <v>102</v>
      </c>
      <c r="D1016" s="701">
        <v>230.08</v>
      </c>
      <c r="E1016" s="701"/>
      <c r="F1016" s="701"/>
      <c r="G1016" s="705">
        <v>3362</v>
      </c>
      <c r="H1016" s="705" t="str">
        <f t="shared" si="32"/>
        <v>3362</v>
      </c>
      <c r="I1016" s="705">
        <v>130</v>
      </c>
      <c r="J1016" s="701">
        <v>6.6</v>
      </c>
    </row>
    <row r="1017" spans="1:10" ht="12.75" x14ac:dyDescent="0.2">
      <c r="A1017" s="700">
        <v>3381</v>
      </c>
      <c r="B1017" s="700" t="str">
        <f t="shared" si="31"/>
        <v>3381</v>
      </c>
      <c r="C1017" s="700">
        <v>111</v>
      </c>
      <c r="D1017" s="701">
        <v>29.03</v>
      </c>
      <c r="E1017" s="701"/>
      <c r="F1017" s="701"/>
      <c r="G1017" s="705">
        <v>3371</v>
      </c>
      <c r="H1017" s="705" t="str">
        <f t="shared" si="32"/>
        <v>3371</v>
      </c>
      <c r="I1017" s="705">
        <v>102</v>
      </c>
      <c r="J1017" s="701">
        <v>404.45</v>
      </c>
    </row>
    <row r="1018" spans="1:10" ht="12.75" x14ac:dyDescent="0.2">
      <c r="A1018" s="700">
        <v>3381</v>
      </c>
      <c r="B1018" s="700" t="str">
        <f t="shared" si="31"/>
        <v>3381</v>
      </c>
      <c r="C1018" s="700">
        <v>112</v>
      </c>
      <c r="D1018" s="701">
        <v>61.56</v>
      </c>
      <c r="E1018" s="701"/>
      <c r="F1018" s="701"/>
      <c r="G1018" s="705">
        <v>3371</v>
      </c>
      <c r="H1018" s="705" t="str">
        <f t="shared" si="32"/>
        <v>3371</v>
      </c>
      <c r="I1018" s="705">
        <v>112</v>
      </c>
      <c r="J1018" s="701">
        <v>155.63999999999999</v>
      </c>
    </row>
    <row r="1019" spans="1:10" ht="12.75" x14ac:dyDescent="0.2">
      <c r="A1019" s="700">
        <v>3381</v>
      </c>
      <c r="B1019" s="700" t="str">
        <f t="shared" si="31"/>
        <v>3381</v>
      </c>
      <c r="C1019" s="700">
        <v>130</v>
      </c>
      <c r="D1019" s="701">
        <v>32.17</v>
      </c>
      <c r="E1019" s="701"/>
      <c r="F1019" s="701"/>
      <c r="G1019" s="705">
        <v>3371</v>
      </c>
      <c r="H1019" s="705" t="str">
        <f t="shared" si="32"/>
        <v>3371</v>
      </c>
      <c r="I1019" s="705">
        <v>130</v>
      </c>
      <c r="J1019" s="701">
        <v>9.9</v>
      </c>
    </row>
    <row r="1020" spans="1:10" ht="12.75" x14ac:dyDescent="0.2">
      <c r="A1020" s="700">
        <v>3382</v>
      </c>
      <c r="B1020" s="700" t="str">
        <f t="shared" si="31"/>
        <v>3382</v>
      </c>
      <c r="C1020" s="700">
        <v>101</v>
      </c>
      <c r="D1020" s="701">
        <v>41.51</v>
      </c>
      <c r="E1020" s="701"/>
      <c r="F1020" s="701"/>
      <c r="G1020" s="705">
        <v>3371</v>
      </c>
      <c r="H1020" s="705" t="str">
        <f t="shared" si="32"/>
        <v>3371</v>
      </c>
      <c r="I1020" s="705">
        <v>254</v>
      </c>
      <c r="J1020" s="701">
        <v>2</v>
      </c>
    </row>
    <row r="1021" spans="1:10" ht="12.75" x14ac:dyDescent="0.2">
      <c r="A1021" s="700">
        <v>3382</v>
      </c>
      <c r="B1021" s="700" t="str">
        <f t="shared" si="31"/>
        <v>3382</v>
      </c>
      <c r="C1021" s="700">
        <v>102</v>
      </c>
      <c r="D1021" s="701">
        <v>62.07</v>
      </c>
      <c r="E1021" s="701"/>
      <c r="F1021" s="701"/>
      <c r="G1021" s="705">
        <v>3371</v>
      </c>
      <c r="H1021" s="705" t="str">
        <f t="shared" si="32"/>
        <v>3371</v>
      </c>
      <c r="I1021" s="705">
        <v>255</v>
      </c>
      <c r="J1021" s="701">
        <v>2</v>
      </c>
    </row>
    <row r="1022" spans="1:10" ht="12.75" x14ac:dyDescent="0.2">
      <c r="A1022" s="700">
        <v>3382</v>
      </c>
      <c r="B1022" s="700" t="str">
        <f t="shared" si="31"/>
        <v>3382</v>
      </c>
      <c r="C1022" s="700">
        <v>111</v>
      </c>
      <c r="D1022" s="701">
        <v>8.01</v>
      </c>
      <c r="E1022" s="701"/>
      <c r="F1022" s="701"/>
      <c r="G1022" s="705">
        <v>3381</v>
      </c>
      <c r="H1022" s="705" t="str">
        <f t="shared" si="32"/>
        <v>3381</v>
      </c>
      <c r="I1022" s="705">
        <v>101</v>
      </c>
      <c r="J1022" s="701">
        <v>171.7</v>
      </c>
    </row>
    <row r="1023" spans="1:10" ht="12.75" x14ac:dyDescent="0.2">
      <c r="A1023" s="700">
        <v>3382</v>
      </c>
      <c r="B1023" s="700" t="str">
        <f t="shared" si="31"/>
        <v>3382</v>
      </c>
      <c r="C1023" s="700">
        <v>112</v>
      </c>
      <c r="D1023" s="701">
        <v>19.96</v>
      </c>
      <c r="E1023" s="701"/>
      <c r="F1023" s="701"/>
      <c r="G1023" s="705">
        <v>3381</v>
      </c>
      <c r="H1023" s="705" t="str">
        <f t="shared" si="32"/>
        <v>3381</v>
      </c>
      <c r="I1023" s="705">
        <v>102</v>
      </c>
      <c r="J1023" s="701">
        <v>225.17</v>
      </c>
    </row>
    <row r="1024" spans="1:10" ht="12.75" x14ac:dyDescent="0.2">
      <c r="A1024" s="700">
        <v>3382</v>
      </c>
      <c r="B1024" s="700" t="str">
        <f t="shared" si="31"/>
        <v>3382</v>
      </c>
      <c r="C1024" s="700">
        <v>130</v>
      </c>
      <c r="D1024" s="701">
        <v>3.88</v>
      </c>
      <c r="E1024" s="701"/>
      <c r="F1024" s="701"/>
      <c r="G1024" s="705">
        <v>3381</v>
      </c>
      <c r="H1024" s="705" t="str">
        <f t="shared" si="32"/>
        <v>3381</v>
      </c>
      <c r="I1024" s="705">
        <v>111</v>
      </c>
      <c r="J1024" s="701">
        <v>30.14</v>
      </c>
    </row>
    <row r="1025" spans="1:10" ht="12.75" x14ac:dyDescent="0.2">
      <c r="A1025" s="700">
        <v>3394</v>
      </c>
      <c r="B1025" s="700" t="str">
        <f t="shared" si="31"/>
        <v>3394</v>
      </c>
      <c r="C1025" s="700">
        <v>101</v>
      </c>
      <c r="D1025" s="701">
        <v>39.61</v>
      </c>
      <c r="E1025" s="701"/>
      <c r="F1025" s="701"/>
      <c r="G1025" s="705">
        <v>3381</v>
      </c>
      <c r="H1025" s="705" t="str">
        <f t="shared" si="32"/>
        <v>3381</v>
      </c>
      <c r="I1025" s="705">
        <v>112</v>
      </c>
      <c r="J1025" s="701">
        <v>64.45</v>
      </c>
    </row>
    <row r="1026" spans="1:10" ht="12.75" x14ac:dyDescent="0.2">
      <c r="A1026" s="700">
        <v>3394</v>
      </c>
      <c r="B1026" s="700" t="str">
        <f t="shared" ref="B1026:B1089" si="33">TEXT(A1026,"0000")</f>
        <v>3394</v>
      </c>
      <c r="C1026" s="700">
        <v>102</v>
      </c>
      <c r="D1026" s="701">
        <v>14.78</v>
      </c>
      <c r="E1026" s="701"/>
      <c r="F1026" s="701"/>
      <c r="G1026" s="705">
        <v>3381</v>
      </c>
      <c r="H1026" s="705" t="str">
        <f t="shared" si="32"/>
        <v>3381</v>
      </c>
      <c r="I1026" s="705">
        <v>130</v>
      </c>
      <c r="J1026" s="701">
        <v>34.06</v>
      </c>
    </row>
    <row r="1027" spans="1:10" ht="12.75" x14ac:dyDescent="0.2">
      <c r="A1027" s="700">
        <v>3394</v>
      </c>
      <c r="B1027" s="700" t="str">
        <f t="shared" si="33"/>
        <v>3394</v>
      </c>
      <c r="C1027" s="700">
        <v>111</v>
      </c>
      <c r="D1027" s="701">
        <v>4</v>
      </c>
      <c r="E1027" s="701"/>
      <c r="F1027" s="701"/>
      <c r="G1027" s="705">
        <v>3382</v>
      </c>
      <c r="H1027" s="705" t="str">
        <f t="shared" ref="H1027:H1090" si="34">TEXT(G1027,"0000")</f>
        <v>3382</v>
      </c>
      <c r="I1027" s="705">
        <v>101</v>
      </c>
      <c r="J1027" s="701">
        <v>37.42</v>
      </c>
    </row>
    <row r="1028" spans="1:10" ht="12.75" x14ac:dyDescent="0.2">
      <c r="A1028" s="700">
        <v>3394</v>
      </c>
      <c r="B1028" s="700" t="str">
        <f t="shared" si="33"/>
        <v>3394</v>
      </c>
      <c r="C1028" s="700">
        <v>112</v>
      </c>
      <c r="D1028" s="701">
        <v>4</v>
      </c>
      <c r="E1028" s="701"/>
      <c r="F1028" s="701"/>
      <c r="G1028" s="705">
        <v>3382</v>
      </c>
      <c r="H1028" s="705" t="str">
        <f t="shared" si="34"/>
        <v>3382</v>
      </c>
      <c r="I1028" s="705">
        <v>102</v>
      </c>
      <c r="J1028" s="701">
        <v>61.35</v>
      </c>
    </row>
    <row r="1029" spans="1:10" ht="12.75" x14ac:dyDescent="0.2">
      <c r="A1029" s="700">
        <v>3394</v>
      </c>
      <c r="B1029" s="700" t="str">
        <f t="shared" si="33"/>
        <v>3394</v>
      </c>
      <c r="C1029" s="700">
        <v>130</v>
      </c>
      <c r="D1029" s="701">
        <v>34.1</v>
      </c>
      <c r="E1029" s="701"/>
      <c r="F1029" s="701"/>
      <c r="G1029" s="705">
        <v>3382</v>
      </c>
      <c r="H1029" s="705" t="str">
        <f t="shared" si="34"/>
        <v>3382</v>
      </c>
      <c r="I1029" s="705">
        <v>111</v>
      </c>
      <c r="J1029" s="701">
        <v>7.49</v>
      </c>
    </row>
    <row r="1030" spans="1:10" ht="12.75" x14ac:dyDescent="0.2">
      <c r="A1030" s="700">
        <v>3395</v>
      </c>
      <c r="B1030" s="700" t="str">
        <f t="shared" si="33"/>
        <v>3395</v>
      </c>
      <c r="C1030" s="700">
        <v>101</v>
      </c>
      <c r="D1030" s="701">
        <v>63.89</v>
      </c>
      <c r="E1030" s="701"/>
      <c r="F1030" s="701"/>
      <c r="G1030" s="705">
        <v>3382</v>
      </c>
      <c r="H1030" s="705" t="str">
        <f t="shared" si="34"/>
        <v>3382</v>
      </c>
      <c r="I1030" s="705">
        <v>112</v>
      </c>
      <c r="J1030" s="701">
        <v>16.53</v>
      </c>
    </row>
    <row r="1031" spans="1:10" ht="12.75" x14ac:dyDescent="0.2">
      <c r="A1031" s="700">
        <v>3395</v>
      </c>
      <c r="B1031" s="700" t="str">
        <f t="shared" si="33"/>
        <v>3395</v>
      </c>
      <c r="C1031" s="700">
        <v>102</v>
      </c>
      <c r="D1031" s="701">
        <v>114.68</v>
      </c>
      <c r="E1031" s="701"/>
      <c r="F1031" s="701"/>
      <c r="G1031" s="705">
        <v>3382</v>
      </c>
      <c r="H1031" s="705" t="str">
        <f t="shared" si="34"/>
        <v>3382</v>
      </c>
      <c r="I1031" s="705">
        <v>130</v>
      </c>
      <c r="J1031" s="701">
        <v>3.49</v>
      </c>
    </row>
    <row r="1032" spans="1:10" ht="12.75" x14ac:dyDescent="0.2">
      <c r="A1032" s="700">
        <v>3395</v>
      </c>
      <c r="B1032" s="700" t="str">
        <f t="shared" si="33"/>
        <v>3395</v>
      </c>
      <c r="C1032" s="700">
        <v>111</v>
      </c>
      <c r="D1032" s="701">
        <v>10.51</v>
      </c>
      <c r="E1032" s="701"/>
      <c r="F1032" s="701"/>
      <c r="G1032" s="705">
        <v>3394</v>
      </c>
      <c r="H1032" s="705" t="str">
        <f t="shared" si="34"/>
        <v>3394</v>
      </c>
      <c r="I1032" s="705">
        <v>101</v>
      </c>
      <c r="J1032" s="701">
        <v>38.08</v>
      </c>
    </row>
    <row r="1033" spans="1:10" ht="12.75" x14ac:dyDescent="0.2">
      <c r="A1033" s="700">
        <v>3395</v>
      </c>
      <c r="B1033" s="700" t="str">
        <f t="shared" si="33"/>
        <v>3395</v>
      </c>
      <c r="C1033" s="700">
        <v>112</v>
      </c>
      <c r="D1033" s="701">
        <v>17.489999999999998</v>
      </c>
      <c r="E1033" s="701"/>
      <c r="F1033" s="701"/>
      <c r="G1033" s="705">
        <v>3394</v>
      </c>
      <c r="H1033" s="705" t="str">
        <f t="shared" si="34"/>
        <v>3394</v>
      </c>
      <c r="I1033" s="705">
        <v>102</v>
      </c>
      <c r="J1033" s="701">
        <v>14.83</v>
      </c>
    </row>
    <row r="1034" spans="1:10" ht="12.75" x14ac:dyDescent="0.2">
      <c r="A1034" s="700">
        <v>3395</v>
      </c>
      <c r="B1034" s="700" t="str">
        <f t="shared" si="33"/>
        <v>3395</v>
      </c>
      <c r="C1034" s="700">
        <v>130</v>
      </c>
      <c r="D1034" s="701">
        <v>63.7</v>
      </c>
      <c r="E1034" s="701"/>
      <c r="F1034" s="701"/>
      <c r="G1034" s="705">
        <v>3394</v>
      </c>
      <c r="H1034" s="705" t="str">
        <f t="shared" si="34"/>
        <v>3394</v>
      </c>
      <c r="I1034" s="705">
        <v>111</v>
      </c>
      <c r="J1034" s="701">
        <v>5</v>
      </c>
    </row>
    <row r="1035" spans="1:10" ht="12.75" x14ac:dyDescent="0.2">
      <c r="A1035" s="700">
        <v>3396</v>
      </c>
      <c r="B1035" s="700" t="str">
        <f t="shared" si="33"/>
        <v>3396</v>
      </c>
      <c r="C1035" s="700">
        <v>102</v>
      </c>
      <c r="D1035" s="701">
        <v>105.68</v>
      </c>
      <c r="E1035" s="701"/>
      <c r="F1035" s="701"/>
      <c r="G1035" s="705">
        <v>3394</v>
      </c>
      <c r="H1035" s="705" t="str">
        <f t="shared" si="34"/>
        <v>3394</v>
      </c>
      <c r="I1035" s="705">
        <v>112</v>
      </c>
      <c r="J1035" s="701">
        <v>4.5</v>
      </c>
    </row>
    <row r="1036" spans="1:10" ht="12.75" x14ac:dyDescent="0.2">
      <c r="A1036" s="700">
        <v>3396</v>
      </c>
      <c r="B1036" s="700" t="str">
        <f t="shared" si="33"/>
        <v>3396</v>
      </c>
      <c r="C1036" s="700">
        <v>103</v>
      </c>
      <c r="D1036" s="701">
        <v>170.06</v>
      </c>
      <c r="E1036" s="701"/>
      <c r="F1036" s="701"/>
      <c r="G1036" s="705">
        <v>3394</v>
      </c>
      <c r="H1036" s="705" t="str">
        <f t="shared" si="34"/>
        <v>3394</v>
      </c>
      <c r="I1036" s="705">
        <v>130</v>
      </c>
      <c r="J1036" s="701">
        <v>34.07</v>
      </c>
    </row>
    <row r="1037" spans="1:10" ht="12.75" x14ac:dyDescent="0.2">
      <c r="A1037" s="700">
        <v>3396</v>
      </c>
      <c r="B1037" s="700" t="str">
        <f t="shared" si="33"/>
        <v>3396</v>
      </c>
      <c r="C1037" s="700">
        <v>112</v>
      </c>
      <c r="D1037" s="701">
        <v>11.03</v>
      </c>
      <c r="E1037" s="701"/>
      <c r="F1037" s="701"/>
      <c r="G1037" s="705">
        <v>3395</v>
      </c>
      <c r="H1037" s="705" t="str">
        <f t="shared" si="34"/>
        <v>3395</v>
      </c>
      <c r="I1037" s="705">
        <v>101</v>
      </c>
      <c r="J1037" s="701">
        <v>62.46</v>
      </c>
    </row>
    <row r="1038" spans="1:10" ht="12.75" x14ac:dyDescent="0.2">
      <c r="A1038" s="700">
        <v>3396</v>
      </c>
      <c r="B1038" s="700" t="str">
        <f t="shared" si="33"/>
        <v>3396</v>
      </c>
      <c r="C1038" s="700">
        <v>113</v>
      </c>
      <c r="D1038" s="701">
        <v>35.08</v>
      </c>
      <c r="E1038" s="701"/>
      <c r="F1038" s="701"/>
      <c r="G1038" s="705">
        <v>3395</v>
      </c>
      <c r="H1038" s="705" t="str">
        <f t="shared" si="34"/>
        <v>3395</v>
      </c>
      <c r="I1038" s="705">
        <v>102</v>
      </c>
      <c r="J1038" s="701">
        <v>111.23</v>
      </c>
    </row>
    <row r="1039" spans="1:10" ht="12.75" x14ac:dyDescent="0.2">
      <c r="A1039" s="700">
        <v>3396</v>
      </c>
      <c r="B1039" s="700" t="str">
        <f t="shared" si="33"/>
        <v>3396</v>
      </c>
      <c r="C1039" s="700">
        <v>130</v>
      </c>
      <c r="D1039" s="701">
        <v>15.75</v>
      </c>
      <c r="E1039" s="701"/>
      <c r="F1039" s="701"/>
      <c r="G1039" s="705">
        <v>3395</v>
      </c>
      <c r="H1039" s="705" t="str">
        <f t="shared" si="34"/>
        <v>3395</v>
      </c>
      <c r="I1039" s="705">
        <v>111</v>
      </c>
      <c r="J1039" s="701">
        <v>12</v>
      </c>
    </row>
    <row r="1040" spans="1:10" ht="12.75" x14ac:dyDescent="0.2">
      <c r="A1040" s="700">
        <v>3396</v>
      </c>
      <c r="B1040" s="700" t="str">
        <f t="shared" si="33"/>
        <v>3396</v>
      </c>
      <c r="C1040" s="700">
        <v>300</v>
      </c>
      <c r="D1040" s="701">
        <v>21.93</v>
      </c>
      <c r="E1040" s="701"/>
      <c r="F1040" s="701"/>
      <c r="G1040" s="705">
        <v>3395</v>
      </c>
      <c r="H1040" s="705" t="str">
        <f t="shared" si="34"/>
        <v>3395</v>
      </c>
      <c r="I1040" s="705">
        <v>112</v>
      </c>
      <c r="J1040" s="701">
        <v>18.5</v>
      </c>
    </row>
    <row r="1041" spans="1:10" ht="12.75" x14ac:dyDescent="0.2">
      <c r="A1041" s="700">
        <v>3398</v>
      </c>
      <c r="B1041" s="700" t="str">
        <f t="shared" si="33"/>
        <v>3398</v>
      </c>
      <c r="C1041" s="700">
        <v>102</v>
      </c>
      <c r="D1041" s="701">
        <v>3</v>
      </c>
      <c r="E1041" s="701"/>
      <c r="F1041" s="701"/>
      <c r="G1041" s="705">
        <v>3395</v>
      </c>
      <c r="H1041" s="705" t="str">
        <f t="shared" si="34"/>
        <v>3395</v>
      </c>
      <c r="I1041" s="705">
        <v>130</v>
      </c>
      <c r="J1041" s="701">
        <v>62.54</v>
      </c>
    </row>
    <row r="1042" spans="1:10" ht="12.75" x14ac:dyDescent="0.2">
      <c r="A1042" s="700">
        <v>3398</v>
      </c>
      <c r="B1042" s="700" t="str">
        <f t="shared" si="33"/>
        <v>3398</v>
      </c>
      <c r="C1042" s="700">
        <v>103</v>
      </c>
      <c r="D1042" s="701">
        <v>32.659999999999997</v>
      </c>
      <c r="E1042" s="701"/>
      <c r="F1042" s="701"/>
      <c r="G1042" s="705">
        <v>3396</v>
      </c>
      <c r="H1042" s="705" t="str">
        <f t="shared" si="34"/>
        <v>3396</v>
      </c>
      <c r="I1042" s="705">
        <v>102</v>
      </c>
      <c r="J1042" s="701">
        <v>95.83</v>
      </c>
    </row>
    <row r="1043" spans="1:10" ht="12.75" x14ac:dyDescent="0.2">
      <c r="A1043" s="700">
        <v>3398</v>
      </c>
      <c r="B1043" s="700" t="str">
        <f t="shared" si="33"/>
        <v>3398</v>
      </c>
      <c r="C1043" s="700">
        <v>112</v>
      </c>
      <c r="D1043" s="701">
        <v>3</v>
      </c>
      <c r="E1043" s="701"/>
      <c r="F1043" s="701"/>
      <c r="G1043" s="705">
        <v>3396</v>
      </c>
      <c r="H1043" s="705" t="str">
        <f t="shared" si="34"/>
        <v>3396</v>
      </c>
      <c r="I1043" s="705">
        <v>103</v>
      </c>
      <c r="J1043" s="701">
        <v>168.27</v>
      </c>
    </row>
    <row r="1044" spans="1:10" ht="12.75" x14ac:dyDescent="0.2">
      <c r="A1044" s="700">
        <v>3398</v>
      </c>
      <c r="B1044" s="700" t="str">
        <f t="shared" si="33"/>
        <v>3398</v>
      </c>
      <c r="C1044" s="700">
        <v>113</v>
      </c>
      <c r="D1044" s="701">
        <v>9.5</v>
      </c>
      <c r="E1044" s="701"/>
      <c r="F1044" s="701"/>
      <c r="G1044" s="705">
        <v>3396</v>
      </c>
      <c r="H1044" s="705" t="str">
        <f t="shared" si="34"/>
        <v>3396</v>
      </c>
      <c r="I1044" s="705">
        <v>112</v>
      </c>
      <c r="J1044" s="701">
        <v>10.48</v>
      </c>
    </row>
    <row r="1045" spans="1:10" ht="12.75" x14ac:dyDescent="0.2">
      <c r="A1045" s="700">
        <v>3398</v>
      </c>
      <c r="B1045" s="700" t="str">
        <f t="shared" si="33"/>
        <v>3398</v>
      </c>
      <c r="C1045" s="700">
        <v>130</v>
      </c>
      <c r="D1045" s="701">
        <v>0.41</v>
      </c>
      <c r="E1045" s="701"/>
      <c r="F1045" s="701"/>
      <c r="G1045" s="705">
        <v>3396</v>
      </c>
      <c r="H1045" s="705" t="str">
        <f t="shared" si="34"/>
        <v>3396</v>
      </c>
      <c r="I1045" s="705">
        <v>113</v>
      </c>
      <c r="J1045" s="701">
        <v>33.880000000000003</v>
      </c>
    </row>
    <row r="1046" spans="1:10" ht="12.75" x14ac:dyDescent="0.2">
      <c r="A1046" s="700">
        <v>3398</v>
      </c>
      <c r="B1046" s="700" t="str">
        <f t="shared" si="33"/>
        <v>3398</v>
      </c>
      <c r="C1046" s="700">
        <v>300</v>
      </c>
      <c r="D1046" s="701">
        <v>1.74</v>
      </c>
      <c r="E1046" s="701"/>
      <c r="F1046" s="701"/>
      <c r="G1046" s="705">
        <v>3396</v>
      </c>
      <c r="H1046" s="705" t="str">
        <f t="shared" si="34"/>
        <v>3396</v>
      </c>
      <c r="I1046" s="705">
        <v>130</v>
      </c>
      <c r="J1046" s="701">
        <v>12.53</v>
      </c>
    </row>
    <row r="1047" spans="1:10" ht="12.75" x14ac:dyDescent="0.2">
      <c r="A1047" s="700">
        <v>3400</v>
      </c>
      <c r="B1047" s="700" t="str">
        <f t="shared" si="33"/>
        <v>3400</v>
      </c>
      <c r="C1047" s="700">
        <v>112</v>
      </c>
      <c r="D1047" s="701">
        <v>1.5</v>
      </c>
      <c r="E1047" s="701"/>
      <c r="F1047" s="701"/>
      <c r="G1047" s="705">
        <v>3396</v>
      </c>
      <c r="H1047" s="705" t="str">
        <f t="shared" si="34"/>
        <v>3396</v>
      </c>
      <c r="I1047" s="705">
        <v>300</v>
      </c>
      <c r="J1047" s="701">
        <v>22.26</v>
      </c>
    </row>
    <row r="1048" spans="1:10" ht="12.75" x14ac:dyDescent="0.2">
      <c r="A1048" s="700">
        <v>3400</v>
      </c>
      <c r="B1048" s="700" t="str">
        <f t="shared" si="33"/>
        <v>3400</v>
      </c>
      <c r="C1048" s="700">
        <v>113</v>
      </c>
      <c r="D1048" s="701">
        <v>44.56</v>
      </c>
      <c r="E1048" s="701"/>
      <c r="F1048" s="701"/>
      <c r="G1048" s="705">
        <v>3398</v>
      </c>
      <c r="H1048" s="705" t="str">
        <f t="shared" si="34"/>
        <v>3398</v>
      </c>
      <c r="I1048" s="705">
        <v>102</v>
      </c>
      <c r="J1048" s="701">
        <v>3.52</v>
      </c>
    </row>
    <row r="1049" spans="1:10" ht="12.75" x14ac:dyDescent="0.2">
      <c r="A1049" s="700">
        <v>3401</v>
      </c>
      <c r="B1049" s="700" t="str">
        <f t="shared" si="33"/>
        <v>3401</v>
      </c>
      <c r="C1049" s="700">
        <v>102</v>
      </c>
      <c r="D1049" s="701">
        <v>3.07</v>
      </c>
      <c r="E1049" s="701"/>
      <c r="F1049" s="701"/>
      <c r="G1049" s="705">
        <v>3398</v>
      </c>
      <c r="H1049" s="705" t="str">
        <f t="shared" si="34"/>
        <v>3398</v>
      </c>
      <c r="I1049" s="705">
        <v>103</v>
      </c>
      <c r="J1049" s="701">
        <v>33.68</v>
      </c>
    </row>
    <row r="1050" spans="1:10" ht="12.75" x14ac:dyDescent="0.2">
      <c r="A1050" s="700">
        <v>3401</v>
      </c>
      <c r="B1050" s="700" t="str">
        <f t="shared" si="33"/>
        <v>3401</v>
      </c>
      <c r="C1050" s="700">
        <v>103</v>
      </c>
      <c r="D1050" s="701">
        <v>136.46</v>
      </c>
      <c r="E1050" s="701"/>
      <c r="F1050" s="701"/>
      <c r="G1050" s="705">
        <v>3398</v>
      </c>
      <c r="H1050" s="705" t="str">
        <f t="shared" si="34"/>
        <v>3398</v>
      </c>
      <c r="I1050" s="705">
        <v>112</v>
      </c>
      <c r="J1050" s="701">
        <v>2.5</v>
      </c>
    </row>
    <row r="1051" spans="1:10" ht="12.75" x14ac:dyDescent="0.2">
      <c r="A1051" s="700">
        <v>3401</v>
      </c>
      <c r="B1051" s="700" t="str">
        <f t="shared" si="33"/>
        <v>3401</v>
      </c>
      <c r="C1051" s="700">
        <v>112</v>
      </c>
      <c r="D1051" s="701">
        <v>4</v>
      </c>
      <c r="E1051" s="701"/>
      <c r="F1051" s="701"/>
      <c r="G1051" s="705">
        <v>3398</v>
      </c>
      <c r="H1051" s="705" t="str">
        <f t="shared" si="34"/>
        <v>3398</v>
      </c>
      <c r="I1051" s="705">
        <v>113</v>
      </c>
      <c r="J1051" s="701">
        <v>9.35</v>
      </c>
    </row>
    <row r="1052" spans="1:10" ht="12.75" x14ac:dyDescent="0.2">
      <c r="A1052" s="700">
        <v>3401</v>
      </c>
      <c r="B1052" s="700" t="str">
        <f t="shared" si="33"/>
        <v>3401</v>
      </c>
      <c r="C1052" s="700">
        <v>113</v>
      </c>
      <c r="D1052" s="701">
        <v>36.18</v>
      </c>
      <c r="E1052" s="701"/>
      <c r="F1052" s="701"/>
      <c r="G1052" s="705">
        <v>3398</v>
      </c>
      <c r="H1052" s="705" t="str">
        <f t="shared" si="34"/>
        <v>3398</v>
      </c>
      <c r="I1052" s="705">
        <v>130</v>
      </c>
      <c r="J1052" s="701">
        <v>0.41</v>
      </c>
    </row>
    <row r="1053" spans="1:10" ht="12.75" x14ac:dyDescent="0.2">
      <c r="A1053" s="700">
        <v>3401</v>
      </c>
      <c r="B1053" s="700" t="str">
        <f t="shared" si="33"/>
        <v>3401</v>
      </c>
      <c r="C1053" s="700">
        <v>130</v>
      </c>
      <c r="D1053" s="701">
        <v>12.2</v>
      </c>
      <c r="E1053" s="701"/>
      <c r="F1053" s="701"/>
      <c r="G1053" s="705">
        <v>3398</v>
      </c>
      <c r="H1053" s="705" t="str">
        <f t="shared" si="34"/>
        <v>3398</v>
      </c>
      <c r="I1053" s="705">
        <v>300</v>
      </c>
      <c r="J1053" s="701">
        <v>2.5499999999999998</v>
      </c>
    </row>
    <row r="1054" spans="1:10" ht="12.75" x14ac:dyDescent="0.2">
      <c r="A1054" s="700">
        <v>3401</v>
      </c>
      <c r="B1054" s="700" t="str">
        <f t="shared" si="33"/>
        <v>3401</v>
      </c>
      <c r="C1054" s="700">
        <v>300</v>
      </c>
      <c r="D1054" s="701">
        <v>1.99</v>
      </c>
      <c r="E1054" s="701"/>
      <c r="F1054" s="701"/>
      <c r="G1054" s="705">
        <v>3400</v>
      </c>
      <c r="H1054" s="705" t="str">
        <f t="shared" si="34"/>
        <v>3400</v>
      </c>
      <c r="I1054" s="705">
        <v>112</v>
      </c>
      <c r="J1054" s="701">
        <v>1</v>
      </c>
    </row>
    <row r="1055" spans="1:10" ht="12.75" x14ac:dyDescent="0.2">
      <c r="A1055" s="700">
        <v>3413</v>
      </c>
      <c r="B1055" s="700" t="str">
        <f t="shared" si="33"/>
        <v>3413</v>
      </c>
      <c r="C1055" s="700">
        <v>101</v>
      </c>
      <c r="D1055" s="701">
        <v>96.41</v>
      </c>
      <c r="E1055" s="701"/>
      <c r="F1055" s="701"/>
      <c r="G1055" s="705">
        <v>3400</v>
      </c>
      <c r="H1055" s="705" t="str">
        <f t="shared" si="34"/>
        <v>3400</v>
      </c>
      <c r="I1055" s="705">
        <v>113</v>
      </c>
      <c r="J1055" s="701">
        <v>44.12</v>
      </c>
    </row>
    <row r="1056" spans="1:10" ht="12.75" x14ac:dyDescent="0.2">
      <c r="A1056" s="700">
        <v>3413</v>
      </c>
      <c r="B1056" s="700" t="str">
        <f t="shared" si="33"/>
        <v>3413</v>
      </c>
      <c r="C1056" s="700">
        <v>102</v>
      </c>
      <c r="D1056" s="701">
        <v>44.8</v>
      </c>
      <c r="E1056" s="701"/>
      <c r="F1056" s="701"/>
      <c r="G1056" s="705">
        <v>3401</v>
      </c>
      <c r="H1056" s="705" t="str">
        <f t="shared" si="34"/>
        <v>3401</v>
      </c>
      <c r="I1056" s="705">
        <v>102</v>
      </c>
      <c r="J1056" s="701">
        <v>4.05</v>
      </c>
    </row>
    <row r="1057" spans="1:10" ht="12.75" x14ac:dyDescent="0.2">
      <c r="A1057" s="700">
        <v>3413</v>
      </c>
      <c r="B1057" s="700" t="str">
        <f t="shared" si="33"/>
        <v>3413</v>
      </c>
      <c r="C1057" s="700">
        <v>111</v>
      </c>
      <c r="D1057" s="701">
        <v>22.5</v>
      </c>
      <c r="E1057" s="701"/>
      <c r="F1057" s="701"/>
      <c r="G1057" s="705">
        <v>3401</v>
      </c>
      <c r="H1057" s="705" t="str">
        <f t="shared" si="34"/>
        <v>3401</v>
      </c>
      <c r="I1057" s="705">
        <v>103</v>
      </c>
      <c r="J1057" s="701">
        <v>142.19</v>
      </c>
    </row>
    <row r="1058" spans="1:10" ht="12.75" x14ac:dyDescent="0.2">
      <c r="A1058" s="700">
        <v>3413</v>
      </c>
      <c r="B1058" s="700" t="str">
        <f t="shared" si="33"/>
        <v>3413</v>
      </c>
      <c r="C1058" s="700">
        <v>112</v>
      </c>
      <c r="D1058" s="701">
        <v>18</v>
      </c>
      <c r="E1058" s="701"/>
      <c r="F1058" s="701"/>
      <c r="G1058" s="705">
        <v>3401</v>
      </c>
      <c r="H1058" s="705" t="str">
        <f t="shared" si="34"/>
        <v>3401</v>
      </c>
      <c r="I1058" s="705">
        <v>112</v>
      </c>
      <c r="J1058" s="701">
        <v>2.94</v>
      </c>
    </row>
    <row r="1059" spans="1:10" ht="12.75" x14ac:dyDescent="0.2">
      <c r="A1059" s="700">
        <v>3413</v>
      </c>
      <c r="B1059" s="700" t="str">
        <f t="shared" si="33"/>
        <v>3413</v>
      </c>
      <c r="C1059" s="700">
        <v>130</v>
      </c>
      <c r="D1059" s="701">
        <v>14.11</v>
      </c>
      <c r="E1059" s="701"/>
      <c r="F1059" s="701"/>
      <c r="G1059" s="705">
        <v>3401</v>
      </c>
      <c r="H1059" s="705" t="str">
        <f t="shared" si="34"/>
        <v>3401</v>
      </c>
      <c r="I1059" s="705">
        <v>113</v>
      </c>
      <c r="J1059" s="701">
        <v>37.35</v>
      </c>
    </row>
    <row r="1060" spans="1:10" ht="12.75" x14ac:dyDescent="0.2">
      <c r="A1060" s="700">
        <v>3421</v>
      </c>
      <c r="B1060" s="700" t="str">
        <f t="shared" si="33"/>
        <v>3421</v>
      </c>
      <c r="C1060" s="700">
        <v>102</v>
      </c>
      <c r="D1060" s="701">
        <v>2.5</v>
      </c>
      <c r="E1060" s="701"/>
      <c r="F1060" s="701"/>
      <c r="G1060" s="705">
        <v>3401</v>
      </c>
      <c r="H1060" s="705" t="str">
        <f t="shared" si="34"/>
        <v>3401</v>
      </c>
      <c r="I1060" s="705">
        <v>130</v>
      </c>
      <c r="J1060" s="701">
        <v>12.3</v>
      </c>
    </row>
    <row r="1061" spans="1:10" ht="12.75" x14ac:dyDescent="0.2">
      <c r="A1061" s="700">
        <v>3421</v>
      </c>
      <c r="B1061" s="700" t="str">
        <f t="shared" si="33"/>
        <v>3421</v>
      </c>
      <c r="C1061" s="700">
        <v>103</v>
      </c>
      <c r="D1061" s="701">
        <v>219.86</v>
      </c>
      <c r="E1061" s="701"/>
      <c r="F1061" s="701"/>
      <c r="G1061" s="705">
        <v>3401</v>
      </c>
      <c r="H1061" s="705" t="str">
        <f t="shared" si="34"/>
        <v>3401</v>
      </c>
      <c r="I1061" s="705">
        <v>300</v>
      </c>
      <c r="J1061" s="701">
        <v>2.68</v>
      </c>
    </row>
    <row r="1062" spans="1:10" ht="12.75" x14ac:dyDescent="0.2">
      <c r="A1062" s="700">
        <v>3421</v>
      </c>
      <c r="B1062" s="700" t="str">
        <f t="shared" si="33"/>
        <v>3421</v>
      </c>
      <c r="C1062" s="700">
        <v>112</v>
      </c>
      <c r="D1062" s="701">
        <v>1</v>
      </c>
      <c r="E1062" s="701"/>
      <c r="F1062" s="701"/>
      <c r="G1062" s="705">
        <v>3413</v>
      </c>
      <c r="H1062" s="705" t="str">
        <f t="shared" si="34"/>
        <v>3413</v>
      </c>
      <c r="I1062" s="705">
        <v>101</v>
      </c>
      <c r="J1062" s="701">
        <v>91.51</v>
      </c>
    </row>
    <row r="1063" spans="1:10" ht="12.75" x14ac:dyDescent="0.2">
      <c r="A1063" s="700">
        <v>3421</v>
      </c>
      <c r="B1063" s="700" t="str">
        <f t="shared" si="33"/>
        <v>3421</v>
      </c>
      <c r="C1063" s="700">
        <v>113</v>
      </c>
      <c r="D1063" s="701">
        <v>48.82</v>
      </c>
      <c r="E1063" s="701"/>
      <c r="F1063" s="701"/>
      <c r="G1063" s="705">
        <v>3413</v>
      </c>
      <c r="H1063" s="705" t="str">
        <f t="shared" si="34"/>
        <v>3413</v>
      </c>
      <c r="I1063" s="705">
        <v>102</v>
      </c>
      <c r="J1063" s="701">
        <v>44.97</v>
      </c>
    </row>
    <row r="1064" spans="1:10" ht="12.75" x14ac:dyDescent="0.2">
      <c r="A1064" s="700">
        <v>3421</v>
      </c>
      <c r="B1064" s="700" t="str">
        <f t="shared" si="33"/>
        <v>3421</v>
      </c>
      <c r="C1064" s="700">
        <v>130</v>
      </c>
      <c r="D1064" s="701">
        <v>5.07</v>
      </c>
      <c r="E1064" s="701"/>
      <c r="F1064" s="701"/>
      <c r="G1064" s="705">
        <v>3413</v>
      </c>
      <c r="H1064" s="705" t="str">
        <f t="shared" si="34"/>
        <v>3413</v>
      </c>
      <c r="I1064" s="705">
        <v>111</v>
      </c>
      <c r="J1064" s="701">
        <v>27</v>
      </c>
    </row>
    <row r="1065" spans="1:10" ht="12.75" x14ac:dyDescent="0.2">
      <c r="A1065" s="700">
        <v>3421</v>
      </c>
      <c r="B1065" s="700" t="str">
        <f t="shared" si="33"/>
        <v>3421</v>
      </c>
      <c r="C1065" s="700">
        <v>300</v>
      </c>
      <c r="D1065" s="701">
        <v>4.55</v>
      </c>
      <c r="E1065" s="701"/>
      <c r="F1065" s="701"/>
      <c r="G1065" s="705">
        <v>3413</v>
      </c>
      <c r="H1065" s="705" t="str">
        <f t="shared" si="34"/>
        <v>3413</v>
      </c>
      <c r="I1065" s="705">
        <v>112</v>
      </c>
      <c r="J1065" s="701">
        <v>18</v>
      </c>
    </row>
    <row r="1066" spans="1:10" ht="12.75" x14ac:dyDescent="0.2">
      <c r="A1066" s="700">
        <v>3431</v>
      </c>
      <c r="B1066" s="700" t="str">
        <f t="shared" si="33"/>
        <v>3431</v>
      </c>
      <c r="C1066" s="700">
        <v>101</v>
      </c>
      <c r="D1066" s="701">
        <v>185.44</v>
      </c>
      <c r="E1066" s="701"/>
      <c r="F1066" s="701"/>
      <c r="G1066" s="705">
        <v>3413</v>
      </c>
      <c r="H1066" s="705" t="str">
        <f t="shared" si="34"/>
        <v>3413</v>
      </c>
      <c r="I1066" s="705">
        <v>130</v>
      </c>
      <c r="J1066" s="701">
        <v>14.52</v>
      </c>
    </row>
    <row r="1067" spans="1:10" ht="12.75" x14ac:dyDescent="0.2">
      <c r="A1067" s="700">
        <v>3431</v>
      </c>
      <c r="B1067" s="700" t="str">
        <f t="shared" si="33"/>
        <v>3431</v>
      </c>
      <c r="C1067" s="700">
        <v>102</v>
      </c>
      <c r="D1067" s="701">
        <v>207.99</v>
      </c>
      <c r="E1067" s="701"/>
      <c r="F1067" s="701"/>
      <c r="G1067" s="705">
        <v>3421</v>
      </c>
      <c r="H1067" s="705" t="str">
        <f t="shared" si="34"/>
        <v>3421</v>
      </c>
      <c r="I1067" s="705">
        <v>102</v>
      </c>
      <c r="J1067" s="701">
        <v>5.28</v>
      </c>
    </row>
    <row r="1068" spans="1:10" ht="12.75" x14ac:dyDescent="0.2">
      <c r="A1068" s="700">
        <v>3431</v>
      </c>
      <c r="B1068" s="700" t="str">
        <f t="shared" si="33"/>
        <v>3431</v>
      </c>
      <c r="C1068" s="700">
        <v>111</v>
      </c>
      <c r="D1068" s="701">
        <v>26.5</v>
      </c>
      <c r="E1068" s="701"/>
      <c r="F1068" s="701"/>
      <c r="G1068" s="705">
        <v>3421</v>
      </c>
      <c r="H1068" s="705" t="str">
        <f t="shared" si="34"/>
        <v>3421</v>
      </c>
      <c r="I1068" s="705">
        <v>103</v>
      </c>
      <c r="J1068" s="701">
        <v>231.05</v>
      </c>
    </row>
    <row r="1069" spans="1:10" ht="12.75" x14ac:dyDescent="0.2">
      <c r="A1069" s="700">
        <v>3431</v>
      </c>
      <c r="B1069" s="700" t="str">
        <f t="shared" si="33"/>
        <v>3431</v>
      </c>
      <c r="C1069" s="700">
        <v>112</v>
      </c>
      <c r="D1069" s="701">
        <v>42.5</v>
      </c>
      <c r="E1069" s="701"/>
      <c r="F1069" s="701"/>
      <c r="G1069" s="705">
        <v>3421</v>
      </c>
      <c r="H1069" s="706" t="str">
        <f t="shared" si="34"/>
        <v>3421</v>
      </c>
      <c r="I1069" s="706">
        <v>112</v>
      </c>
      <c r="J1069" s="707">
        <v>1.45</v>
      </c>
    </row>
    <row r="1070" spans="1:10" ht="12.75" x14ac:dyDescent="0.2">
      <c r="A1070" s="700">
        <v>3431</v>
      </c>
      <c r="B1070" s="700" t="str">
        <f t="shared" si="33"/>
        <v>3431</v>
      </c>
      <c r="C1070" s="700">
        <v>130</v>
      </c>
      <c r="D1070" s="701">
        <v>39.35</v>
      </c>
      <c r="E1070" s="701"/>
      <c r="F1070" s="701"/>
      <c r="G1070" s="705">
        <v>3421</v>
      </c>
      <c r="H1070" s="705" t="str">
        <f t="shared" si="34"/>
        <v>3421</v>
      </c>
      <c r="I1070" s="705">
        <v>113</v>
      </c>
      <c r="J1070" s="701">
        <v>58.65</v>
      </c>
    </row>
    <row r="1071" spans="1:10" ht="12.75" x14ac:dyDescent="0.2">
      <c r="A1071" s="700">
        <v>3441</v>
      </c>
      <c r="B1071" s="700" t="str">
        <f t="shared" si="33"/>
        <v>3441</v>
      </c>
      <c r="C1071" s="700">
        <v>102</v>
      </c>
      <c r="D1071" s="701">
        <v>217.66</v>
      </c>
      <c r="E1071" s="701"/>
      <c r="F1071" s="701"/>
      <c r="G1071" s="705">
        <v>3421</v>
      </c>
      <c r="H1071" s="705" t="str">
        <f t="shared" si="34"/>
        <v>3421</v>
      </c>
      <c r="I1071" s="705">
        <v>130</v>
      </c>
      <c r="J1071" s="701">
        <v>16.649999999999999</v>
      </c>
    </row>
    <row r="1072" spans="1:10" ht="12.75" x14ac:dyDescent="0.2">
      <c r="A1072" s="700">
        <v>3441</v>
      </c>
      <c r="B1072" s="700" t="str">
        <f t="shared" si="33"/>
        <v>3441</v>
      </c>
      <c r="C1072" s="700">
        <v>112</v>
      </c>
      <c r="D1072" s="701">
        <v>36.01</v>
      </c>
      <c r="E1072" s="701"/>
      <c r="F1072" s="701"/>
      <c r="G1072" s="705">
        <v>3421</v>
      </c>
      <c r="H1072" s="705" t="str">
        <f t="shared" si="34"/>
        <v>3421</v>
      </c>
      <c r="I1072" s="705">
        <v>300</v>
      </c>
      <c r="J1072" s="701">
        <v>2.58</v>
      </c>
    </row>
    <row r="1073" spans="1:10" ht="12.75" x14ac:dyDescent="0.2">
      <c r="A1073" s="700">
        <v>3441</v>
      </c>
      <c r="B1073" s="700" t="str">
        <f t="shared" si="33"/>
        <v>3441</v>
      </c>
      <c r="C1073" s="700">
        <v>130</v>
      </c>
      <c r="D1073" s="701">
        <v>8.24</v>
      </c>
      <c r="E1073" s="701"/>
      <c r="F1073" s="701"/>
      <c r="G1073" s="705">
        <v>3431</v>
      </c>
      <c r="H1073" s="705" t="str">
        <f t="shared" si="34"/>
        <v>3431</v>
      </c>
      <c r="I1073" s="705">
        <v>101</v>
      </c>
      <c r="J1073" s="701">
        <v>179.55</v>
      </c>
    </row>
    <row r="1074" spans="1:10" ht="12.75" x14ac:dyDescent="0.2">
      <c r="A1074" s="700">
        <v>3861</v>
      </c>
      <c r="B1074" s="700" t="str">
        <f t="shared" si="33"/>
        <v>3861</v>
      </c>
      <c r="C1074" s="700">
        <v>103</v>
      </c>
      <c r="D1074" s="701">
        <v>791.48</v>
      </c>
      <c r="E1074" s="701"/>
      <c r="F1074" s="701"/>
      <c r="G1074" s="705">
        <v>3431</v>
      </c>
      <c r="H1074" s="705" t="str">
        <f t="shared" si="34"/>
        <v>3431</v>
      </c>
      <c r="I1074" s="705">
        <v>102</v>
      </c>
      <c r="J1074" s="701">
        <v>203.47</v>
      </c>
    </row>
    <row r="1075" spans="1:10" ht="12.75" x14ac:dyDescent="0.2">
      <c r="A1075" s="700">
        <v>3861</v>
      </c>
      <c r="B1075" s="700" t="str">
        <f t="shared" si="33"/>
        <v>3861</v>
      </c>
      <c r="C1075" s="700">
        <v>113</v>
      </c>
      <c r="D1075" s="701">
        <v>187.97</v>
      </c>
      <c r="E1075" s="701"/>
      <c r="F1075" s="701"/>
      <c r="G1075" s="705">
        <v>3431</v>
      </c>
      <c r="H1075" s="705" t="str">
        <f t="shared" si="34"/>
        <v>3431</v>
      </c>
      <c r="I1075" s="705">
        <v>111</v>
      </c>
      <c r="J1075" s="701">
        <v>32</v>
      </c>
    </row>
    <row r="1076" spans="1:10" ht="12.75" x14ac:dyDescent="0.2">
      <c r="A1076" s="700">
        <v>3861</v>
      </c>
      <c r="B1076" s="700" t="str">
        <f t="shared" si="33"/>
        <v>3861</v>
      </c>
      <c r="C1076" s="700">
        <v>130</v>
      </c>
      <c r="D1076" s="701">
        <v>30.92</v>
      </c>
      <c r="E1076" s="701"/>
      <c r="F1076" s="701"/>
      <c r="G1076" s="705">
        <v>3431</v>
      </c>
      <c r="H1076" s="705" t="str">
        <f t="shared" si="34"/>
        <v>3431</v>
      </c>
      <c r="I1076" s="705">
        <v>112</v>
      </c>
      <c r="J1076" s="701">
        <v>42.48</v>
      </c>
    </row>
    <row r="1077" spans="1:10" ht="12.75" x14ac:dyDescent="0.2">
      <c r="A1077" s="700">
        <v>3861</v>
      </c>
      <c r="B1077" s="700" t="str">
        <f t="shared" si="33"/>
        <v>3861</v>
      </c>
      <c r="C1077" s="700">
        <v>254</v>
      </c>
      <c r="D1077" s="701">
        <v>1</v>
      </c>
      <c r="E1077" s="701"/>
      <c r="F1077" s="701"/>
      <c r="G1077" s="705">
        <v>3431</v>
      </c>
      <c r="H1077" s="705" t="str">
        <f t="shared" si="34"/>
        <v>3431</v>
      </c>
      <c r="I1077" s="705">
        <v>130</v>
      </c>
      <c r="J1077" s="701">
        <v>38.11</v>
      </c>
    </row>
    <row r="1078" spans="1:10" ht="12.75" x14ac:dyDescent="0.2">
      <c r="A1078" s="700">
        <v>3861</v>
      </c>
      <c r="B1078" s="700" t="str">
        <f t="shared" si="33"/>
        <v>3861</v>
      </c>
      <c r="C1078" s="700">
        <v>255</v>
      </c>
      <c r="D1078" s="701">
        <v>1</v>
      </c>
      <c r="E1078" s="701"/>
      <c r="F1078" s="701"/>
      <c r="G1078" s="705">
        <v>3441</v>
      </c>
      <c r="H1078" s="705" t="str">
        <f t="shared" si="34"/>
        <v>3441</v>
      </c>
      <c r="I1078" s="705">
        <v>102</v>
      </c>
      <c r="J1078" s="701">
        <v>217.62</v>
      </c>
    </row>
    <row r="1079" spans="1:10" ht="12.75" x14ac:dyDescent="0.2">
      <c r="A1079" s="700">
        <v>3861</v>
      </c>
      <c r="B1079" s="700" t="str">
        <f t="shared" si="33"/>
        <v>3861</v>
      </c>
      <c r="C1079" s="700">
        <v>300</v>
      </c>
      <c r="D1079" s="701">
        <v>80.81</v>
      </c>
      <c r="E1079" s="701"/>
      <c r="F1079" s="701"/>
      <c r="G1079" s="705">
        <v>3441</v>
      </c>
      <c r="H1079" s="705" t="str">
        <f t="shared" si="34"/>
        <v>3441</v>
      </c>
      <c r="I1079" s="705">
        <v>112</v>
      </c>
      <c r="J1079" s="701">
        <v>35</v>
      </c>
    </row>
    <row r="1080" spans="1:10" ht="12.75" x14ac:dyDescent="0.2">
      <c r="A1080" s="700">
        <v>3900</v>
      </c>
      <c r="B1080" s="700" t="str">
        <f t="shared" si="33"/>
        <v>3900</v>
      </c>
      <c r="C1080" s="700">
        <v>101</v>
      </c>
      <c r="D1080" s="701">
        <v>3388.25</v>
      </c>
      <c r="E1080" s="701"/>
      <c r="F1080" s="701"/>
      <c r="G1080" s="705">
        <v>3441</v>
      </c>
      <c r="H1080" s="705" t="str">
        <f t="shared" si="34"/>
        <v>3441</v>
      </c>
      <c r="I1080" s="705">
        <v>130</v>
      </c>
      <c r="J1080" s="701">
        <v>8.25</v>
      </c>
    </row>
    <row r="1081" spans="1:10" ht="12.75" x14ac:dyDescent="0.2">
      <c r="A1081" s="700">
        <v>3900</v>
      </c>
      <c r="B1081" s="700" t="str">
        <f t="shared" si="33"/>
        <v>3900</v>
      </c>
      <c r="C1081" s="700">
        <v>102</v>
      </c>
      <c r="D1081" s="701">
        <v>3831.25</v>
      </c>
      <c r="E1081" s="701"/>
      <c r="F1081" s="701"/>
      <c r="G1081" s="705">
        <v>3861</v>
      </c>
      <c r="H1081" s="705" t="str">
        <f t="shared" si="34"/>
        <v>3861</v>
      </c>
      <c r="I1081" s="705">
        <v>103</v>
      </c>
      <c r="J1081" s="701">
        <v>770.39</v>
      </c>
    </row>
    <row r="1082" spans="1:10" ht="12.75" x14ac:dyDescent="0.2">
      <c r="A1082" s="700">
        <v>3900</v>
      </c>
      <c r="B1082" s="700" t="str">
        <f t="shared" si="33"/>
        <v>3900</v>
      </c>
      <c r="C1082" s="700">
        <v>103</v>
      </c>
      <c r="D1082" s="701">
        <v>2586.5</v>
      </c>
      <c r="E1082" s="701"/>
      <c r="F1082" s="701"/>
      <c r="G1082" s="705">
        <v>3861</v>
      </c>
      <c r="H1082" s="705" t="str">
        <f t="shared" si="34"/>
        <v>3861</v>
      </c>
      <c r="I1082" s="705">
        <v>113</v>
      </c>
      <c r="J1082" s="701">
        <v>176.31</v>
      </c>
    </row>
    <row r="1083" spans="1:10" ht="12.75" x14ac:dyDescent="0.2">
      <c r="A1083" s="700">
        <v>3900</v>
      </c>
      <c r="B1083" s="700" t="str">
        <f t="shared" si="33"/>
        <v>3900</v>
      </c>
      <c r="C1083" s="700">
        <v>111</v>
      </c>
      <c r="D1083" s="701">
        <v>2063.25</v>
      </c>
      <c r="E1083" s="701"/>
      <c r="F1083" s="701"/>
      <c r="G1083" s="705">
        <v>3861</v>
      </c>
      <c r="H1083" s="705" t="str">
        <f t="shared" si="34"/>
        <v>3861</v>
      </c>
      <c r="I1083" s="705">
        <v>130</v>
      </c>
      <c r="J1083" s="701">
        <v>29.05</v>
      </c>
    </row>
    <row r="1084" spans="1:10" ht="12.75" x14ac:dyDescent="0.2">
      <c r="A1084" s="700">
        <v>3900</v>
      </c>
      <c r="B1084" s="700" t="str">
        <f t="shared" si="33"/>
        <v>3900</v>
      </c>
      <c r="C1084" s="700">
        <v>112</v>
      </c>
      <c r="D1084" s="701">
        <v>1447.25</v>
      </c>
      <c r="E1084" s="701"/>
      <c r="F1084" s="701"/>
      <c r="G1084" s="705">
        <v>3861</v>
      </c>
      <c r="H1084" s="705" t="str">
        <f t="shared" si="34"/>
        <v>3861</v>
      </c>
      <c r="I1084" s="705">
        <v>254</v>
      </c>
      <c r="J1084" s="701">
        <v>1</v>
      </c>
    </row>
    <row r="1085" spans="1:10" ht="12.75" x14ac:dyDescent="0.2">
      <c r="A1085" s="700">
        <v>3900</v>
      </c>
      <c r="B1085" s="700" t="str">
        <f t="shared" si="33"/>
        <v>3900</v>
      </c>
      <c r="C1085" s="700">
        <v>113</v>
      </c>
      <c r="D1085" s="701">
        <v>1021</v>
      </c>
      <c r="E1085" s="701"/>
      <c r="F1085" s="701"/>
      <c r="G1085" s="705">
        <v>3861</v>
      </c>
      <c r="H1085" s="705" t="str">
        <f t="shared" si="34"/>
        <v>3861</v>
      </c>
      <c r="I1085" s="705">
        <v>255</v>
      </c>
      <c r="J1085" s="701">
        <v>1</v>
      </c>
    </row>
    <row r="1086" spans="1:10" ht="12.75" x14ac:dyDescent="0.2">
      <c r="A1086" s="700">
        <v>3900</v>
      </c>
      <c r="B1086" s="700" t="str">
        <f t="shared" si="33"/>
        <v>3900</v>
      </c>
      <c r="C1086" s="700">
        <v>254</v>
      </c>
      <c r="D1086" s="701">
        <v>64</v>
      </c>
      <c r="E1086" s="701"/>
      <c r="F1086" s="701"/>
      <c r="G1086" s="705">
        <v>3861</v>
      </c>
      <c r="H1086" s="705" t="str">
        <f t="shared" si="34"/>
        <v>3861</v>
      </c>
      <c r="I1086" s="705">
        <v>300</v>
      </c>
      <c r="J1086" s="701">
        <v>78.36</v>
      </c>
    </row>
    <row r="1087" spans="1:10" ht="12.75" x14ac:dyDescent="0.2">
      <c r="A1087" s="700">
        <v>3900</v>
      </c>
      <c r="B1087" s="700" t="str">
        <f t="shared" si="33"/>
        <v>3900</v>
      </c>
      <c r="C1087" s="700">
        <v>255</v>
      </c>
      <c r="D1087" s="701">
        <v>36.5</v>
      </c>
      <c r="E1087" s="701"/>
      <c r="F1087" s="701"/>
      <c r="G1087" s="705">
        <v>3900</v>
      </c>
      <c r="H1087" s="705" t="str">
        <f t="shared" si="34"/>
        <v>3900</v>
      </c>
      <c r="I1087" s="705">
        <v>101</v>
      </c>
      <c r="J1087" s="701">
        <v>1710</v>
      </c>
    </row>
    <row r="1088" spans="1:10" ht="12.75" x14ac:dyDescent="0.2">
      <c r="A1088" s="700">
        <v>3924</v>
      </c>
      <c r="B1088" s="700" t="str">
        <f t="shared" si="33"/>
        <v>3924</v>
      </c>
      <c r="C1088" s="700">
        <v>102</v>
      </c>
      <c r="D1088" s="701">
        <v>95.58</v>
      </c>
      <c r="E1088" s="701"/>
      <c r="F1088" s="701"/>
      <c r="G1088" s="705">
        <v>3900</v>
      </c>
      <c r="H1088" s="705" t="str">
        <f t="shared" si="34"/>
        <v>3900</v>
      </c>
      <c r="I1088" s="705">
        <v>102</v>
      </c>
      <c r="J1088" s="701">
        <v>1944</v>
      </c>
    </row>
    <row r="1089" spans="1:10" ht="12.75" x14ac:dyDescent="0.2">
      <c r="A1089" s="700">
        <v>3924</v>
      </c>
      <c r="B1089" s="700" t="str">
        <f t="shared" si="33"/>
        <v>3924</v>
      </c>
      <c r="C1089" s="700">
        <v>103</v>
      </c>
      <c r="D1089" s="701">
        <v>55.36</v>
      </c>
      <c r="E1089" s="701"/>
      <c r="F1089" s="701"/>
      <c r="G1089" s="705">
        <v>3900</v>
      </c>
      <c r="H1089" s="705" t="str">
        <f t="shared" si="34"/>
        <v>3900</v>
      </c>
      <c r="I1089" s="705">
        <v>103</v>
      </c>
      <c r="J1089" s="701">
        <v>1317.75</v>
      </c>
    </row>
    <row r="1090" spans="1:10" ht="12.75" x14ac:dyDescent="0.2">
      <c r="A1090" s="700">
        <v>3924</v>
      </c>
      <c r="B1090" s="700" t="str">
        <f t="shared" ref="B1090:B1153" si="35">TEXT(A1090,"0000")</f>
        <v>3924</v>
      </c>
      <c r="C1090" s="700">
        <v>112</v>
      </c>
      <c r="D1090" s="701">
        <v>27.52</v>
      </c>
      <c r="E1090" s="701"/>
      <c r="F1090" s="701"/>
      <c r="G1090" s="705">
        <v>3900</v>
      </c>
      <c r="H1090" s="705" t="str">
        <f t="shared" si="34"/>
        <v>3900</v>
      </c>
      <c r="I1090" s="705">
        <v>111</v>
      </c>
      <c r="J1090" s="701">
        <v>1099</v>
      </c>
    </row>
    <row r="1091" spans="1:10" ht="12.75" x14ac:dyDescent="0.2">
      <c r="A1091" s="700">
        <v>3924</v>
      </c>
      <c r="B1091" s="700" t="str">
        <f t="shared" si="35"/>
        <v>3924</v>
      </c>
      <c r="C1091" s="700">
        <v>113</v>
      </c>
      <c r="D1091" s="701">
        <v>11.54</v>
      </c>
      <c r="E1091" s="701"/>
      <c r="F1091" s="701"/>
      <c r="G1091" s="705">
        <v>3900</v>
      </c>
      <c r="H1091" s="705" t="str">
        <f t="shared" ref="H1091:H1154" si="36">TEXT(G1091,"0000")</f>
        <v>3900</v>
      </c>
      <c r="I1091" s="705">
        <v>112</v>
      </c>
      <c r="J1091" s="701">
        <v>728.75</v>
      </c>
    </row>
    <row r="1092" spans="1:10" ht="12.75" x14ac:dyDescent="0.2">
      <c r="A1092" s="700">
        <v>3924</v>
      </c>
      <c r="B1092" s="700" t="str">
        <f t="shared" si="35"/>
        <v>3924</v>
      </c>
      <c r="C1092" s="700">
        <v>130</v>
      </c>
      <c r="D1092" s="701">
        <v>14.37</v>
      </c>
      <c r="E1092" s="701"/>
      <c r="F1092" s="701"/>
      <c r="G1092" s="705">
        <v>3900</v>
      </c>
      <c r="H1092" s="705" t="str">
        <f t="shared" si="36"/>
        <v>3900</v>
      </c>
      <c r="I1092" s="705">
        <v>113</v>
      </c>
      <c r="J1092" s="701">
        <v>508.5</v>
      </c>
    </row>
    <row r="1093" spans="1:10" ht="12.75" x14ac:dyDescent="0.2">
      <c r="A1093" s="700">
        <v>3924</v>
      </c>
      <c r="B1093" s="700" t="str">
        <f t="shared" si="35"/>
        <v>3924</v>
      </c>
      <c r="C1093" s="700">
        <v>300</v>
      </c>
      <c r="D1093" s="701">
        <v>0.78</v>
      </c>
      <c r="E1093" s="701"/>
      <c r="F1093" s="701"/>
      <c r="G1093" s="705">
        <v>3900</v>
      </c>
      <c r="H1093" s="705" t="str">
        <f t="shared" si="36"/>
        <v>3900</v>
      </c>
      <c r="I1093" s="705">
        <v>254</v>
      </c>
      <c r="J1093" s="701">
        <v>31.25</v>
      </c>
    </row>
    <row r="1094" spans="1:10" ht="12.75" x14ac:dyDescent="0.2">
      <c r="A1094" s="700">
        <v>3931</v>
      </c>
      <c r="B1094" s="700" t="str">
        <f t="shared" si="35"/>
        <v>3931</v>
      </c>
      <c r="C1094" s="700">
        <v>103</v>
      </c>
      <c r="D1094" s="701">
        <v>1.5</v>
      </c>
      <c r="E1094" s="701"/>
      <c r="F1094" s="701"/>
      <c r="G1094" s="705">
        <v>3900</v>
      </c>
      <c r="H1094" s="705" t="str">
        <f t="shared" si="36"/>
        <v>3900</v>
      </c>
      <c r="I1094" s="705">
        <v>255</v>
      </c>
      <c r="J1094" s="701">
        <v>17.75</v>
      </c>
    </row>
    <row r="1095" spans="1:10" ht="12.75" x14ac:dyDescent="0.2">
      <c r="A1095" s="700">
        <v>3931</v>
      </c>
      <c r="B1095" s="700" t="str">
        <f t="shared" si="35"/>
        <v>3931</v>
      </c>
      <c r="C1095" s="700">
        <v>113</v>
      </c>
      <c r="D1095" s="701">
        <v>3.82</v>
      </c>
      <c r="E1095" s="701"/>
      <c r="F1095" s="701"/>
      <c r="G1095" s="705">
        <v>3924</v>
      </c>
      <c r="H1095" s="705" t="str">
        <f t="shared" si="36"/>
        <v>3924</v>
      </c>
      <c r="I1095" s="705">
        <v>102</v>
      </c>
      <c r="J1095" s="701">
        <v>92.91</v>
      </c>
    </row>
    <row r="1096" spans="1:10" ht="12.75" x14ac:dyDescent="0.2">
      <c r="A1096" s="700">
        <v>3931</v>
      </c>
      <c r="B1096" s="700" t="str">
        <f t="shared" si="35"/>
        <v>3931</v>
      </c>
      <c r="C1096" s="700">
        <v>300</v>
      </c>
      <c r="D1096" s="701">
        <v>9.7200000000000006</v>
      </c>
      <c r="E1096" s="701"/>
      <c r="F1096" s="701"/>
      <c r="G1096" s="705">
        <v>3924</v>
      </c>
      <c r="H1096" s="705" t="str">
        <f t="shared" si="36"/>
        <v>3924</v>
      </c>
      <c r="I1096" s="705">
        <v>103</v>
      </c>
      <c r="J1096" s="701">
        <v>56.72</v>
      </c>
    </row>
    <row r="1097" spans="1:10" ht="12.75" x14ac:dyDescent="0.2">
      <c r="A1097" s="700">
        <v>3941</v>
      </c>
      <c r="B1097" s="700" t="str">
        <f t="shared" si="35"/>
        <v>3941</v>
      </c>
      <c r="C1097" s="700">
        <v>101</v>
      </c>
      <c r="D1097" s="701">
        <v>55.05</v>
      </c>
      <c r="E1097" s="701"/>
      <c r="F1097" s="701"/>
      <c r="G1097" s="705">
        <v>3924</v>
      </c>
      <c r="H1097" s="705" t="str">
        <f t="shared" si="36"/>
        <v>3924</v>
      </c>
      <c r="I1097" s="705">
        <v>112</v>
      </c>
      <c r="J1097" s="701">
        <v>26</v>
      </c>
    </row>
    <row r="1098" spans="1:10" ht="12.75" x14ac:dyDescent="0.2">
      <c r="A1098" s="700">
        <v>3941</v>
      </c>
      <c r="B1098" s="700" t="str">
        <f t="shared" si="35"/>
        <v>3941</v>
      </c>
      <c r="C1098" s="700">
        <v>102</v>
      </c>
      <c r="D1098" s="701">
        <v>29.57</v>
      </c>
      <c r="E1098" s="701"/>
      <c r="F1098" s="701"/>
      <c r="G1098" s="705">
        <v>3924</v>
      </c>
      <c r="H1098" s="705" t="str">
        <f t="shared" si="36"/>
        <v>3924</v>
      </c>
      <c r="I1098" s="705">
        <v>113</v>
      </c>
      <c r="J1098" s="701">
        <v>10.97</v>
      </c>
    </row>
    <row r="1099" spans="1:10" ht="12.75" x14ac:dyDescent="0.2">
      <c r="A1099" s="700">
        <v>3941</v>
      </c>
      <c r="B1099" s="700" t="str">
        <f t="shared" si="35"/>
        <v>3941</v>
      </c>
      <c r="C1099" s="700">
        <v>111</v>
      </c>
      <c r="D1099" s="701">
        <v>10.51</v>
      </c>
      <c r="E1099" s="701"/>
      <c r="F1099" s="701"/>
      <c r="G1099" s="705">
        <v>3924</v>
      </c>
      <c r="H1099" s="705" t="str">
        <f t="shared" si="36"/>
        <v>3924</v>
      </c>
      <c r="I1099" s="705">
        <v>130</v>
      </c>
      <c r="J1099" s="701">
        <v>14.63</v>
      </c>
    </row>
    <row r="1100" spans="1:10" ht="12.75" x14ac:dyDescent="0.2">
      <c r="A1100" s="700">
        <v>3941</v>
      </c>
      <c r="B1100" s="700" t="str">
        <f t="shared" si="35"/>
        <v>3941</v>
      </c>
      <c r="C1100" s="700">
        <v>112</v>
      </c>
      <c r="D1100" s="701">
        <v>6.03</v>
      </c>
      <c r="E1100" s="701"/>
      <c r="F1100" s="701"/>
      <c r="G1100" s="705">
        <v>3924</v>
      </c>
      <c r="H1100" s="705" t="str">
        <f t="shared" si="36"/>
        <v>3924</v>
      </c>
      <c r="I1100" s="705">
        <v>300</v>
      </c>
      <c r="J1100" s="701">
        <v>0.79</v>
      </c>
    </row>
    <row r="1101" spans="1:10" ht="12.75" x14ac:dyDescent="0.2">
      <c r="A1101" s="700">
        <v>3941</v>
      </c>
      <c r="B1101" s="700" t="str">
        <f t="shared" si="35"/>
        <v>3941</v>
      </c>
      <c r="C1101" s="700">
        <v>130</v>
      </c>
      <c r="D1101" s="701">
        <v>12.98</v>
      </c>
      <c r="E1101" s="701"/>
      <c r="F1101" s="701"/>
      <c r="G1101" s="705">
        <v>3931</v>
      </c>
      <c r="H1101" s="705" t="str">
        <f t="shared" si="36"/>
        <v>3931</v>
      </c>
      <c r="I1101" s="705">
        <v>103</v>
      </c>
      <c r="J1101" s="701">
        <v>0</v>
      </c>
    </row>
    <row r="1102" spans="1:10" ht="12.75" x14ac:dyDescent="0.2">
      <c r="A1102" s="700">
        <v>3971</v>
      </c>
      <c r="B1102" s="700" t="str">
        <f t="shared" si="35"/>
        <v>3971</v>
      </c>
      <c r="C1102" s="700">
        <v>103</v>
      </c>
      <c r="D1102" s="701">
        <v>223.06</v>
      </c>
      <c r="E1102" s="701"/>
      <c r="F1102" s="701"/>
      <c r="G1102" s="705">
        <v>3931</v>
      </c>
      <c r="H1102" s="705" t="str">
        <f t="shared" si="36"/>
        <v>3931</v>
      </c>
      <c r="I1102" s="705">
        <v>113</v>
      </c>
      <c r="J1102" s="701">
        <v>5.16</v>
      </c>
    </row>
    <row r="1103" spans="1:10" ht="12.75" x14ac:dyDescent="0.2">
      <c r="A1103" s="700">
        <v>3971</v>
      </c>
      <c r="B1103" s="700" t="str">
        <f t="shared" si="35"/>
        <v>3971</v>
      </c>
      <c r="C1103" s="700">
        <v>113</v>
      </c>
      <c r="D1103" s="701">
        <v>57.81</v>
      </c>
      <c r="E1103" s="701"/>
      <c r="F1103" s="701"/>
      <c r="G1103" s="705">
        <v>3931</v>
      </c>
      <c r="H1103" s="705" t="str">
        <f t="shared" si="36"/>
        <v>3931</v>
      </c>
      <c r="I1103" s="705">
        <v>300</v>
      </c>
      <c r="J1103" s="701">
        <v>9.1999999999999993</v>
      </c>
    </row>
    <row r="1104" spans="1:10" ht="12.75" x14ac:dyDescent="0.2">
      <c r="A1104" s="700">
        <v>3971</v>
      </c>
      <c r="B1104" s="700" t="str">
        <f t="shared" si="35"/>
        <v>3971</v>
      </c>
      <c r="C1104" s="700">
        <v>130</v>
      </c>
      <c r="D1104" s="701">
        <v>23.87</v>
      </c>
      <c r="E1104" s="701"/>
      <c r="F1104" s="701"/>
      <c r="G1104" s="705">
        <v>3941</v>
      </c>
      <c r="H1104" s="705" t="str">
        <f t="shared" si="36"/>
        <v>3941</v>
      </c>
      <c r="I1104" s="705">
        <v>101</v>
      </c>
      <c r="J1104" s="701">
        <v>52</v>
      </c>
    </row>
    <row r="1105" spans="1:10" ht="12.75" x14ac:dyDescent="0.2">
      <c r="A1105" s="700">
        <v>4001</v>
      </c>
      <c r="B1105" s="700" t="str">
        <f t="shared" si="35"/>
        <v>4001</v>
      </c>
      <c r="C1105" s="700">
        <v>101</v>
      </c>
      <c r="D1105" s="701">
        <v>91.22</v>
      </c>
      <c r="E1105" s="701"/>
      <c r="F1105" s="701"/>
      <c r="G1105" s="705">
        <v>3941</v>
      </c>
      <c r="H1105" s="705" t="str">
        <f t="shared" si="36"/>
        <v>3941</v>
      </c>
      <c r="I1105" s="705">
        <v>102</v>
      </c>
      <c r="J1105" s="701">
        <v>29.56</v>
      </c>
    </row>
    <row r="1106" spans="1:10" ht="12.75" x14ac:dyDescent="0.2">
      <c r="A1106" s="700">
        <v>4001</v>
      </c>
      <c r="B1106" s="700" t="str">
        <f t="shared" si="35"/>
        <v>4001</v>
      </c>
      <c r="C1106" s="700">
        <v>102</v>
      </c>
      <c r="D1106" s="701">
        <v>149.97</v>
      </c>
      <c r="E1106" s="701"/>
      <c r="F1106" s="701"/>
      <c r="G1106" s="705">
        <v>3941</v>
      </c>
      <c r="H1106" s="705" t="str">
        <f t="shared" si="36"/>
        <v>3941</v>
      </c>
      <c r="I1106" s="705">
        <v>111</v>
      </c>
      <c r="J1106" s="701">
        <v>11.01</v>
      </c>
    </row>
    <row r="1107" spans="1:10" ht="12.75" x14ac:dyDescent="0.2">
      <c r="A1107" s="700">
        <v>4001</v>
      </c>
      <c r="B1107" s="700" t="str">
        <f t="shared" si="35"/>
        <v>4001</v>
      </c>
      <c r="C1107" s="700">
        <v>111</v>
      </c>
      <c r="D1107" s="701">
        <v>13.04</v>
      </c>
      <c r="E1107" s="701"/>
      <c r="F1107" s="701"/>
      <c r="G1107" s="705">
        <v>3941</v>
      </c>
      <c r="H1107" s="705" t="str">
        <f t="shared" si="36"/>
        <v>3941</v>
      </c>
      <c r="I1107" s="705">
        <v>112</v>
      </c>
      <c r="J1107" s="701">
        <v>5.52</v>
      </c>
    </row>
    <row r="1108" spans="1:10" ht="12.75" x14ac:dyDescent="0.2">
      <c r="A1108" s="700">
        <v>4001</v>
      </c>
      <c r="B1108" s="700" t="str">
        <f t="shared" si="35"/>
        <v>4001</v>
      </c>
      <c r="C1108" s="700">
        <v>112</v>
      </c>
      <c r="D1108" s="701">
        <v>24.08</v>
      </c>
      <c r="E1108" s="701"/>
      <c r="F1108" s="701"/>
      <c r="G1108" s="705">
        <v>3941</v>
      </c>
      <c r="H1108" s="705" t="str">
        <f t="shared" si="36"/>
        <v>3941</v>
      </c>
      <c r="I1108" s="705">
        <v>130</v>
      </c>
      <c r="J1108" s="701">
        <v>12.21</v>
      </c>
    </row>
    <row r="1109" spans="1:10" ht="12.75" x14ac:dyDescent="0.2">
      <c r="A1109" s="700">
        <v>4001</v>
      </c>
      <c r="B1109" s="700" t="str">
        <f t="shared" si="35"/>
        <v>4001</v>
      </c>
      <c r="C1109" s="700">
        <v>130</v>
      </c>
      <c r="D1109" s="701">
        <v>43.93</v>
      </c>
      <c r="E1109" s="701"/>
      <c r="F1109" s="701"/>
      <c r="G1109" s="705">
        <v>3971</v>
      </c>
      <c r="H1109" s="705" t="str">
        <f t="shared" si="36"/>
        <v>3971</v>
      </c>
      <c r="I1109" s="705">
        <v>103</v>
      </c>
      <c r="J1109" s="701">
        <v>229.33</v>
      </c>
    </row>
    <row r="1110" spans="1:10" ht="12.75" x14ac:dyDescent="0.2">
      <c r="A1110" s="700">
        <v>4002</v>
      </c>
      <c r="B1110" s="700" t="str">
        <f t="shared" si="35"/>
        <v>4002</v>
      </c>
      <c r="C1110" s="700">
        <v>101</v>
      </c>
      <c r="D1110" s="701">
        <v>97.68</v>
      </c>
      <c r="E1110" s="701"/>
      <c r="F1110" s="701"/>
      <c r="G1110" s="705">
        <v>3971</v>
      </c>
      <c r="H1110" s="705" t="str">
        <f t="shared" si="36"/>
        <v>3971</v>
      </c>
      <c r="I1110" s="705">
        <v>113</v>
      </c>
      <c r="J1110" s="701">
        <v>68.64</v>
      </c>
    </row>
    <row r="1111" spans="1:10" ht="12.75" x14ac:dyDescent="0.2">
      <c r="A1111" s="700">
        <v>4002</v>
      </c>
      <c r="B1111" s="700" t="str">
        <f t="shared" si="35"/>
        <v>4002</v>
      </c>
      <c r="C1111" s="700">
        <v>102</v>
      </c>
      <c r="D1111" s="701">
        <v>177.15</v>
      </c>
      <c r="E1111" s="701"/>
      <c r="F1111" s="701"/>
      <c r="G1111" s="705">
        <v>3971</v>
      </c>
      <c r="H1111" s="705" t="str">
        <f t="shared" si="36"/>
        <v>3971</v>
      </c>
      <c r="I1111" s="705">
        <v>130</v>
      </c>
      <c r="J1111" s="701">
        <v>24.66</v>
      </c>
    </row>
    <row r="1112" spans="1:10" ht="12.75" x14ac:dyDescent="0.2">
      <c r="A1112" s="700">
        <v>4002</v>
      </c>
      <c r="B1112" s="700" t="str">
        <f t="shared" si="35"/>
        <v>4002</v>
      </c>
      <c r="C1112" s="700">
        <v>111</v>
      </c>
      <c r="D1112" s="701">
        <v>14.08</v>
      </c>
      <c r="E1112" s="701"/>
      <c r="F1112" s="701"/>
      <c r="G1112" s="705">
        <v>4001</v>
      </c>
      <c r="H1112" s="705" t="str">
        <f t="shared" si="36"/>
        <v>4001</v>
      </c>
      <c r="I1112" s="705">
        <v>101</v>
      </c>
      <c r="J1112" s="701">
        <v>88.04</v>
      </c>
    </row>
    <row r="1113" spans="1:10" ht="12.75" x14ac:dyDescent="0.2">
      <c r="A1113" s="700">
        <v>4002</v>
      </c>
      <c r="B1113" s="700" t="str">
        <f t="shared" si="35"/>
        <v>4002</v>
      </c>
      <c r="C1113" s="700">
        <v>112</v>
      </c>
      <c r="D1113" s="701">
        <v>25.52</v>
      </c>
      <c r="E1113" s="701"/>
      <c r="F1113" s="701"/>
      <c r="G1113" s="705">
        <v>4001</v>
      </c>
      <c r="H1113" s="705" t="str">
        <f t="shared" si="36"/>
        <v>4001</v>
      </c>
      <c r="I1113" s="705">
        <v>102</v>
      </c>
      <c r="J1113" s="701">
        <v>148.94</v>
      </c>
    </row>
    <row r="1114" spans="1:10" ht="12.75" x14ac:dyDescent="0.2">
      <c r="A1114" s="700">
        <v>4002</v>
      </c>
      <c r="B1114" s="700" t="str">
        <f t="shared" si="35"/>
        <v>4002</v>
      </c>
      <c r="C1114" s="700">
        <v>130</v>
      </c>
      <c r="D1114" s="701">
        <v>131.12</v>
      </c>
      <c r="E1114" s="701"/>
      <c r="F1114" s="701"/>
      <c r="G1114" s="705">
        <v>4001</v>
      </c>
      <c r="H1114" s="705" t="str">
        <f t="shared" si="36"/>
        <v>4001</v>
      </c>
      <c r="I1114" s="705">
        <v>111</v>
      </c>
      <c r="J1114" s="701">
        <v>15.06</v>
      </c>
    </row>
    <row r="1115" spans="1:10" ht="12.75" x14ac:dyDescent="0.2">
      <c r="A1115" s="700">
        <v>4012</v>
      </c>
      <c r="B1115" s="700" t="str">
        <f t="shared" si="35"/>
        <v>4012</v>
      </c>
      <c r="C1115" s="700">
        <v>102</v>
      </c>
      <c r="D1115" s="701">
        <v>223.32</v>
      </c>
      <c r="E1115" s="701"/>
      <c r="F1115" s="701"/>
      <c r="G1115" s="705">
        <v>4001</v>
      </c>
      <c r="H1115" s="705" t="str">
        <f t="shared" si="36"/>
        <v>4001</v>
      </c>
      <c r="I1115" s="705">
        <v>112</v>
      </c>
      <c r="J1115" s="701">
        <v>23.5</v>
      </c>
    </row>
    <row r="1116" spans="1:10" ht="12.75" x14ac:dyDescent="0.2">
      <c r="A1116" s="700">
        <v>4012</v>
      </c>
      <c r="B1116" s="700" t="str">
        <f t="shared" si="35"/>
        <v>4012</v>
      </c>
      <c r="C1116" s="700">
        <v>112</v>
      </c>
      <c r="D1116" s="701">
        <v>41.97</v>
      </c>
      <c r="E1116" s="701"/>
      <c r="F1116" s="701"/>
      <c r="G1116" s="705">
        <v>4001</v>
      </c>
      <c r="H1116" s="705" t="str">
        <f t="shared" si="36"/>
        <v>4001</v>
      </c>
      <c r="I1116" s="705">
        <v>130</v>
      </c>
      <c r="J1116" s="701">
        <v>41.74</v>
      </c>
    </row>
    <row r="1117" spans="1:10" ht="12.75" x14ac:dyDescent="0.2">
      <c r="A1117" s="700">
        <v>4012</v>
      </c>
      <c r="B1117" s="700" t="str">
        <f t="shared" si="35"/>
        <v>4012</v>
      </c>
      <c r="C1117" s="700">
        <v>130</v>
      </c>
      <c r="D1117" s="701">
        <v>5.86</v>
      </c>
      <c r="E1117" s="701"/>
      <c r="F1117" s="701"/>
      <c r="G1117" s="705">
        <v>4002</v>
      </c>
      <c r="H1117" s="705" t="str">
        <f t="shared" si="36"/>
        <v>4002</v>
      </c>
      <c r="I1117" s="705">
        <v>101</v>
      </c>
      <c r="J1117" s="701">
        <v>93.34</v>
      </c>
    </row>
    <row r="1118" spans="1:10" ht="12.75" x14ac:dyDescent="0.2">
      <c r="A1118" s="700">
        <v>4013</v>
      </c>
      <c r="B1118" s="700" t="str">
        <f t="shared" si="35"/>
        <v>4013</v>
      </c>
      <c r="C1118" s="700">
        <v>103</v>
      </c>
      <c r="D1118" s="701">
        <v>429.97</v>
      </c>
      <c r="E1118" s="701"/>
      <c r="F1118" s="701"/>
      <c r="G1118" s="705">
        <v>4002</v>
      </c>
      <c r="H1118" s="705" t="str">
        <f t="shared" si="36"/>
        <v>4002</v>
      </c>
      <c r="I1118" s="705">
        <v>102</v>
      </c>
      <c r="J1118" s="701">
        <v>173.72</v>
      </c>
    </row>
    <row r="1119" spans="1:10" ht="12.75" x14ac:dyDescent="0.2">
      <c r="A1119" s="700">
        <v>4013</v>
      </c>
      <c r="B1119" s="700" t="str">
        <f t="shared" si="35"/>
        <v>4013</v>
      </c>
      <c r="C1119" s="700">
        <v>113</v>
      </c>
      <c r="D1119" s="701">
        <v>46.8</v>
      </c>
      <c r="E1119" s="701"/>
      <c r="F1119" s="701"/>
      <c r="G1119" s="705">
        <v>4002</v>
      </c>
      <c r="H1119" s="705" t="str">
        <f t="shared" si="36"/>
        <v>4002</v>
      </c>
      <c r="I1119" s="705">
        <v>111</v>
      </c>
      <c r="J1119" s="701">
        <v>13</v>
      </c>
    </row>
    <row r="1120" spans="1:10" ht="12.75" x14ac:dyDescent="0.2">
      <c r="A1120" s="700">
        <v>4013</v>
      </c>
      <c r="B1120" s="700" t="str">
        <f t="shared" si="35"/>
        <v>4013</v>
      </c>
      <c r="C1120" s="700">
        <v>130</v>
      </c>
      <c r="D1120" s="701">
        <v>6.08</v>
      </c>
      <c r="E1120" s="701"/>
      <c r="F1120" s="701"/>
      <c r="G1120" s="705">
        <v>4002</v>
      </c>
      <c r="H1120" s="705" t="str">
        <f t="shared" si="36"/>
        <v>4002</v>
      </c>
      <c r="I1120" s="705">
        <v>112</v>
      </c>
      <c r="J1120" s="701">
        <v>23.94</v>
      </c>
    </row>
    <row r="1121" spans="1:10" ht="12.75" x14ac:dyDescent="0.2">
      <c r="A1121" s="700">
        <v>4013</v>
      </c>
      <c r="B1121" s="700" t="str">
        <f t="shared" si="35"/>
        <v>4013</v>
      </c>
      <c r="C1121" s="700">
        <v>300</v>
      </c>
      <c r="D1121" s="701">
        <v>22.46</v>
      </c>
      <c r="E1121" s="701"/>
      <c r="F1121" s="701"/>
      <c r="G1121" s="705">
        <v>4002</v>
      </c>
      <c r="H1121" s="705" t="str">
        <f t="shared" si="36"/>
        <v>4002</v>
      </c>
      <c r="I1121" s="705">
        <v>130</v>
      </c>
      <c r="J1121" s="701">
        <v>125.47</v>
      </c>
    </row>
    <row r="1122" spans="1:10" ht="12.75" x14ac:dyDescent="0.2">
      <c r="A1122" s="700">
        <v>4020</v>
      </c>
      <c r="B1122" s="700" t="str">
        <f t="shared" si="35"/>
        <v>4020</v>
      </c>
      <c r="C1122" s="700">
        <v>101</v>
      </c>
      <c r="D1122" s="701">
        <v>234.32</v>
      </c>
      <c r="E1122" s="701"/>
      <c r="F1122" s="701"/>
      <c r="G1122" s="705">
        <v>4012</v>
      </c>
      <c r="H1122" s="705" t="str">
        <f t="shared" si="36"/>
        <v>4012</v>
      </c>
      <c r="I1122" s="705">
        <v>102</v>
      </c>
      <c r="J1122" s="701">
        <v>216.48</v>
      </c>
    </row>
    <row r="1123" spans="1:10" ht="12.75" x14ac:dyDescent="0.2">
      <c r="A1123" s="700">
        <v>4020</v>
      </c>
      <c r="B1123" s="700" t="str">
        <f t="shared" si="35"/>
        <v>4020</v>
      </c>
      <c r="C1123" s="700">
        <v>102</v>
      </c>
      <c r="D1123" s="701">
        <v>273.08999999999997</v>
      </c>
      <c r="E1123" s="701"/>
      <c r="F1123" s="701"/>
      <c r="G1123" s="705">
        <v>4012</v>
      </c>
      <c r="H1123" s="705" t="str">
        <f t="shared" si="36"/>
        <v>4012</v>
      </c>
      <c r="I1123" s="705">
        <v>112</v>
      </c>
      <c r="J1123" s="701">
        <v>38.44</v>
      </c>
    </row>
    <row r="1124" spans="1:10" ht="12.75" x14ac:dyDescent="0.2">
      <c r="A1124" s="700">
        <v>4020</v>
      </c>
      <c r="B1124" s="700" t="str">
        <f t="shared" si="35"/>
        <v>4020</v>
      </c>
      <c r="C1124" s="700">
        <v>111</v>
      </c>
      <c r="D1124" s="701">
        <v>30.13</v>
      </c>
      <c r="E1124" s="701"/>
      <c r="F1124" s="701"/>
      <c r="G1124" s="705">
        <v>4012</v>
      </c>
      <c r="H1124" s="705" t="str">
        <f t="shared" si="36"/>
        <v>4012</v>
      </c>
      <c r="I1124" s="705">
        <v>130</v>
      </c>
      <c r="J1124" s="701">
        <v>4.99</v>
      </c>
    </row>
    <row r="1125" spans="1:10" ht="12.75" x14ac:dyDescent="0.2">
      <c r="A1125" s="700">
        <v>4020</v>
      </c>
      <c r="B1125" s="700" t="str">
        <f t="shared" si="35"/>
        <v>4020</v>
      </c>
      <c r="C1125" s="700">
        <v>112</v>
      </c>
      <c r="D1125" s="701">
        <v>47.53</v>
      </c>
      <c r="E1125" s="701"/>
      <c r="F1125" s="701"/>
      <c r="G1125" s="705">
        <v>4013</v>
      </c>
      <c r="H1125" s="705" t="str">
        <f t="shared" si="36"/>
        <v>4013</v>
      </c>
      <c r="I1125" s="705">
        <v>103</v>
      </c>
      <c r="J1125" s="701">
        <v>417.08</v>
      </c>
    </row>
    <row r="1126" spans="1:10" ht="12.75" x14ac:dyDescent="0.2">
      <c r="A1126" s="700">
        <v>4020</v>
      </c>
      <c r="B1126" s="700" t="str">
        <f t="shared" si="35"/>
        <v>4020</v>
      </c>
      <c r="C1126" s="700">
        <v>130</v>
      </c>
      <c r="D1126" s="701">
        <v>37.94</v>
      </c>
      <c r="E1126" s="701"/>
      <c r="F1126" s="701"/>
      <c r="G1126" s="705">
        <v>4013</v>
      </c>
      <c r="H1126" s="705" t="str">
        <f t="shared" si="36"/>
        <v>4013</v>
      </c>
      <c r="I1126" s="705">
        <v>113</v>
      </c>
      <c r="J1126" s="701">
        <v>42.15</v>
      </c>
    </row>
    <row r="1127" spans="1:10" ht="12.75" x14ac:dyDescent="0.2">
      <c r="A1127" s="700">
        <v>4030</v>
      </c>
      <c r="B1127" s="700" t="str">
        <f t="shared" si="35"/>
        <v>4030</v>
      </c>
      <c r="C1127" s="700">
        <v>101</v>
      </c>
      <c r="D1127" s="701">
        <v>26.47</v>
      </c>
      <c r="E1127" s="701"/>
      <c r="F1127" s="701"/>
      <c r="G1127" s="705">
        <v>4013</v>
      </c>
      <c r="H1127" s="705" t="str">
        <f t="shared" si="36"/>
        <v>4013</v>
      </c>
      <c r="I1127" s="705">
        <v>130</v>
      </c>
      <c r="J1127" s="701">
        <v>5.14</v>
      </c>
    </row>
    <row r="1128" spans="1:10" ht="12.75" x14ac:dyDescent="0.2">
      <c r="A1128" s="700">
        <v>4030</v>
      </c>
      <c r="B1128" s="700" t="str">
        <f t="shared" si="35"/>
        <v>4030</v>
      </c>
      <c r="C1128" s="700">
        <v>102</v>
      </c>
      <c r="D1128" s="701">
        <v>34.17</v>
      </c>
      <c r="E1128" s="701"/>
      <c r="F1128" s="701"/>
      <c r="G1128" s="705">
        <v>4013</v>
      </c>
      <c r="H1128" s="705" t="str">
        <f t="shared" si="36"/>
        <v>4013</v>
      </c>
      <c r="I1128" s="705">
        <v>300</v>
      </c>
      <c r="J1128" s="701">
        <v>22.08</v>
      </c>
    </row>
    <row r="1129" spans="1:10" ht="12.75" x14ac:dyDescent="0.2">
      <c r="A1129" s="700">
        <v>4030</v>
      </c>
      <c r="B1129" s="700" t="str">
        <f t="shared" si="35"/>
        <v>4030</v>
      </c>
      <c r="C1129" s="700">
        <v>111</v>
      </c>
      <c r="D1129" s="701">
        <v>1.04</v>
      </c>
      <c r="E1129" s="701"/>
      <c r="F1129" s="701"/>
      <c r="G1129" s="705">
        <v>4020</v>
      </c>
      <c r="H1129" s="705" t="str">
        <f t="shared" si="36"/>
        <v>4020</v>
      </c>
      <c r="I1129" s="705">
        <v>101</v>
      </c>
      <c r="J1129" s="701">
        <v>226.73</v>
      </c>
    </row>
    <row r="1130" spans="1:10" ht="12.75" x14ac:dyDescent="0.2">
      <c r="A1130" s="700">
        <v>4030</v>
      </c>
      <c r="B1130" s="700" t="str">
        <f t="shared" si="35"/>
        <v>4030</v>
      </c>
      <c r="C1130" s="700">
        <v>112</v>
      </c>
      <c r="D1130" s="701">
        <v>4.13</v>
      </c>
      <c r="E1130" s="701"/>
      <c r="F1130" s="701"/>
      <c r="G1130" s="705">
        <v>4020</v>
      </c>
      <c r="H1130" s="705" t="str">
        <f t="shared" si="36"/>
        <v>4020</v>
      </c>
      <c r="I1130" s="705">
        <v>102</v>
      </c>
      <c r="J1130" s="701">
        <v>268.62</v>
      </c>
    </row>
    <row r="1131" spans="1:10" ht="12.75" x14ac:dyDescent="0.2">
      <c r="A1131" s="700">
        <v>4030</v>
      </c>
      <c r="B1131" s="700" t="str">
        <f t="shared" si="35"/>
        <v>4030</v>
      </c>
      <c r="C1131" s="700">
        <v>130</v>
      </c>
      <c r="D1131" s="701">
        <v>57.31</v>
      </c>
      <c r="E1131" s="701"/>
      <c r="F1131" s="701"/>
      <c r="G1131" s="705">
        <v>4020</v>
      </c>
      <c r="H1131" s="705" t="str">
        <f t="shared" si="36"/>
        <v>4020</v>
      </c>
      <c r="I1131" s="705">
        <v>111</v>
      </c>
      <c r="J1131" s="701">
        <v>33</v>
      </c>
    </row>
    <row r="1132" spans="1:10" ht="12.75" x14ac:dyDescent="0.2">
      <c r="A1132" s="700">
        <v>4031</v>
      </c>
      <c r="B1132" s="700" t="str">
        <f t="shared" si="35"/>
        <v>4031</v>
      </c>
      <c r="C1132" s="700">
        <v>101</v>
      </c>
      <c r="D1132" s="701">
        <v>51.96</v>
      </c>
      <c r="E1132" s="701"/>
      <c r="F1132" s="701"/>
      <c r="G1132" s="705">
        <v>4020</v>
      </c>
      <c r="H1132" s="705" t="str">
        <f t="shared" si="36"/>
        <v>4020</v>
      </c>
      <c r="I1132" s="705">
        <v>112</v>
      </c>
      <c r="J1132" s="701">
        <v>47.72</v>
      </c>
    </row>
    <row r="1133" spans="1:10" ht="12.75" x14ac:dyDescent="0.2">
      <c r="A1133" s="700">
        <v>4031</v>
      </c>
      <c r="B1133" s="700" t="str">
        <f t="shared" si="35"/>
        <v>4031</v>
      </c>
      <c r="C1133" s="700">
        <v>102</v>
      </c>
      <c r="D1133" s="701">
        <v>89.52</v>
      </c>
      <c r="E1133" s="701"/>
      <c r="F1133" s="701"/>
      <c r="G1133" s="705">
        <v>4020</v>
      </c>
      <c r="H1133" s="705" t="str">
        <f t="shared" si="36"/>
        <v>4020</v>
      </c>
      <c r="I1133" s="705">
        <v>130</v>
      </c>
      <c r="J1133" s="701">
        <v>36.520000000000003</v>
      </c>
    </row>
    <row r="1134" spans="1:10" ht="12.75" x14ac:dyDescent="0.2">
      <c r="A1134" s="700">
        <v>4031</v>
      </c>
      <c r="B1134" s="700" t="str">
        <f t="shared" si="35"/>
        <v>4031</v>
      </c>
      <c r="C1134" s="700">
        <v>111</v>
      </c>
      <c r="D1134" s="701">
        <v>5.99</v>
      </c>
      <c r="E1134" s="701"/>
      <c r="F1134" s="701"/>
      <c r="G1134" s="705">
        <v>4030</v>
      </c>
      <c r="H1134" s="705" t="str">
        <f t="shared" si="36"/>
        <v>4030</v>
      </c>
      <c r="I1134" s="705">
        <v>101</v>
      </c>
      <c r="J1134" s="701">
        <v>23.92</v>
      </c>
    </row>
    <row r="1135" spans="1:10" ht="12.75" x14ac:dyDescent="0.2">
      <c r="A1135" s="700">
        <v>4031</v>
      </c>
      <c r="B1135" s="700" t="str">
        <f t="shared" si="35"/>
        <v>4031</v>
      </c>
      <c r="C1135" s="700">
        <v>112</v>
      </c>
      <c r="D1135" s="701">
        <v>18.55</v>
      </c>
      <c r="E1135" s="701"/>
      <c r="F1135" s="701"/>
      <c r="G1135" s="705">
        <v>4030</v>
      </c>
      <c r="H1135" s="705" t="str">
        <f t="shared" si="36"/>
        <v>4030</v>
      </c>
      <c r="I1135" s="705">
        <v>102</v>
      </c>
      <c r="J1135" s="701">
        <v>34.229999999999997</v>
      </c>
    </row>
    <row r="1136" spans="1:10" ht="12.75" x14ac:dyDescent="0.2">
      <c r="A1136" s="700">
        <v>4031</v>
      </c>
      <c r="B1136" s="700" t="str">
        <f t="shared" si="35"/>
        <v>4031</v>
      </c>
      <c r="C1136" s="700">
        <v>130</v>
      </c>
      <c r="D1136" s="701">
        <v>34.32</v>
      </c>
      <c r="E1136" s="701"/>
      <c r="F1136" s="701"/>
      <c r="G1136" s="705">
        <v>4030</v>
      </c>
      <c r="H1136" s="705" t="str">
        <f t="shared" si="36"/>
        <v>4030</v>
      </c>
      <c r="I1136" s="705">
        <v>111</v>
      </c>
      <c r="J1136" s="701">
        <v>0.96</v>
      </c>
    </row>
    <row r="1137" spans="1:10" ht="12.75" x14ac:dyDescent="0.2">
      <c r="A1137" s="700">
        <v>4041</v>
      </c>
      <c r="B1137" s="700" t="str">
        <f t="shared" si="35"/>
        <v>4041</v>
      </c>
      <c r="C1137" s="700">
        <v>102</v>
      </c>
      <c r="D1137" s="701">
        <v>35.5</v>
      </c>
      <c r="E1137" s="701"/>
      <c r="F1137" s="701"/>
      <c r="G1137" s="705">
        <v>4030</v>
      </c>
      <c r="H1137" s="705" t="str">
        <f t="shared" si="36"/>
        <v>4030</v>
      </c>
      <c r="I1137" s="705">
        <v>112</v>
      </c>
      <c r="J1137" s="701">
        <v>3.87</v>
      </c>
    </row>
    <row r="1138" spans="1:10" ht="12.75" x14ac:dyDescent="0.2">
      <c r="A1138" s="700">
        <v>4041</v>
      </c>
      <c r="B1138" s="700" t="str">
        <f t="shared" si="35"/>
        <v>4041</v>
      </c>
      <c r="C1138" s="700">
        <v>112</v>
      </c>
      <c r="D1138" s="701">
        <v>9.5500000000000007</v>
      </c>
      <c r="E1138" s="701"/>
      <c r="F1138" s="701"/>
      <c r="G1138" s="705">
        <v>4030</v>
      </c>
      <c r="H1138" s="705" t="str">
        <f t="shared" si="36"/>
        <v>4030</v>
      </c>
      <c r="I1138" s="705">
        <v>130</v>
      </c>
      <c r="J1138" s="701">
        <v>56.7</v>
      </c>
    </row>
    <row r="1139" spans="1:10" ht="12.75" x14ac:dyDescent="0.2">
      <c r="A1139" s="700">
        <v>4041</v>
      </c>
      <c r="B1139" s="700" t="str">
        <f t="shared" si="35"/>
        <v>4041</v>
      </c>
      <c r="C1139" s="700">
        <v>130</v>
      </c>
      <c r="D1139" s="701">
        <v>2.79</v>
      </c>
      <c r="E1139" s="701"/>
      <c r="F1139" s="701"/>
      <c r="G1139" s="705">
        <v>4031</v>
      </c>
      <c r="H1139" s="705" t="str">
        <f t="shared" si="36"/>
        <v>4031</v>
      </c>
      <c r="I1139" s="705">
        <v>101</v>
      </c>
      <c r="J1139" s="701">
        <v>49.23</v>
      </c>
    </row>
    <row r="1140" spans="1:10" ht="12.75" x14ac:dyDescent="0.2">
      <c r="A1140" s="700">
        <v>4050</v>
      </c>
      <c r="B1140" s="700" t="str">
        <f t="shared" si="35"/>
        <v>4050</v>
      </c>
      <c r="C1140" s="700">
        <v>101</v>
      </c>
      <c r="D1140" s="701">
        <v>114.87</v>
      </c>
      <c r="E1140" s="701"/>
      <c r="F1140" s="701"/>
      <c r="G1140" s="705">
        <v>4031</v>
      </c>
      <c r="H1140" s="705" t="str">
        <f t="shared" si="36"/>
        <v>4031</v>
      </c>
      <c r="I1140" s="705">
        <v>102</v>
      </c>
      <c r="J1140" s="701">
        <v>90.48</v>
      </c>
    </row>
    <row r="1141" spans="1:10" ht="12.75" x14ac:dyDescent="0.2">
      <c r="A1141" s="700">
        <v>4050</v>
      </c>
      <c r="B1141" s="700" t="str">
        <f t="shared" si="35"/>
        <v>4050</v>
      </c>
      <c r="C1141" s="700">
        <v>102</v>
      </c>
      <c r="D1141" s="701">
        <v>133.94999999999999</v>
      </c>
      <c r="E1141" s="701"/>
      <c r="F1141" s="701"/>
      <c r="G1141" s="705">
        <v>4031</v>
      </c>
      <c r="H1141" s="705" t="str">
        <f t="shared" si="36"/>
        <v>4031</v>
      </c>
      <c r="I1141" s="705">
        <v>111</v>
      </c>
      <c r="J1141" s="701">
        <v>8.0399999999999991</v>
      </c>
    </row>
    <row r="1142" spans="1:10" ht="12.75" x14ac:dyDescent="0.2">
      <c r="A1142" s="700">
        <v>4050</v>
      </c>
      <c r="B1142" s="700" t="str">
        <f t="shared" si="35"/>
        <v>4050</v>
      </c>
      <c r="C1142" s="700">
        <v>111</v>
      </c>
      <c r="D1142" s="701">
        <v>11.5</v>
      </c>
      <c r="E1142" s="701"/>
      <c r="F1142" s="701"/>
      <c r="G1142" s="705">
        <v>4031</v>
      </c>
      <c r="H1142" s="705" t="str">
        <f t="shared" si="36"/>
        <v>4031</v>
      </c>
      <c r="I1142" s="705">
        <v>112</v>
      </c>
      <c r="J1142" s="701">
        <v>18.07</v>
      </c>
    </row>
    <row r="1143" spans="1:10" ht="12.75" x14ac:dyDescent="0.2">
      <c r="A1143" s="700">
        <v>4050</v>
      </c>
      <c r="B1143" s="700" t="str">
        <f t="shared" si="35"/>
        <v>4050</v>
      </c>
      <c r="C1143" s="700">
        <v>112</v>
      </c>
      <c r="D1143" s="701">
        <v>21.57</v>
      </c>
      <c r="E1143" s="701"/>
      <c r="F1143" s="701"/>
      <c r="G1143" s="705">
        <v>4031</v>
      </c>
      <c r="H1143" s="705" t="str">
        <f t="shared" si="36"/>
        <v>4031</v>
      </c>
      <c r="I1143" s="705">
        <v>130</v>
      </c>
      <c r="J1143" s="701">
        <v>31.93</v>
      </c>
    </row>
    <row r="1144" spans="1:10" ht="12.75" x14ac:dyDescent="0.2">
      <c r="A1144" s="700">
        <v>4050</v>
      </c>
      <c r="B1144" s="700" t="str">
        <f t="shared" si="35"/>
        <v>4050</v>
      </c>
      <c r="C1144" s="700">
        <v>130</v>
      </c>
      <c r="D1144" s="701">
        <v>37.39</v>
      </c>
      <c r="E1144" s="701"/>
      <c r="F1144" s="701"/>
      <c r="G1144" s="705">
        <v>4041</v>
      </c>
      <c r="H1144" s="705" t="str">
        <f t="shared" si="36"/>
        <v>4041</v>
      </c>
      <c r="I1144" s="705">
        <v>102</v>
      </c>
      <c r="J1144" s="701">
        <v>35.36</v>
      </c>
    </row>
    <row r="1145" spans="1:10" ht="12.75" x14ac:dyDescent="0.2">
      <c r="A1145" s="700">
        <v>4051</v>
      </c>
      <c r="B1145" s="700" t="str">
        <f t="shared" si="35"/>
        <v>4051</v>
      </c>
      <c r="C1145" s="700">
        <v>101</v>
      </c>
      <c r="D1145" s="701">
        <v>110.47</v>
      </c>
      <c r="E1145" s="701"/>
      <c r="F1145" s="701"/>
      <c r="G1145" s="705">
        <v>4041</v>
      </c>
      <c r="H1145" s="705" t="str">
        <f t="shared" si="36"/>
        <v>4041</v>
      </c>
      <c r="I1145" s="705">
        <v>112</v>
      </c>
      <c r="J1145" s="701">
        <v>9.57</v>
      </c>
    </row>
    <row r="1146" spans="1:10" ht="12.75" x14ac:dyDescent="0.2">
      <c r="A1146" s="700">
        <v>4051</v>
      </c>
      <c r="B1146" s="700" t="str">
        <f t="shared" si="35"/>
        <v>4051</v>
      </c>
      <c r="C1146" s="700">
        <v>102</v>
      </c>
      <c r="D1146" s="701">
        <v>122.16</v>
      </c>
      <c r="E1146" s="701"/>
      <c r="F1146" s="701"/>
      <c r="G1146" s="705">
        <v>4041</v>
      </c>
      <c r="H1146" s="705" t="str">
        <f t="shared" si="36"/>
        <v>4041</v>
      </c>
      <c r="I1146" s="705">
        <v>130</v>
      </c>
      <c r="J1146" s="701">
        <v>2.29</v>
      </c>
    </row>
    <row r="1147" spans="1:10" ht="12.75" x14ac:dyDescent="0.2">
      <c r="A1147" s="700">
        <v>4051</v>
      </c>
      <c r="B1147" s="700" t="str">
        <f t="shared" si="35"/>
        <v>4051</v>
      </c>
      <c r="C1147" s="700">
        <v>111</v>
      </c>
      <c r="D1147" s="701">
        <v>13.51</v>
      </c>
      <c r="E1147" s="701"/>
      <c r="F1147" s="701"/>
      <c r="G1147" s="705">
        <v>4050</v>
      </c>
      <c r="H1147" s="705" t="str">
        <f t="shared" si="36"/>
        <v>4050</v>
      </c>
      <c r="I1147" s="705">
        <v>101</v>
      </c>
      <c r="J1147" s="701">
        <v>111.91</v>
      </c>
    </row>
    <row r="1148" spans="1:10" ht="12.75" x14ac:dyDescent="0.2">
      <c r="A1148" s="700">
        <v>4051</v>
      </c>
      <c r="B1148" s="700" t="str">
        <f t="shared" si="35"/>
        <v>4051</v>
      </c>
      <c r="C1148" s="700">
        <v>112</v>
      </c>
      <c r="D1148" s="701">
        <v>19.59</v>
      </c>
      <c r="E1148" s="701"/>
      <c r="F1148" s="701"/>
      <c r="G1148" s="705">
        <v>4050</v>
      </c>
      <c r="H1148" s="705" t="str">
        <f t="shared" si="36"/>
        <v>4050</v>
      </c>
      <c r="I1148" s="705">
        <v>102</v>
      </c>
      <c r="J1148" s="701">
        <v>133.57</v>
      </c>
    </row>
    <row r="1149" spans="1:10" ht="12.75" x14ac:dyDescent="0.2">
      <c r="A1149" s="700">
        <v>4051</v>
      </c>
      <c r="B1149" s="700" t="str">
        <f t="shared" si="35"/>
        <v>4051</v>
      </c>
      <c r="C1149" s="700">
        <v>130</v>
      </c>
      <c r="D1149" s="701">
        <v>48.96</v>
      </c>
      <c r="E1149" s="701"/>
      <c r="F1149" s="701"/>
      <c r="G1149" s="705">
        <v>4050</v>
      </c>
      <c r="H1149" s="705" t="str">
        <f t="shared" si="36"/>
        <v>4050</v>
      </c>
      <c r="I1149" s="705">
        <v>111</v>
      </c>
      <c r="J1149" s="701">
        <v>11.5</v>
      </c>
    </row>
    <row r="1150" spans="1:10" ht="12.75" x14ac:dyDescent="0.2">
      <c r="A1150" s="700">
        <v>4061</v>
      </c>
      <c r="B1150" s="700" t="str">
        <f t="shared" si="35"/>
        <v>4061</v>
      </c>
      <c r="C1150" s="700">
        <v>101</v>
      </c>
      <c r="D1150" s="701">
        <v>164.91</v>
      </c>
      <c r="E1150" s="701"/>
      <c r="F1150" s="701"/>
      <c r="G1150" s="705">
        <v>4050</v>
      </c>
      <c r="H1150" s="705" t="str">
        <f t="shared" si="36"/>
        <v>4050</v>
      </c>
      <c r="I1150" s="705">
        <v>112</v>
      </c>
      <c r="J1150" s="701">
        <v>21</v>
      </c>
    </row>
    <row r="1151" spans="1:10" ht="12.75" x14ac:dyDescent="0.2">
      <c r="A1151" s="700">
        <v>4061</v>
      </c>
      <c r="B1151" s="700" t="str">
        <f t="shared" si="35"/>
        <v>4061</v>
      </c>
      <c r="C1151" s="700">
        <v>102</v>
      </c>
      <c r="D1151" s="701">
        <v>235.58</v>
      </c>
      <c r="E1151" s="701"/>
      <c r="F1151" s="701"/>
      <c r="G1151" s="705">
        <v>4050</v>
      </c>
      <c r="H1151" s="705" t="str">
        <f t="shared" si="36"/>
        <v>4050</v>
      </c>
      <c r="I1151" s="705">
        <v>130</v>
      </c>
      <c r="J1151" s="701">
        <v>36.74</v>
      </c>
    </row>
    <row r="1152" spans="1:10" ht="12.75" x14ac:dyDescent="0.2">
      <c r="A1152" s="700">
        <v>4061</v>
      </c>
      <c r="B1152" s="700" t="str">
        <f t="shared" si="35"/>
        <v>4061</v>
      </c>
      <c r="C1152" s="700">
        <v>111</v>
      </c>
      <c r="D1152" s="701">
        <v>14.5</v>
      </c>
      <c r="E1152" s="701"/>
      <c r="F1152" s="701"/>
      <c r="G1152" s="705">
        <v>4051</v>
      </c>
      <c r="H1152" s="705" t="str">
        <f t="shared" si="36"/>
        <v>4051</v>
      </c>
      <c r="I1152" s="705">
        <v>101</v>
      </c>
      <c r="J1152" s="701">
        <v>105.96</v>
      </c>
    </row>
    <row r="1153" spans="1:10" ht="12.75" x14ac:dyDescent="0.2">
      <c r="A1153" s="700">
        <v>4061</v>
      </c>
      <c r="B1153" s="700" t="str">
        <f t="shared" si="35"/>
        <v>4061</v>
      </c>
      <c r="C1153" s="700">
        <v>112</v>
      </c>
      <c r="D1153" s="701">
        <v>25.01</v>
      </c>
      <c r="E1153" s="701"/>
      <c r="F1153" s="701"/>
      <c r="G1153" s="705">
        <v>4051</v>
      </c>
      <c r="H1153" s="705" t="str">
        <f t="shared" si="36"/>
        <v>4051</v>
      </c>
      <c r="I1153" s="705">
        <v>102</v>
      </c>
      <c r="J1153" s="701">
        <v>118</v>
      </c>
    </row>
    <row r="1154" spans="1:10" ht="12.75" x14ac:dyDescent="0.2">
      <c r="A1154" s="700">
        <v>4061</v>
      </c>
      <c r="B1154" s="700" t="str">
        <f t="shared" ref="B1154:B1207" si="37">TEXT(A1154,"0000")</f>
        <v>4061</v>
      </c>
      <c r="C1154" s="700">
        <v>130</v>
      </c>
      <c r="D1154" s="701">
        <v>30.17</v>
      </c>
      <c r="E1154" s="701"/>
      <c r="F1154" s="701"/>
      <c r="G1154" s="705">
        <v>4051</v>
      </c>
      <c r="H1154" s="705" t="str">
        <f t="shared" si="36"/>
        <v>4051</v>
      </c>
      <c r="I1154" s="705">
        <v>111</v>
      </c>
      <c r="J1154" s="701">
        <v>14.5</v>
      </c>
    </row>
    <row r="1155" spans="1:10" ht="12.75" x14ac:dyDescent="0.2">
      <c r="A1155" s="700">
        <v>4081</v>
      </c>
      <c r="B1155" s="700" t="str">
        <f t="shared" si="37"/>
        <v>4081</v>
      </c>
      <c r="C1155" s="700">
        <v>103</v>
      </c>
      <c r="D1155" s="701">
        <v>44.66</v>
      </c>
      <c r="E1155" s="701"/>
      <c r="F1155" s="701"/>
      <c r="G1155" s="705">
        <v>4051</v>
      </c>
      <c r="H1155" s="705" t="str">
        <f t="shared" ref="H1155:H1214" si="38">TEXT(G1155,"0000")</f>
        <v>4051</v>
      </c>
      <c r="I1155" s="705">
        <v>112</v>
      </c>
      <c r="J1155" s="701">
        <v>17</v>
      </c>
    </row>
    <row r="1156" spans="1:10" ht="12.75" x14ac:dyDescent="0.2">
      <c r="A1156" s="700">
        <v>4081</v>
      </c>
      <c r="B1156" s="700" t="str">
        <f t="shared" si="37"/>
        <v>4081</v>
      </c>
      <c r="C1156" s="700">
        <v>113</v>
      </c>
      <c r="D1156" s="701">
        <v>10.5</v>
      </c>
      <c r="E1156" s="701"/>
      <c r="F1156" s="701"/>
      <c r="G1156" s="705">
        <v>4051</v>
      </c>
      <c r="H1156" s="705" t="str">
        <f t="shared" si="38"/>
        <v>4051</v>
      </c>
      <c r="I1156" s="705">
        <v>130</v>
      </c>
      <c r="J1156" s="701">
        <v>52.03</v>
      </c>
    </row>
    <row r="1157" spans="1:10" ht="12.75" x14ac:dyDescent="0.2">
      <c r="A1157" s="700">
        <v>4081</v>
      </c>
      <c r="B1157" s="700" t="str">
        <f t="shared" si="37"/>
        <v>4081</v>
      </c>
      <c r="C1157" s="700">
        <v>130</v>
      </c>
      <c r="D1157" s="701">
        <v>4.72</v>
      </c>
      <c r="E1157" s="701"/>
      <c r="F1157" s="701"/>
      <c r="G1157" s="705">
        <v>4061</v>
      </c>
      <c r="H1157" s="705" t="str">
        <f t="shared" si="38"/>
        <v>4061</v>
      </c>
      <c r="I1157" s="705">
        <v>101</v>
      </c>
      <c r="J1157" s="701">
        <v>159.96</v>
      </c>
    </row>
    <row r="1158" spans="1:10" ht="12.75" x14ac:dyDescent="0.2">
      <c r="A1158" s="700">
        <v>4090</v>
      </c>
      <c r="B1158" s="700" t="str">
        <f t="shared" si="37"/>
        <v>4090</v>
      </c>
      <c r="C1158" s="700">
        <v>102</v>
      </c>
      <c r="D1158" s="701">
        <v>122.53</v>
      </c>
      <c r="E1158" s="701"/>
      <c r="F1158" s="701"/>
      <c r="G1158" s="705">
        <v>4061</v>
      </c>
      <c r="H1158" s="705" t="str">
        <f t="shared" si="38"/>
        <v>4061</v>
      </c>
      <c r="I1158" s="705">
        <v>102</v>
      </c>
      <c r="J1158" s="701">
        <v>232.17</v>
      </c>
    </row>
    <row r="1159" spans="1:10" ht="12.75" x14ac:dyDescent="0.2">
      <c r="A1159" s="700">
        <v>4090</v>
      </c>
      <c r="B1159" s="700" t="str">
        <f t="shared" si="37"/>
        <v>4090</v>
      </c>
      <c r="C1159" s="700">
        <v>112</v>
      </c>
      <c r="D1159" s="701">
        <v>19.25</v>
      </c>
      <c r="E1159" s="701"/>
      <c r="F1159" s="701"/>
      <c r="G1159" s="705">
        <v>4061</v>
      </c>
      <c r="H1159" s="705" t="str">
        <f t="shared" si="38"/>
        <v>4061</v>
      </c>
      <c r="I1159" s="705">
        <v>111</v>
      </c>
      <c r="J1159" s="701">
        <v>15.5</v>
      </c>
    </row>
    <row r="1160" spans="1:10" ht="12.75" x14ac:dyDescent="0.2">
      <c r="A1160" s="700">
        <v>4090</v>
      </c>
      <c r="B1160" s="700" t="str">
        <f t="shared" si="37"/>
        <v>4090</v>
      </c>
      <c r="C1160" s="700">
        <v>130</v>
      </c>
      <c r="D1160" s="701">
        <v>7.8</v>
      </c>
      <c r="E1160" s="701"/>
      <c r="F1160" s="701"/>
      <c r="G1160" s="705">
        <v>4061</v>
      </c>
      <c r="H1160" s="705" t="str">
        <f t="shared" si="38"/>
        <v>4061</v>
      </c>
      <c r="I1160" s="705">
        <v>112</v>
      </c>
      <c r="J1160" s="701">
        <v>20.5</v>
      </c>
    </row>
    <row r="1161" spans="1:10" ht="12.75" x14ac:dyDescent="0.2">
      <c r="A1161" s="700">
        <v>4091</v>
      </c>
      <c r="B1161" s="700" t="str">
        <f t="shared" si="37"/>
        <v>4091</v>
      </c>
      <c r="C1161" s="700">
        <v>101</v>
      </c>
      <c r="D1161" s="701">
        <v>80.569999999999993</v>
      </c>
      <c r="E1161" s="701"/>
      <c r="F1161" s="701"/>
      <c r="G1161" s="705">
        <v>4061</v>
      </c>
      <c r="H1161" s="705" t="str">
        <f t="shared" si="38"/>
        <v>4061</v>
      </c>
      <c r="I1161" s="705">
        <v>130</v>
      </c>
      <c r="J1161" s="701">
        <v>27.69</v>
      </c>
    </row>
    <row r="1162" spans="1:10" ht="12.75" x14ac:dyDescent="0.2">
      <c r="A1162" s="700">
        <v>4091</v>
      </c>
      <c r="B1162" s="700" t="str">
        <f t="shared" si="37"/>
        <v>4091</v>
      </c>
      <c r="C1162" s="700">
        <v>102</v>
      </c>
      <c r="D1162" s="701">
        <v>41</v>
      </c>
      <c r="E1162" s="701"/>
      <c r="F1162" s="701"/>
      <c r="G1162" s="705">
        <v>4081</v>
      </c>
      <c r="H1162" s="705" t="str">
        <f t="shared" si="38"/>
        <v>4081</v>
      </c>
      <c r="I1162" s="705">
        <v>103</v>
      </c>
      <c r="J1162" s="701">
        <v>46.68</v>
      </c>
    </row>
    <row r="1163" spans="1:10" ht="12.75" x14ac:dyDescent="0.2">
      <c r="A1163" s="700">
        <v>4091</v>
      </c>
      <c r="B1163" s="700" t="str">
        <f t="shared" si="37"/>
        <v>4091</v>
      </c>
      <c r="C1163" s="700">
        <v>111</v>
      </c>
      <c r="D1163" s="701">
        <v>13</v>
      </c>
      <c r="E1163" s="701"/>
      <c r="F1163" s="701"/>
      <c r="G1163" s="705">
        <v>4081</v>
      </c>
      <c r="H1163" s="705" t="str">
        <f t="shared" si="38"/>
        <v>4081</v>
      </c>
      <c r="I1163" s="705">
        <v>113</v>
      </c>
      <c r="J1163" s="701">
        <v>10.96</v>
      </c>
    </row>
    <row r="1164" spans="1:10" ht="12.75" x14ac:dyDescent="0.2">
      <c r="A1164" s="700">
        <v>4091</v>
      </c>
      <c r="B1164" s="700" t="str">
        <f t="shared" si="37"/>
        <v>4091</v>
      </c>
      <c r="C1164" s="700">
        <v>112</v>
      </c>
      <c r="D1164" s="701">
        <v>6.95</v>
      </c>
      <c r="E1164" s="701"/>
      <c r="F1164" s="701"/>
      <c r="G1164" s="705">
        <v>4081</v>
      </c>
      <c r="H1164" s="705" t="str">
        <f t="shared" si="38"/>
        <v>4081</v>
      </c>
      <c r="I1164" s="705">
        <v>130</v>
      </c>
      <c r="J1164" s="701">
        <v>5.68</v>
      </c>
    </row>
    <row r="1165" spans="1:10" ht="12.75" x14ac:dyDescent="0.2">
      <c r="A1165" s="700">
        <v>4091</v>
      </c>
      <c r="B1165" s="700" t="str">
        <f t="shared" si="37"/>
        <v>4091</v>
      </c>
      <c r="C1165" s="700">
        <v>130</v>
      </c>
      <c r="D1165" s="701">
        <v>53.74</v>
      </c>
      <c r="E1165" s="701"/>
      <c r="F1165" s="701"/>
      <c r="G1165" s="705">
        <v>4090</v>
      </c>
      <c r="H1165" s="705" t="str">
        <f t="shared" si="38"/>
        <v>4090</v>
      </c>
      <c r="I1165" s="705">
        <v>102</v>
      </c>
      <c r="J1165" s="701">
        <v>126.46</v>
      </c>
    </row>
    <row r="1166" spans="1:10" ht="12.75" x14ac:dyDescent="0.2">
      <c r="A1166" s="700">
        <v>4100</v>
      </c>
      <c r="B1166" s="700" t="str">
        <f t="shared" si="37"/>
        <v>4100</v>
      </c>
      <c r="C1166" s="700">
        <v>111</v>
      </c>
      <c r="D1166" s="701">
        <v>2.5</v>
      </c>
      <c r="E1166" s="701"/>
      <c r="F1166" s="701"/>
      <c r="G1166" s="705">
        <v>4090</v>
      </c>
      <c r="H1166" s="705" t="str">
        <f t="shared" si="38"/>
        <v>4090</v>
      </c>
      <c r="I1166" s="705">
        <v>112</v>
      </c>
      <c r="J1166" s="701">
        <v>22.91</v>
      </c>
    </row>
    <row r="1167" spans="1:10" ht="12.75" x14ac:dyDescent="0.2">
      <c r="A1167" s="700">
        <v>4100</v>
      </c>
      <c r="B1167" s="700" t="str">
        <f t="shared" si="37"/>
        <v>4100</v>
      </c>
      <c r="C1167" s="700">
        <v>112</v>
      </c>
      <c r="D1167" s="701">
        <v>1</v>
      </c>
      <c r="E1167" s="701"/>
      <c r="F1167" s="701"/>
      <c r="G1167" s="705">
        <v>4090</v>
      </c>
      <c r="H1167" s="705" t="str">
        <f t="shared" si="38"/>
        <v>4090</v>
      </c>
      <c r="I1167" s="705">
        <v>130</v>
      </c>
      <c r="J1167" s="701">
        <v>18.350000000000001</v>
      </c>
    </row>
    <row r="1168" spans="1:10" ht="12.75" x14ac:dyDescent="0.2">
      <c r="A1168" s="700">
        <v>4100</v>
      </c>
      <c r="B1168" s="700" t="str">
        <f t="shared" si="37"/>
        <v>4100</v>
      </c>
      <c r="C1168" s="700">
        <v>254</v>
      </c>
      <c r="D1168" s="701">
        <v>17.48</v>
      </c>
      <c r="E1168" s="701"/>
      <c r="F1168" s="701"/>
      <c r="G1168" s="705">
        <v>4091</v>
      </c>
      <c r="H1168" s="705" t="str">
        <f t="shared" si="38"/>
        <v>4091</v>
      </c>
      <c r="I1168" s="705">
        <v>101</v>
      </c>
      <c r="J1168" s="701">
        <v>76.97</v>
      </c>
    </row>
    <row r="1169" spans="1:10" ht="12.75" x14ac:dyDescent="0.2">
      <c r="A1169" s="700">
        <v>4100</v>
      </c>
      <c r="B1169" s="700" t="str">
        <f t="shared" si="37"/>
        <v>4100</v>
      </c>
      <c r="C1169" s="700">
        <v>255</v>
      </c>
      <c r="D1169" s="701">
        <v>29.5</v>
      </c>
      <c r="E1169" s="701"/>
      <c r="F1169" s="701"/>
      <c r="G1169" s="705">
        <v>4091</v>
      </c>
      <c r="H1169" s="705" t="str">
        <f t="shared" si="38"/>
        <v>4091</v>
      </c>
      <c r="I1169" s="705">
        <v>102</v>
      </c>
      <c r="J1169" s="701">
        <v>41.86</v>
      </c>
    </row>
    <row r="1170" spans="1:10" ht="12.75" x14ac:dyDescent="0.2">
      <c r="A1170" s="700">
        <v>4102</v>
      </c>
      <c r="B1170" s="700" t="str">
        <f t="shared" si="37"/>
        <v>4102</v>
      </c>
      <c r="C1170" s="700">
        <v>101</v>
      </c>
      <c r="D1170" s="701">
        <v>44.6</v>
      </c>
      <c r="E1170" s="701"/>
      <c r="F1170" s="701"/>
      <c r="G1170" s="705">
        <v>4091</v>
      </c>
      <c r="H1170" s="705" t="str">
        <f t="shared" si="38"/>
        <v>4091</v>
      </c>
      <c r="I1170" s="705">
        <v>111</v>
      </c>
      <c r="J1170" s="701">
        <v>14</v>
      </c>
    </row>
    <row r="1171" spans="1:10" ht="12.75" x14ac:dyDescent="0.2">
      <c r="A1171" s="700">
        <v>4102</v>
      </c>
      <c r="B1171" s="700" t="str">
        <f t="shared" si="37"/>
        <v>4102</v>
      </c>
      <c r="C1171" s="700">
        <v>102</v>
      </c>
      <c r="D1171" s="701">
        <v>24.93</v>
      </c>
      <c r="E1171" s="701"/>
      <c r="F1171" s="701"/>
      <c r="G1171" s="705">
        <v>4091</v>
      </c>
      <c r="H1171" s="705" t="str">
        <f t="shared" si="38"/>
        <v>4091</v>
      </c>
      <c r="I1171" s="705">
        <v>112</v>
      </c>
      <c r="J1171" s="701">
        <v>9</v>
      </c>
    </row>
    <row r="1172" spans="1:10" ht="12.75" x14ac:dyDescent="0.2">
      <c r="A1172" s="700">
        <v>4102</v>
      </c>
      <c r="B1172" s="700" t="str">
        <f t="shared" si="37"/>
        <v>4102</v>
      </c>
      <c r="C1172" s="700">
        <v>111</v>
      </c>
      <c r="D1172" s="701">
        <v>4</v>
      </c>
      <c r="E1172" s="701"/>
      <c r="F1172" s="701"/>
      <c r="G1172" s="705">
        <v>4091</v>
      </c>
      <c r="H1172" s="705" t="str">
        <f t="shared" si="38"/>
        <v>4091</v>
      </c>
      <c r="I1172" s="705">
        <v>130</v>
      </c>
      <c r="J1172" s="701">
        <v>56.88</v>
      </c>
    </row>
    <row r="1173" spans="1:10" ht="12.75" x14ac:dyDescent="0.2">
      <c r="A1173" s="700">
        <v>4102</v>
      </c>
      <c r="B1173" s="700" t="str">
        <f t="shared" si="37"/>
        <v>4102</v>
      </c>
      <c r="C1173" s="700">
        <v>112</v>
      </c>
      <c r="D1173" s="701">
        <v>5.4</v>
      </c>
      <c r="E1173" s="701"/>
      <c r="F1173" s="701"/>
      <c r="G1173" s="705">
        <v>4100</v>
      </c>
      <c r="H1173" s="705" t="str">
        <f t="shared" si="38"/>
        <v>4100</v>
      </c>
      <c r="I1173" s="705">
        <v>111</v>
      </c>
      <c r="J1173" s="701">
        <v>2.5</v>
      </c>
    </row>
    <row r="1174" spans="1:10" ht="12.75" x14ac:dyDescent="0.2">
      <c r="A1174" s="700">
        <v>4102</v>
      </c>
      <c r="B1174" s="700" t="str">
        <f t="shared" si="37"/>
        <v>4102</v>
      </c>
      <c r="C1174" s="700">
        <v>130</v>
      </c>
      <c r="D1174" s="701">
        <v>13.33</v>
      </c>
      <c r="E1174" s="701"/>
      <c r="F1174" s="701"/>
      <c r="G1174" s="705">
        <v>4100</v>
      </c>
      <c r="H1174" s="705" t="str">
        <f t="shared" si="38"/>
        <v>4100</v>
      </c>
      <c r="I1174" s="705">
        <v>112</v>
      </c>
      <c r="J1174" s="701">
        <v>0.5</v>
      </c>
    </row>
    <row r="1175" spans="1:10" ht="12.75" x14ac:dyDescent="0.2">
      <c r="A1175" s="700">
        <v>4103</v>
      </c>
      <c r="B1175" s="700" t="str">
        <f t="shared" si="37"/>
        <v>4103</v>
      </c>
      <c r="C1175" s="700">
        <v>102</v>
      </c>
      <c r="D1175" s="701">
        <v>148.63999999999999</v>
      </c>
      <c r="E1175" s="701"/>
      <c r="F1175" s="701"/>
      <c r="G1175" s="705">
        <v>4100</v>
      </c>
      <c r="H1175" s="705" t="str">
        <f t="shared" si="38"/>
        <v>4100</v>
      </c>
      <c r="I1175" s="705">
        <v>254</v>
      </c>
      <c r="J1175" s="701">
        <v>16</v>
      </c>
    </row>
    <row r="1176" spans="1:10" ht="12.75" x14ac:dyDescent="0.2">
      <c r="A1176" s="700">
        <v>4103</v>
      </c>
      <c r="B1176" s="700" t="str">
        <f t="shared" si="37"/>
        <v>4103</v>
      </c>
      <c r="C1176" s="700">
        <v>103</v>
      </c>
      <c r="D1176" s="701">
        <v>180.2</v>
      </c>
      <c r="E1176" s="701"/>
      <c r="F1176" s="701"/>
      <c r="G1176" s="705">
        <v>4100</v>
      </c>
      <c r="H1176" s="705" t="str">
        <f t="shared" si="38"/>
        <v>4100</v>
      </c>
      <c r="I1176" s="705">
        <v>255</v>
      </c>
      <c r="J1176" s="701">
        <v>32</v>
      </c>
    </row>
    <row r="1177" spans="1:10" ht="12.75" x14ac:dyDescent="0.2">
      <c r="A1177" s="700">
        <v>4103</v>
      </c>
      <c r="B1177" s="700" t="str">
        <f t="shared" si="37"/>
        <v>4103</v>
      </c>
      <c r="C1177" s="700">
        <v>112</v>
      </c>
      <c r="D1177" s="701">
        <v>24.47</v>
      </c>
      <c r="E1177" s="701"/>
      <c r="F1177" s="701"/>
      <c r="G1177" s="705">
        <v>4102</v>
      </c>
      <c r="H1177" s="705" t="str">
        <f t="shared" si="38"/>
        <v>4102</v>
      </c>
      <c r="I1177" s="705">
        <v>101</v>
      </c>
      <c r="J1177" s="701">
        <v>40.799999999999997</v>
      </c>
    </row>
    <row r="1178" spans="1:10" ht="12.75" x14ac:dyDescent="0.2">
      <c r="A1178" s="700">
        <v>4103</v>
      </c>
      <c r="B1178" s="700" t="str">
        <f t="shared" si="37"/>
        <v>4103</v>
      </c>
      <c r="C1178" s="700">
        <v>113</v>
      </c>
      <c r="D1178" s="701">
        <v>31.21</v>
      </c>
      <c r="E1178" s="701"/>
      <c r="F1178" s="701"/>
      <c r="G1178" s="705">
        <v>4102</v>
      </c>
      <c r="H1178" s="705" t="str">
        <f t="shared" si="38"/>
        <v>4102</v>
      </c>
      <c r="I1178" s="705">
        <v>102</v>
      </c>
      <c r="J1178" s="701">
        <v>25.36</v>
      </c>
    </row>
    <row r="1179" spans="1:10" ht="12.75" x14ac:dyDescent="0.2">
      <c r="A1179" s="700">
        <v>4103</v>
      </c>
      <c r="B1179" s="700" t="str">
        <f t="shared" si="37"/>
        <v>4103</v>
      </c>
      <c r="C1179" s="700">
        <v>130</v>
      </c>
      <c r="D1179" s="701">
        <v>71.94</v>
      </c>
      <c r="E1179" s="701"/>
      <c r="F1179" s="701"/>
      <c r="G1179" s="705">
        <v>4102</v>
      </c>
      <c r="H1179" s="705" t="str">
        <f t="shared" si="38"/>
        <v>4102</v>
      </c>
      <c r="I1179" s="705">
        <v>111</v>
      </c>
      <c r="J1179" s="701">
        <v>5.54</v>
      </c>
    </row>
    <row r="1180" spans="1:10" ht="12.75" x14ac:dyDescent="0.2">
      <c r="A1180" s="700">
        <v>4103</v>
      </c>
      <c r="B1180" s="700" t="str">
        <f t="shared" si="37"/>
        <v>4103</v>
      </c>
      <c r="C1180" s="700">
        <v>300</v>
      </c>
      <c r="D1180" s="701">
        <v>21.64</v>
      </c>
      <c r="E1180" s="701"/>
      <c r="F1180" s="701"/>
      <c r="G1180" s="705">
        <v>4102</v>
      </c>
      <c r="H1180" s="705" t="str">
        <f t="shared" si="38"/>
        <v>4102</v>
      </c>
      <c r="I1180" s="705">
        <v>112</v>
      </c>
      <c r="J1180" s="701">
        <v>3.8</v>
      </c>
    </row>
    <row r="1181" spans="1:10" ht="12.75" x14ac:dyDescent="0.2">
      <c r="A1181" s="700">
        <v>4111</v>
      </c>
      <c r="B1181" s="700" t="str">
        <f t="shared" si="37"/>
        <v>4111</v>
      </c>
      <c r="C1181" s="700">
        <v>103</v>
      </c>
      <c r="D1181" s="701">
        <v>109.82</v>
      </c>
      <c r="E1181" s="701"/>
      <c r="F1181" s="701"/>
      <c r="G1181" s="705">
        <v>4102</v>
      </c>
      <c r="H1181" s="705" t="str">
        <f t="shared" si="38"/>
        <v>4102</v>
      </c>
      <c r="I1181" s="705">
        <v>130</v>
      </c>
      <c r="J1181" s="701">
        <v>11.68</v>
      </c>
    </row>
    <row r="1182" spans="1:10" ht="12.75" x14ac:dyDescent="0.2">
      <c r="A1182" s="700">
        <v>4111</v>
      </c>
      <c r="B1182" s="700" t="str">
        <f t="shared" si="37"/>
        <v>4111</v>
      </c>
      <c r="C1182" s="700">
        <v>113</v>
      </c>
      <c r="D1182" s="701">
        <v>18.440000000000001</v>
      </c>
      <c r="E1182" s="701"/>
      <c r="F1182" s="701"/>
      <c r="G1182" s="705">
        <v>4103</v>
      </c>
      <c r="H1182" s="705" t="str">
        <f t="shared" si="38"/>
        <v>4103</v>
      </c>
      <c r="I1182" s="705">
        <v>102</v>
      </c>
      <c r="J1182" s="701">
        <v>149.76</v>
      </c>
    </row>
    <row r="1183" spans="1:10" ht="12.75" x14ac:dyDescent="0.2">
      <c r="A1183" s="700">
        <v>4111</v>
      </c>
      <c r="B1183" s="700" t="str">
        <f t="shared" si="37"/>
        <v>4111</v>
      </c>
      <c r="C1183" s="700">
        <v>130</v>
      </c>
      <c r="D1183" s="701">
        <v>19.34</v>
      </c>
      <c r="E1183" s="701"/>
      <c r="F1183" s="701"/>
      <c r="G1183" s="705">
        <v>4103</v>
      </c>
      <c r="H1183" s="705" t="str">
        <f t="shared" si="38"/>
        <v>4103</v>
      </c>
      <c r="I1183" s="705">
        <v>103</v>
      </c>
      <c r="J1183" s="701">
        <v>182.06</v>
      </c>
    </row>
    <row r="1184" spans="1:10" ht="12.75" x14ac:dyDescent="0.2">
      <c r="A1184" s="700">
        <v>4111</v>
      </c>
      <c r="B1184" s="700" t="str">
        <f t="shared" si="37"/>
        <v>4111</v>
      </c>
      <c r="C1184" s="700">
        <v>300</v>
      </c>
      <c r="D1184" s="701">
        <v>12.13</v>
      </c>
      <c r="E1184" s="701"/>
      <c r="F1184" s="701"/>
      <c r="G1184" s="705">
        <v>4103</v>
      </c>
      <c r="H1184" s="705" t="str">
        <f t="shared" si="38"/>
        <v>4103</v>
      </c>
      <c r="I1184" s="705">
        <v>112</v>
      </c>
      <c r="J1184" s="701">
        <v>25.52</v>
      </c>
    </row>
    <row r="1185" spans="1:10" ht="12.75" x14ac:dyDescent="0.2">
      <c r="A1185" s="700">
        <v>4131</v>
      </c>
      <c r="B1185" s="700" t="str">
        <f t="shared" si="37"/>
        <v>4131</v>
      </c>
      <c r="C1185" s="700">
        <v>103</v>
      </c>
      <c r="D1185" s="701">
        <v>45.03</v>
      </c>
      <c r="E1185" s="701"/>
      <c r="F1185" s="701"/>
      <c r="G1185" s="705">
        <v>4103</v>
      </c>
      <c r="H1185" s="705" t="str">
        <f t="shared" si="38"/>
        <v>4103</v>
      </c>
      <c r="I1185" s="705">
        <v>113</v>
      </c>
      <c r="J1185" s="701">
        <v>31.16</v>
      </c>
    </row>
    <row r="1186" spans="1:10" ht="12.75" x14ac:dyDescent="0.2">
      <c r="A1186" s="700">
        <v>4131</v>
      </c>
      <c r="B1186" s="700" t="str">
        <f t="shared" si="37"/>
        <v>4131</v>
      </c>
      <c r="C1186" s="700">
        <v>113</v>
      </c>
      <c r="D1186" s="701">
        <v>7.07</v>
      </c>
      <c r="E1186" s="701"/>
      <c r="F1186" s="701"/>
      <c r="G1186" s="705">
        <v>4103</v>
      </c>
      <c r="H1186" s="705" t="str">
        <f t="shared" si="38"/>
        <v>4103</v>
      </c>
      <c r="I1186" s="705">
        <v>130</v>
      </c>
      <c r="J1186" s="701">
        <v>68.17</v>
      </c>
    </row>
    <row r="1187" spans="1:10" ht="12.75" x14ac:dyDescent="0.2">
      <c r="A1187" s="700">
        <v>4131</v>
      </c>
      <c r="B1187" s="700" t="str">
        <f t="shared" si="37"/>
        <v>4131</v>
      </c>
      <c r="C1187" s="700">
        <v>130</v>
      </c>
      <c r="D1187" s="701">
        <v>7.96</v>
      </c>
      <c r="E1187" s="701"/>
      <c r="F1187" s="701"/>
      <c r="G1187" s="705">
        <v>4103</v>
      </c>
      <c r="H1187" s="705" t="str">
        <f t="shared" si="38"/>
        <v>4103</v>
      </c>
      <c r="I1187" s="705">
        <v>300</v>
      </c>
      <c r="J1187" s="701">
        <v>23.03</v>
      </c>
    </row>
    <row r="1188" spans="1:10" ht="12.75" x14ac:dyDescent="0.2">
      <c r="A1188" s="700">
        <v>4131</v>
      </c>
      <c r="B1188" s="700" t="str">
        <f t="shared" si="37"/>
        <v>4131</v>
      </c>
      <c r="C1188" s="700">
        <v>300</v>
      </c>
      <c r="D1188" s="701">
        <v>3.9</v>
      </c>
      <c r="E1188" s="701"/>
      <c r="F1188" s="701"/>
      <c r="G1188" s="705">
        <v>4111</v>
      </c>
      <c r="H1188" s="705" t="str">
        <f t="shared" si="38"/>
        <v>4111</v>
      </c>
      <c r="I1188" s="705">
        <v>103</v>
      </c>
      <c r="J1188" s="701">
        <v>114.36</v>
      </c>
    </row>
    <row r="1189" spans="1:10" ht="12.75" x14ac:dyDescent="0.2">
      <c r="A1189" s="700">
        <v>7001</v>
      </c>
      <c r="B1189" s="700" t="str">
        <f t="shared" si="37"/>
        <v>7001</v>
      </c>
      <c r="C1189" s="700">
        <v>101</v>
      </c>
      <c r="D1189" s="701">
        <v>7.58</v>
      </c>
      <c r="E1189" s="701"/>
      <c r="F1189" s="701"/>
      <c r="G1189" s="705">
        <v>4111</v>
      </c>
      <c r="H1189" s="705" t="str">
        <f t="shared" si="38"/>
        <v>4111</v>
      </c>
      <c r="I1189" s="705">
        <v>113</v>
      </c>
      <c r="J1189" s="701">
        <v>18.57</v>
      </c>
    </row>
    <row r="1190" spans="1:10" ht="12.75" x14ac:dyDescent="0.2">
      <c r="A1190" s="700">
        <v>7001</v>
      </c>
      <c r="B1190" s="700" t="str">
        <f t="shared" si="37"/>
        <v>7001</v>
      </c>
      <c r="C1190" s="700">
        <v>102</v>
      </c>
      <c r="D1190" s="701">
        <v>22.81</v>
      </c>
      <c r="E1190" s="701"/>
      <c r="F1190" s="701"/>
      <c r="G1190" s="705">
        <v>4111</v>
      </c>
      <c r="H1190" s="705" t="str">
        <f t="shared" si="38"/>
        <v>4111</v>
      </c>
      <c r="I1190" s="705">
        <v>130</v>
      </c>
      <c r="J1190" s="701">
        <v>20.05</v>
      </c>
    </row>
    <row r="1191" spans="1:10" ht="12.75" x14ac:dyDescent="0.2">
      <c r="A1191" s="700">
        <v>7001</v>
      </c>
      <c r="B1191" s="700" t="str">
        <f t="shared" si="37"/>
        <v>7001</v>
      </c>
      <c r="C1191" s="700">
        <v>103</v>
      </c>
      <c r="D1191" s="701">
        <v>48.37</v>
      </c>
      <c r="E1191" s="701"/>
      <c r="F1191" s="701"/>
      <c r="G1191" s="705">
        <v>4111</v>
      </c>
      <c r="H1191" s="705" t="str">
        <f t="shared" si="38"/>
        <v>4111</v>
      </c>
      <c r="I1191" s="705">
        <v>300</v>
      </c>
      <c r="J1191" s="701">
        <v>12.43</v>
      </c>
    </row>
    <row r="1192" spans="1:10" ht="12.75" x14ac:dyDescent="0.2">
      <c r="A1192" s="700">
        <v>7001</v>
      </c>
      <c r="B1192" s="700" t="str">
        <f t="shared" si="37"/>
        <v>7001</v>
      </c>
      <c r="C1192" s="700">
        <v>111</v>
      </c>
      <c r="D1192" s="701">
        <v>1</v>
      </c>
      <c r="E1192" s="701"/>
      <c r="F1192" s="701"/>
      <c r="G1192" s="705">
        <v>4131</v>
      </c>
      <c r="H1192" s="705" t="str">
        <f t="shared" si="38"/>
        <v>4131</v>
      </c>
      <c r="I1192" s="705">
        <v>103</v>
      </c>
      <c r="J1192" s="701">
        <v>42.11</v>
      </c>
    </row>
    <row r="1193" spans="1:10" ht="12.75" x14ac:dyDescent="0.2">
      <c r="A1193" s="700">
        <v>7001</v>
      </c>
      <c r="B1193" s="700" t="str">
        <f t="shared" si="37"/>
        <v>7001</v>
      </c>
      <c r="C1193" s="700">
        <v>112</v>
      </c>
      <c r="D1193" s="701">
        <v>1.33</v>
      </c>
      <c r="E1193" s="701"/>
      <c r="F1193" s="701"/>
      <c r="G1193" s="705">
        <v>4131</v>
      </c>
      <c r="H1193" s="705" t="str">
        <f t="shared" si="38"/>
        <v>4131</v>
      </c>
      <c r="I1193" s="705">
        <v>113</v>
      </c>
      <c r="J1193" s="701">
        <v>4.97</v>
      </c>
    </row>
    <row r="1194" spans="1:10" ht="12.75" x14ac:dyDescent="0.2">
      <c r="A1194" s="700">
        <v>7001</v>
      </c>
      <c r="B1194" s="700" t="str">
        <f t="shared" si="37"/>
        <v>7001</v>
      </c>
      <c r="C1194" s="700">
        <v>113</v>
      </c>
      <c r="D1194" s="701">
        <v>6.95</v>
      </c>
      <c r="E1194" s="701"/>
      <c r="F1194" s="701"/>
      <c r="G1194" s="705">
        <v>4131</v>
      </c>
      <c r="H1194" s="705" t="str">
        <f t="shared" si="38"/>
        <v>4131</v>
      </c>
      <c r="I1194" s="705">
        <v>130</v>
      </c>
      <c r="J1194" s="701">
        <v>7.31</v>
      </c>
    </row>
    <row r="1195" spans="1:10" ht="12.75" x14ac:dyDescent="0.2">
      <c r="A1195" s="700">
        <v>7001</v>
      </c>
      <c r="B1195" s="700" t="str">
        <f t="shared" si="37"/>
        <v>7001</v>
      </c>
      <c r="C1195" s="700">
        <v>130</v>
      </c>
      <c r="D1195" s="701">
        <v>0.3</v>
      </c>
      <c r="E1195" s="701"/>
      <c r="F1195" s="701"/>
      <c r="G1195" s="705">
        <v>4131</v>
      </c>
      <c r="H1195" s="705" t="str">
        <f t="shared" si="38"/>
        <v>4131</v>
      </c>
      <c r="I1195" s="705">
        <v>300</v>
      </c>
      <c r="J1195" s="701">
        <v>3.77</v>
      </c>
    </row>
    <row r="1196" spans="1:10" ht="12.75" x14ac:dyDescent="0.2">
      <c r="A1196" s="700">
        <v>7001</v>
      </c>
      <c r="B1196" s="700" t="str">
        <f t="shared" si="37"/>
        <v>7001</v>
      </c>
      <c r="C1196" s="700">
        <v>300</v>
      </c>
      <c r="D1196" s="701">
        <v>1.07</v>
      </c>
      <c r="E1196" s="701"/>
      <c r="F1196" s="701"/>
      <c r="G1196" s="705">
        <v>7001</v>
      </c>
      <c r="H1196" s="705" t="str">
        <f t="shared" si="38"/>
        <v>7001</v>
      </c>
      <c r="I1196" s="705">
        <v>101</v>
      </c>
      <c r="J1196" s="701">
        <v>6.92</v>
      </c>
    </row>
    <row r="1197" spans="1:10" ht="12.75" x14ac:dyDescent="0.2">
      <c r="A1197" s="700">
        <v>7004</v>
      </c>
      <c r="B1197" s="700" t="str">
        <f t="shared" si="37"/>
        <v>7004</v>
      </c>
      <c r="C1197" s="700">
        <v>102</v>
      </c>
      <c r="D1197" s="701">
        <v>19.350000000000001</v>
      </c>
      <c r="E1197" s="701"/>
      <c r="F1197" s="701"/>
      <c r="G1197" s="705">
        <v>7001</v>
      </c>
      <c r="H1197" s="705" t="str">
        <f t="shared" si="38"/>
        <v>7001</v>
      </c>
      <c r="I1197" s="705">
        <v>102</v>
      </c>
      <c r="J1197" s="701">
        <v>23.71</v>
      </c>
    </row>
    <row r="1198" spans="1:10" ht="12.75" x14ac:dyDescent="0.2">
      <c r="A1198" s="700">
        <v>7004</v>
      </c>
      <c r="B1198" s="700" t="str">
        <f t="shared" si="37"/>
        <v>7004</v>
      </c>
      <c r="C1198" s="700">
        <v>103</v>
      </c>
      <c r="D1198" s="701">
        <v>43.28</v>
      </c>
      <c r="E1198" s="701"/>
      <c r="F1198" s="701"/>
      <c r="G1198" s="705">
        <v>7001</v>
      </c>
      <c r="H1198" s="705" t="str">
        <f t="shared" si="38"/>
        <v>7001</v>
      </c>
      <c r="I1198" s="705">
        <v>103</v>
      </c>
      <c r="J1198" s="701">
        <v>58.3</v>
      </c>
    </row>
    <row r="1199" spans="1:10" ht="12.75" x14ac:dyDescent="0.2">
      <c r="A1199" s="700">
        <v>7004</v>
      </c>
      <c r="B1199" s="700" t="str">
        <f t="shared" si="37"/>
        <v>7004</v>
      </c>
      <c r="C1199" s="700">
        <v>112</v>
      </c>
      <c r="D1199" s="701">
        <v>3.35</v>
      </c>
      <c r="E1199" s="701"/>
      <c r="F1199" s="701"/>
      <c r="G1199" s="705">
        <v>7001</v>
      </c>
      <c r="H1199" s="705" t="str">
        <f t="shared" si="38"/>
        <v>7001</v>
      </c>
      <c r="I1199" s="705">
        <v>111</v>
      </c>
      <c r="J1199" s="701">
        <v>1</v>
      </c>
    </row>
    <row r="1200" spans="1:10" ht="12.75" x14ac:dyDescent="0.2">
      <c r="A1200" s="700">
        <v>7004</v>
      </c>
      <c r="B1200" s="700" t="str">
        <f t="shared" si="37"/>
        <v>7004</v>
      </c>
      <c r="C1200" s="700">
        <v>113</v>
      </c>
      <c r="D1200" s="701">
        <v>4.8899999999999997</v>
      </c>
      <c r="E1200" s="701"/>
      <c r="F1200" s="701"/>
      <c r="G1200" s="705">
        <v>7001</v>
      </c>
      <c r="H1200" s="705" t="str">
        <f t="shared" si="38"/>
        <v>7001</v>
      </c>
      <c r="I1200" s="705">
        <v>112</v>
      </c>
      <c r="J1200" s="701">
        <v>1.3</v>
      </c>
    </row>
    <row r="1201" spans="1:10" ht="12.75" x14ac:dyDescent="0.2">
      <c r="A1201" s="700">
        <v>9034</v>
      </c>
      <c r="B1201" s="700" t="str">
        <f t="shared" si="37"/>
        <v>9034</v>
      </c>
      <c r="C1201" s="700">
        <v>111</v>
      </c>
      <c r="D1201" s="701">
        <v>3.05</v>
      </c>
      <c r="E1201" s="701"/>
      <c r="F1201" s="701"/>
      <c r="G1201" s="705">
        <v>7001</v>
      </c>
      <c r="H1201" s="705" t="str">
        <f t="shared" si="38"/>
        <v>7001</v>
      </c>
      <c r="I1201" s="705">
        <v>113</v>
      </c>
      <c r="J1201" s="701">
        <v>8.58</v>
      </c>
    </row>
    <row r="1202" spans="1:10" ht="12.75" x14ac:dyDescent="0.2">
      <c r="A1202" s="700">
        <v>9034</v>
      </c>
      <c r="B1202" s="700" t="str">
        <f t="shared" si="37"/>
        <v>9034</v>
      </c>
      <c r="C1202" s="700">
        <v>113</v>
      </c>
      <c r="D1202" s="701">
        <v>4</v>
      </c>
      <c r="E1202" s="701"/>
      <c r="F1202" s="701"/>
      <c r="G1202" s="705">
        <v>7001</v>
      </c>
      <c r="H1202" s="705" t="str">
        <f t="shared" si="38"/>
        <v>7001</v>
      </c>
      <c r="I1202" s="705">
        <v>130</v>
      </c>
      <c r="J1202" s="701">
        <v>0.3</v>
      </c>
    </row>
    <row r="1203" spans="1:10" ht="12.75" x14ac:dyDescent="0.2">
      <c r="A1203" s="700">
        <v>9034</v>
      </c>
      <c r="B1203" s="700" t="str">
        <f t="shared" si="37"/>
        <v>9034</v>
      </c>
      <c r="C1203" s="700">
        <v>255</v>
      </c>
      <c r="D1203" s="701">
        <v>1.97</v>
      </c>
      <c r="E1203" s="701"/>
      <c r="F1203" s="701"/>
      <c r="G1203" s="705">
        <v>7001</v>
      </c>
      <c r="H1203" s="705" t="str">
        <f t="shared" si="38"/>
        <v>7001</v>
      </c>
      <c r="I1203" s="705">
        <v>300</v>
      </c>
      <c r="J1203" s="701">
        <v>0.9</v>
      </c>
    </row>
    <row r="1204" spans="1:10" ht="12.75" x14ac:dyDescent="0.2">
      <c r="A1204" s="700">
        <v>9063</v>
      </c>
      <c r="B1204" s="700" t="str">
        <f t="shared" si="37"/>
        <v>9063</v>
      </c>
      <c r="C1204" s="700">
        <v>111</v>
      </c>
      <c r="D1204" s="701">
        <v>1.67</v>
      </c>
      <c r="E1204" s="701"/>
      <c r="F1204" s="701"/>
      <c r="G1204" s="705">
        <v>7004</v>
      </c>
      <c r="H1204" s="705" t="str">
        <f t="shared" si="38"/>
        <v>7004</v>
      </c>
      <c r="I1204" s="705">
        <v>102</v>
      </c>
      <c r="J1204" s="701">
        <v>15.29</v>
      </c>
    </row>
    <row r="1205" spans="1:10" ht="12.75" x14ac:dyDescent="0.2">
      <c r="A1205" s="700">
        <v>9063</v>
      </c>
      <c r="B1205" s="700" t="str">
        <f t="shared" si="37"/>
        <v>9063</v>
      </c>
      <c r="C1205" s="700">
        <v>112</v>
      </c>
      <c r="D1205" s="701">
        <v>3.66</v>
      </c>
      <c r="E1205" s="701"/>
      <c r="F1205" s="701"/>
      <c r="G1205" s="705">
        <v>7004</v>
      </c>
      <c r="H1205" s="705" t="str">
        <f t="shared" si="38"/>
        <v>7004</v>
      </c>
      <c r="I1205" s="705">
        <v>103</v>
      </c>
      <c r="J1205" s="701">
        <v>52.5</v>
      </c>
    </row>
    <row r="1206" spans="1:10" ht="12.75" x14ac:dyDescent="0.2">
      <c r="A1206" s="700">
        <v>9063</v>
      </c>
      <c r="B1206" s="700" t="str">
        <f t="shared" si="37"/>
        <v>9063</v>
      </c>
      <c r="C1206" s="700">
        <v>113</v>
      </c>
      <c r="D1206" s="701">
        <v>9.61</v>
      </c>
      <c r="E1206" s="701"/>
      <c r="F1206" s="701"/>
      <c r="G1206" s="705">
        <v>7004</v>
      </c>
      <c r="H1206" s="705" t="str">
        <f t="shared" si="38"/>
        <v>7004</v>
      </c>
      <c r="I1206" s="705">
        <v>112</v>
      </c>
      <c r="J1206" s="701">
        <v>3.49</v>
      </c>
    </row>
    <row r="1207" spans="1:10" ht="12.75" x14ac:dyDescent="0.2">
      <c r="A1207" s="700">
        <v>9063</v>
      </c>
      <c r="B1207" s="700" t="str">
        <f t="shared" si="37"/>
        <v>9063</v>
      </c>
      <c r="C1207" s="700">
        <v>255</v>
      </c>
      <c r="D1207" s="701">
        <v>7.86</v>
      </c>
      <c r="E1207" s="701"/>
      <c r="F1207" s="701"/>
      <c r="G1207" s="705">
        <v>7004</v>
      </c>
      <c r="H1207" s="705" t="str">
        <f t="shared" si="38"/>
        <v>7004</v>
      </c>
      <c r="I1207" s="705">
        <v>113</v>
      </c>
      <c r="J1207" s="701">
        <v>6.53</v>
      </c>
    </row>
    <row r="1208" spans="1:10" ht="15" x14ac:dyDescent="0.25">
      <c r="G1208" s="705">
        <v>9034</v>
      </c>
      <c r="H1208" s="705" t="str">
        <f t="shared" si="38"/>
        <v>9034</v>
      </c>
      <c r="I1208" s="705">
        <v>111</v>
      </c>
      <c r="J1208" s="701">
        <v>4.1900000000000004</v>
      </c>
    </row>
    <row r="1209" spans="1:10" ht="15" x14ac:dyDescent="0.25">
      <c r="G1209" s="705">
        <v>9034</v>
      </c>
      <c r="H1209" s="705" t="str">
        <f t="shared" si="38"/>
        <v>9034</v>
      </c>
      <c r="I1209" s="705">
        <v>113</v>
      </c>
      <c r="J1209" s="701">
        <v>4</v>
      </c>
    </row>
    <row r="1210" spans="1:10" ht="15" x14ac:dyDescent="0.25">
      <c r="G1210" s="705">
        <v>9034</v>
      </c>
      <c r="H1210" s="705" t="str">
        <f t="shared" si="38"/>
        <v>9034</v>
      </c>
      <c r="I1210" s="705">
        <v>255</v>
      </c>
      <c r="J1210" s="701">
        <v>2.48</v>
      </c>
    </row>
    <row r="1211" spans="1:10" ht="15" x14ac:dyDescent="0.25">
      <c r="G1211" s="705">
        <v>9063</v>
      </c>
      <c r="H1211" s="705" t="str">
        <f t="shared" si="38"/>
        <v>9063</v>
      </c>
      <c r="I1211" s="705">
        <v>111</v>
      </c>
      <c r="J1211" s="701">
        <v>0.83</v>
      </c>
    </row>
    <row r="1212" spans="1:10" ht="15" x14ac:dyDescent="0.25">
      <c r="G1212" s="705">
        <v>9063</v>
      </c>
      <c r="H1212" s="705" t="str">
        <f t="shared" si="38"/>
        <v>9063</v>
      </c>
      <c r="I1212" s="705">
        <v>112</v>
      </c>
      <c r="J1212" s="701">
        <v>4.7300000000000004</v>
      </c>
    </row>
    <row r="1213" spans="1:10" ht="15" x14ac:dyDescent="0.25">
      <c r="G1213" s="705">
        <v>9063</v>
      </c>
      <c r="H1213" s="705" t="str">
        <f t="shared" si="38"/>
        <v>9063</v>
      </c>
      <c r="I1213" s="705">
        <v>113</v>
      </c>
      <c r="J1213" s="701">
        <v>9.11</v>
      </c>
    </row>
    <row r="1214" spans="1:10" ht="15" x14ac:dyDescent="0.25">
      <c r="G1214" s="705">
        <v>9063</v>
      </c>
      <c r="H1214" s="705" t="str">
        <f t="shared" si="38"/>
        <v>9063</v>
      </c>
      <c r="I1214" s="705">
        <v>255</v>
      </c>
      <c r="J1214" s="701">
        <v>8.0299999999999994</v>
      </c>
    </row>
    <row r="1217" spans="10:10" ht="15.75" customHeight="1" x14ac:dyDescent="0.25">
      <c r="J1217" s="701">
        <v>-96277.7</v>
      </c>
    </row>
    <row r="1218" spans="10:10" ht="15.75" customHeight="1" x14ac:dyDescent="0.25">
      <c r="J1218" s="708">
        <f>+J1215+J1217</f>
        <v>-96277.7</v>
      </c>
    </row>
  </sheetData>
  <autoFilter ref="L1:M53" xr:uid="{2D10092D-181A-4F79-8F72-F64CF179C59D}"/>
  <pageMargins left="0.7" right="0.7" top="0.75" bottom="0.75" header="0.3" footer="0.3"/>
  <ignoredErrors>
    <ignoredError sqref="L2:L3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96A1-A4AE-4243-8173-962553824AFB}">
  <dimension ref="A1:Z207"/>
  <sheetViews>
    <sheetView topLeftCell="A69" workbookViewId="0">
      <selection activeCell="J78" sqref="J78"/>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6.42578125" style="2" customWidth="1"/>
    <col min="8" max="8" width="19.2851562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1" t="s">
        <v>155</v>
      </c>
      <c r="B2" s="101"/>
      <c r="C2" s="101"/>
      <c r="D2" s="101"/>
      <c r="E2" s="6"/>
      <c r="F2" s="6"/>
      <c r="G2" s="6"/>
      <c r="H2" s="6"/>
      <c r="I2" s="686" t="str">
        <f>RIGHT(A2,4)</f>
        <v>0040</v>
      </c>
      <c r="J2" s="6"/>
      <c r="K2" s="6"/>
      <c r="L2" s="6"/>
      <c r="M2" s="6"/>
      <c r="N2" s="6"/>
      <c r="O2" s="6"/>
      <c r="P2" s="6"/>
      <c r="Q2" s="6"/>
      <c r="R2" s="898" t="str">
        <f>Revenue_Estimate_Worksheet_for___________Charter_School</f>
        <v>Revenue Estimate Worksheet: Palm Beach Preparatory Middle School 0040</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628"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7">
        <f>SUMIFS(CountData!D:D,CountData!B:B,$I$2,CountData!C:C,$O12)</f>
        <v>0</v>
      </c>
      <c r="D12" s="717">
        <f>SUMIFS(CountData!J:J,CountData!H:H,$I$2,CountData!I:I,$O12)</f>
        <v>0</v>
      </c>
      <c r="E12" s="804">
        <f t="shared" ref="E12:E27" si="0">IF($D$28=0,C12*2,C12+D12)</f>
        <v>0</v>
      </c>
      <c r="F12" s="804"/>
      <c r="G12" s="805">
        <f>Consolidated!$F14</f>
        <v>1.1080000000000001</v>
      </c>
      <c r="H12" s="805">
        <f>Consolidated!$H$9</f>
        <v>1</v>
      </c>
      <c r="I12" s="22">
        <f>ROUND(E12*G12,4)</f>
        <v>0</v>
      </c>
      <c r="J12" s="121">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629">
        <f>SUMIFS(CountData!D:D,CountData!B:B,$I$2,CountData!C:C,$O13)</f>
        <v>0</v>
      </c>
      <c r="D13" s="629">
        <f>SUMIFS(CountData!J:J,CountData!H:H,$I$2,CountData!I:I,$O13)</f>
        <v>0</v>
      </c>
      <c r="E13" s="812">
        <f t="shared" si="0"/>
        <v>0</v>
      </c>
      <c r="F13" s="812"/>
      <c r="G13" s="813">
        <f>Consolidated!$F15</f>
        <v>1.1080000000000001</v>
      </c>
      <c r="H13" s="813">
        <f>Consolidated!$H$9</f>
        <v>1</v>
      </c>
      <c r="I13" s="22">
        <f t="shared" ref="I13:I27" si="3">ROUND(E13*G13,4)</f>
        <v>0</v>
      </c>
      <c r="J13" s="121">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629">
        <f>SUMIFS(CountData!D:D,CountData!B:B,$I$2,CountData!C:C,$O14)</f>
        <v>6.7</v>
      </c>
      <c r="D14" s="629">
        <f>SUMIFS(CountData!J:J,CountData!H:H,$I$2,CountData!I:I,$O14)</f>
        <v>7.5</v>
      </c>
      <c r="E14" s="812">
        <f t="shared" si="0"/>
        <v>14.2</v>
      </c>
      <c r="F14" s="812"/>
      <c r="G14" s="813">
        <f>Consolidated!$F16</f>
        <v>1</v>
      </c>
      <c r="H14" s="813">
        <f>Consolidated!$H$9</f>
        <v>1</v>
      </c>
      <c r="I14" s="22">
        <f t="shared" si="3"/>
        <v>14.2</v>
      </c>
      <c r="J14" s="121">
        <f>ROUND(ROUND(ROUND(I14*$E$6,4)*($I$6),2)*(MAX($I$7,1)),2)</f>
        <v>78999.25</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629">
        <f>SUMIFS(CountData!D:D,CountData!B:B,$I$2,CountData!C:C,$O15)</f>
        <v>3.48</v>
      </c>
      <c r="D15" s="629">
        <f>SUMIFS(CountData!J:J,CountData!H:H,$I$2,CountData!I:I,$O15)</f>
        <v>3.97</v>
      </c>
      <c r="E15" s="812">
        <f t="shared" si="0"/>
        <v>7.45</v>
      </c>
      <c r="F15" s="812"/>
      <c r="G15" s="813">
        <f>Consolidated!$F17</f>
        <v>1</v>
      </c>
      <c r="H15" s="813">
        <f>Consolidated!$H$9</f>
        <v>1</v>
      </c>
      <c r="I15" s="22">
        <f t="shared" si="3"/>
        <v>7.45</v>
      </c>
      <c r="J15" s="121">
        <f t="shared" si="1"/>
        <v>41446.79</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629">
        <f>SUMIFS(CountData!D:D,CountData!B:B,$I$2,CountData!C:C,$O16)</f>
        <v>0</v>
      </c>
      <c r="D16" s="629">
        <f>SUMIFS(CountData!J:J,CountData!H:H,$I$2,CountData!I:I,$O16)</f>
        <v>0</v>
      </c>
      <c r="E16" s="812">
        <f t="shared" si="0"/>
        <v>0</v>
      </c>
      <c r="F16" s="812"/>
      <c r="G16" s="813">
        <f>Consolidated!$F18</f>
        <v>0.97199999999999998</v>
      </c>
      <c r="H16" s="813">
        <f>Consolidated!$H$9</f>
        <v>1</v>
      </c>
      <c r="I16" s="22">
        <f t="shared" si="3"/>
        <v>0</v>
      </c>
      <c r="J16" s="121">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629">
        <f>SUMIFS(CountData!D:D,CountData!B:B,$I$2,CountData!C:C,$O17)</f>
        <v>0</v>
      </c>
      <c r="D17" s="629">
        <f>SUMIFS(CountData!J:J,CountData!H:H,$I$2,CountData!I:I,$O17)</f>
        <v>0</v>
      </c>
      <c r="E17" s="812">
        <f t="shared" si="0"/>
        <v>0</v>
      </c>
      <c r="F17" s="812"/>
      <c r="G17" s="813">
        <f>Consolidated!$F19</f>
        <v>0.97199999999999998</v>
      </c>
      <c r="H17" s="813">
        <f>Consolidated!$H$9</f>
        <v>1</v>
      </c>
      <c r="I17" s="22">
        <f t="shared" si="3"/>
        <v>0</v>
      </c>
      <c r="J17" s="121">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629">
        <f>SUMIFS(CountData!D:D,CountData!B:B,$I$2,CountData!C:C,$O18)</f>
        <v>0</v>
      </c>
      <c r="D18" s="629">
        <f>SUMIFS(CountData!J:J,CountData!H:H,$I$2,CountData!I:I,$O18)</f>
        <v>0</v>
      </c>
      <c r="E18" s="812">
        <f t="shared" si="0"/>
        <v>0</v>
      </c>
      <c r="F18" s="812"/>
      <c r="G18" s="813">
        <f>Consolidated!$F20</f>
        <v>3.609</v>
      </c>
      <c r="H18" s="813">
        <f>Consolidated!$H$9</f>
        <v>1</v>
      </c>
      <c r="I18" s="22">
        <f t="shared" si="3"/>
        <v>0</v>
      </c>
      <c r="J18" s="121">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629">
        <f>SUMIFS(CountData!D:D,CountData!B:B,$I$2,CountData!C:C,$O19)</f>
        <v>0</v>
      </c>
      <c r="D19" s="629">
        <f>SUMIFS(CountData!J:J,CountData!H:H,$I$2,CountData!I:I,$O19)</f>
        <v>0</v>
      </c>
      <c r="E19" s="812">
        <f t="shared" si="0"/>
        <v>0</v>
      </c>
      <c r="F19" s="812"/>
      <c r="G19" s="813">
        <f>Consolidated!$F21</f>
        <v>3.609</v>
      </c>
      <c r="H19" s="813">
        <f>Consolidated!$H$9</f>
        <v>1</v>
      </c>
      <c r="I19" s="22">
        <f t="shared" si="3"/>
        <v>0</v>
      </c>
      <c r="J19" s="121">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629">
        <f>SUMIFS(CountData!D:D,CountData!B:B,$I$2,CountData!C:C,$O20)</f>
        <v>0</v>
      </c>
      <c r="D20" s="629">
        <f>SUMIFS(CountData!J:J,CountData!H:H,$I$2,CountData!I:I,$O20)</f>
        <v>0</v>
      </c>
      <c r="E20" s="812">
        <f t="shared" si="0"/>
        <v>0</v>
      </c>
      <c r="F20" s="812"/>
      <c r="G20" s="813">
        <f>Consolidated!$F22</f>
        <v>3.609</v>
      </c>
      <c r="H20" s="813">
        <f>Consolidated!$H$9</f>
        <v>1</v>
      </c>
      <c r="I20" s="22">
        <f t="shared" si="3"/>
        <v>0</v>
      </c>
      <c r="J20" s="121">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629">
        <f>SUMIFS(CountData!D:D,CountData!B:B,$I$2,CountData!C:C,$O21)</f>
        <v>0</v>
      </c>
      <c r="D21" s="629">
        <f>SUMIFS(CountData!J:J,CountData!H:H,$I$2,CountData!I:I,$O21)</f>
        <v>0</v>
      </c>
      <c r="E21" s="812">
        <f t="shared" si="0"/>
        <v>0</v>
      </c>
      <c r="F21" s="812"/>
      <c r="G21" s="813">
        <f>Consolidated!$F23</f>
        <v>6.0640000000000001</v>
      </c>
      <c r="H21" s="813">
        <f>Consolidated!$H$9</f>
        <v>1</v>
      </c>
      <c r="I21" s="22">
        <f t="shared" si="3"/>
        <v>0</v>
      </c>
      <c r="J21" s="121">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629">
        <f>SUMIFS(CountData!D:D,CountData!B:B,$I$2,CountData!C:C,$O22)</f>
        <v>0</v>
      </c>
      <c r="D22" s="629">
        <f>SUMIFS(CountData!J:J,CountData!H:H,$I$2,CountData!I:I,$O22)</f>
        <v>0</v>
      </c>
      <c r="E22" s="812">
        <f t="shared" si="0"/>
        <v>0</v>
      </c>
      <c r="F22" s="812"/>
      <c r="G22" s="813">
        <f>Consolidated!$F24</f>
        <v>6.0640000000000001</v>
      </c>
      <c r="H22" s="813">
        <f>Consolidated!$H$9</f>
        <v>1</v>
      </c>
      <c r="I22" s="22">
        <f t="shared" si="3"/>
        <v>0</v>
      </c>
      <c r="J22" s="121">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629">
        <f>SUMIFS(CountData!D:D,CountData!B:B,$I$2,CountData!C:C,$O23)</f>
        <v>0</v>
      </c>
      <c r="D23" s="629">
        <f>SUMIFS(CountData!J:J,CountData!H:H,$I$2,CountData!I:I,$O23)</f>
        <v>0</v>
      </c>
      <c r="E23" s="812">
        <f t="shared" si="0"/>
        <v>0</v>
      </c>
      <c r="F23" s="812"/>
      <c r="G23" s="813">
        <f>Consolidated!$F25</f>
        <v>6.0640000000000001</v>
      </c>
      <c r="H23" s="813">
        <f>Consolidated!$H$9</f>
        <v>1</v>
      </c>
      <c r="I23" s="22">
        <f t="shared" si="3"/>
        <v>0</v>
      </c>
      <c r="J23" s="121">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629">
        <f>SUMIFS(CountData!D:D,CountData!B:B,$I$2,CountData!C:C,$O24)</f>
        <v>0</v>
      </c>
      <c r="D24" s="629">
        <f>SUMIFS(CountData!J:J,CountData!H:H,$I$2,CountData!I:I,$O24)</f>
        <v>0</v>
      </c>
      <c r="E24" s="812">
        <f t="shared" si="0"/>
        <v>0</v>
      </c>
      <c r="F24" s="812"/>
      <c r="G24" s="813">
        <f>Consolidated!$F26</f>
        <v>1.165</v>
      </c>
      <c r="H24" s="813">
        <f>Consolidated!$H$9</f>
        <v>1</v>
      </c>
      <c r="I24" s="22">
        <f t="shared" si="3"/>
        <v>0</v>
      </c>
      <c r="J24" s="121">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629">
        <f>SUMIFS(CountData!D:D,CountData!B:B,$I$2,CountData!C:C,$O25)</f>
        <v>1.23</v>
      </c>
      <c r="D25" s="629">
        <f>SUMIFS(CountData!J:J,CountData!H:H,$I$2,CountData!I:I,$O25)</f>
        <v>0.84</v>
      </c>
      <c r="E25" s="812">
        <f t="shared" si="0"/>
        <v>2.0699999999999998</v>
      </c>
      <c r="F25" s="812"/>
      <c r="G25" s="813">
        <f>Consolidated!$F27</f>
        <v>1.165</v>
      </c>
      <c r="H25" s="813">
        <f>Consolidated!$H$9</f>
        <v>1</v>
      </c>
      <c r="I25" s="22">
        <f t="shared" si="3"/>
        <v>2.4116</v>
      </c>
      <c r="J25" s="121">
        <f t="shared" si="1"/>
        <v>13416.52</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111">
        <f>SUMIFS(CountData!D:D,CountData!B:B,$I$2,CountData!C:C,$O26)</f>
        <v>0</v>
      </c>
      <c r="D26" s="111">
        <f>SUMIFS(CountData!J:J,CountData!H:H,$I$2,CountData!I:I,$O26)</f>
        <v>0</v>
      </c>
      <c r="E26" s="812">
        <f t="shared" si="0"/>
        <v>0</v>
      </c>
      <c r="F26" s="812"/>
      <c r="G26" s="813">
        <f>Consolidated!$F28</f>
        <v>1.165</v>
      </c>
      <c r="H26" s="813">
        <f>Consolidated!$H$9</f>
        <v>1</v>
      </c>
      <c r="I26" s="22">
        <f t="shared" si="3"/>
        <v>0</v>
      </c>
      <c r="J26" s="121">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113">
        <f>SUMIFS(CountData!D:D,CountData!B:B,$I$2,CountData!C:C,$O27)</f>
        <v>0</v>
      </c>
      <c r="D27" s="113">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11.41</v>
      </c>
      <c r="D28" s="630">
        <f>SUM(D12:D27)</f>
        <v>12.31</v>
      </c>
      <c r="E28" s="817">
        <f>SUM(E12:E27)</f>
        <v>23.72</v>
      </c>
      <c r="F28" s="817"/>
      <c r="G28" s="812"/>
      <c r="H28" s="812"/>
      <c r="I28" s="23">
        <f>SUM(I12:I27)</f>
        <v>24.061599999999999</v>
      </c>
      <c r="J28" s="121">
        <f>SUM(J12:J27)</f>
        <v>133862.56</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v>0</v>
      </c>
      <c r="W32" s="880" t="s">
        <v>43</v>
      </c>
      <c r="X32" s="880"/>
      <c r="Y32" s="157">
        <f>SUM(Y31:Y31)</f>
        <v>0</v>
      </c>
    </row>
    <row r="33" spans="1:25" ht="20.25" hidden="1" customHeight="1" thickBot="1" x14ac:dyDescent="0.3">
      <c r="A33" s="818" t="s">
        <v>44</v>
      </c>
      <c r="B33" s="818"/>
      <c r="C33" s="818"/>
      <c r="D33" s="818"/>
      <c r="E33" s="818"/>
      <c r="F33" s="818"/>
      <c r="G33" s="31">
        <f>G32+I28</f>
        <v>24.061599999999999</v>
      </c>
      <c r="H33" s="812" t="s">
        <v>45</v>
      </c>
      <c r="I33" s="812"/>
      <c r="J33" s="32">
        <f>SUM(J32,J28)</f>
        <v>133862.56</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204869.52</v>
      </c>
      <c r="H36" s="37" t="s">
        <v>49</v>
      </c>
      <c r="I36" s="38">
        <v>6.6699999999999995E-2</v>
      </c>
      <c r="J36" s="125">
        <f>ROUND(G36*I36,2)</f>
        <v>13664.8</v>
      </c>
      <c r="K36" s="39"/>
      <c r="L36" s="33"/>
      <c r="M36" s="33"/>
      <c r="N36" s="33"/>
      <c r="O36" s="31"/>
      <c r="P36" s="34"/>
      <c r="Q36" s="34"/>
      <c r="R36" s="737" t="s">
        <v>47</v>
      </c>
      <c r="S36" s="737"/>
      <c r="T36" s="737"/>
      <c r="U36" s="163"/>
      <c r="V36" s="166">
        <f>Y28</f>
        <v>0</v>
      </c>
      <c r="W36" s="167" t="s">
        <v>49</v>
      </c>
      <c r="X36" s="168">
        <v>6.6699999999999995E-2</v>
      </c>
      <c r="Y36" s="217">
        <f>ROUND(V36*X36,2)</f>
        <v>0</v>
      </c>
    </row>
    <row r="37" spans="1:25" ht="20.25" customHeight="1" x14ac:dyDescent="0.25">
      <c r="A37" s="738" t="s">
        <v>50</v>
      </c>
      <c r="B37" s="738"/>
      <c r="C37" s="738"/>
      <c r="D37" s="738"/>
      <c r="E37" s="738"/>
      <c r="F37" s="36" t="s">
        <v>48</v>
      </c>
      <c r="G37" s="126">
        <v>204869.52</v>
      </c>
      <c r="H37" s="37" t="s">
        <v>49</v>
      </c>
      <c r="I37" s="38">
        <v>5.4000000000000003E-3</v>
      </c>
      <c r="J37" s="125">
        <f>ROUND(G37*I37,2)</f>
        <v>1106.3</v>
      </c>
      <c r="K37" s="39"/>
      <c r="L37" s="33"/>
      <c r="M37" s="33"/>
      <c r="N37" s="33"/>
      <c r="O37" s="31"/>
      <c r="P37" s="34"/>
      <c r="Q37" s="34"/>
      <c r="R37" s="737" t="s">
        <v>50</v>
      </c>
      <c r="S37" s="737"/>
      <c r="T37" s="737"/>
      <c r="U37" s="163"/>
      <c r="V37" s="166">
        <f>Y28</f>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14771.099999999999</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632"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114">
        <v>0</v>
      </c>
      <c r="D41" s="114"/>
      <c r="E41" s="826">
        <f t="shared" ref="E41:E49" si="8">IF($D$50=0,C41*2,C41+D41)</f>
        <v>0</v>
      </c>
      <c r="F41" s="826"/>
      <c r="G41" s="37" t="s">
        <v>59</v>
      </c>
      <c r="H41" s="37">
        <v>251</v>
      </c>
      <c r="I41" s="130">
        <f>Consolidated!$H59</f>
        <v>1047</v>
      </c>
      <c r="J41" s="46">
        <f t="shared" ref="J41:J49" si="9">ROUND(E41*I41,2)</f>
        <v>0</v>
      </c>
      <c r="L41" s="3"/>
      <c r="M41" s="2"/>
      <c r="Q41" s="4"/>
      <c r="R41" s="885" t="s">
        <v>159</v>
      </c>
      <c r="S41" s="885"/>
      <c r="T41" s="893"/>
      <c r="U41" s="893"/>
      <c r="V41" s="167" t="s">
        <v>59</v>
      </c>
      <c r="W41" s="167">
        <v>251</v>
      </c>
      <c r="X41" s="128">
        <f t="shared" ref="X41:X49" si="10">I41</f>
        <v>1047</v>
      </c>
      <c r="Y41" s="218">
        <f>ROUND(T41*X41,2)</f>
        <v>0</v>
      </c>
    </row>
    <row r="42" spans="1:25" x14ac:dyDescent="0.25">
      <c r="A42" s="825"/>
      <c r="B42" s="825"/>
      <c r="C42" s="115">
        <v>0</v>
      </c>
      <c r="D42" s="115"/>
      <c r="E42" s="826">
        <f t="shared" si="8"/>
        <v>0</v>
      </c>
      <c r="F42" s="826"/>
      <c r="G42" s="37" t="s">
        <v>59</v>
      </c>
      <c r="H42" s="37">
        <v>252</v>
      </c>
      <c r="I42" s="130">
        <f>Consolidated!$H60</f>
        <v>3380</v>
      </c>
      <c r="J42" s="46">
        <f t="shared" si="9"/>
        <v>0</v>
      </c>
      <c r="M42" s="2"/>
      <c r="R42" s="885"/>
      <c r="S42" s="885"/>
      <c r="T42" s="886"/>
      <c r="U42" s="886"/>
      <c r="V42" s="167" t="s">
        <v>59</v>
      </c>
      <c r="W42" s="167">
        <v>252</v>
      </c>
      <c r="X42" s="128">
        <f t="shared" si="10"/>
        <v>3380</v>
      </c>
      <c r="Y42" s="218">
        <f t="shared" ref="Y42:Y49" si="11">ROUND(T42*X42,2)</f>
        <v>0</v>
      </c>
    </row>
    <row r="43" spans="1:25" x14ac:dyDescent="0.25">
      <c r="A43" s="825"/>
      <c r="B43" s="825"/>
      <c r="C43" s="115">
        <v>0</v>
      </c>
      <c r="D43" s="115"/>
      <c r="E43" s="826">
        <f t="shared" si="8"/>
        <v>0</v>
      </c>
      <c r="F43" s="826"/>
      <c r="G43" s="37" t="s">
        <v>59</v>
      </c>
      <c r="H43" s="37">
        <v>253</v>
      </c>
      <c r="I43" s="130">
        <f>Consolidated!$H61</f>
        <v>6896</v>
      </c>
      <c r="J43" s="46">
        <f t="shared" si="9"/>
        <v>0</v>
      </c>
      <c r="M43" s="2"/>
      <c r="R43" s="885"/>
      <c r="S43" s="885"/>
      <c r="T43" s="867"/>
      <c r="U43" s="867"/>
      <c r="V43" s="167" t="s">
        <v>59</v>
      </c>
      <c r="W43" s="167">
        <v>253</v>
      </c>
      <c r="X43" s="128">
        <f t="shared" si="10"/>
        <v>6896</v>
      </c>
      <c r="Y43" s="218">
        <f t="shared" si="11"/>
        <v>0</v>
      </c>
    </row>
    <row r="44" spans="1:25" ht="20.25" customHeight="1" x14ac:dyDescent="0.25">
      <c r="A44" s="825"/>
      <c r="B44" s="825"/>
      <c r="C44" s="681">
        <v>3</v>
      </c>
      <c r="D44" s="127"/>
      <c r="E44" s="826">
        <f t="shared" si="8"/>
        <v>6</v>
      </c>
      <c r="F44" s="826"/>
      <c r="G44" s="47" t="s">
        <v>60</v>
      </c>
      <c r="H44" s="37">
        <v>251</v>
      </c>
      <c r="I44" s="130">
        <f>Consolidated!$H62</f>
        <v>1173</v>
      </c>
      <c r="J44" s="131">
        <f t="shared" si="9"/>
        <v>7038</v>
      </c>
      <c r="L44" s="3"/>
      <c r="M44" s="2"/>
      <c r="Q44" s="4"/>
      <c r="R44" s="885"/>
      <c r="S44" s="885"/>
      <c r="T44" s="867"/>
      <c r="U44" s="867"/>
      <c r="V44" s="176" t="s">
        <v>60</v>
      </c>
      <c r="W44" s="167">
        <v>251</v>
      </c>
      <c r="X44" s="128">
        <f t="shared" si="10"/>
        <v>1173</v>
      </c>
      <c r="Y44" s="218">
        <f t="shared" si="11"/>
        <v>0</v>
      </c>
    </row>
    <row r="45" spans="1:25" x14ac:dyDescent="0.25">
      <c r="A45" s="825"/>
      <c r="B45" s="825"/>
      <c r="C45" s="681">
        <v>0.5</v>
      </c>
      <c r="D45" s="115"/>
      <c r="E45" s="826">
        <f t="shared" si="8"/>
        <v>1</v>
      </c>
      <c r="F45" s="826"/>
      <c r="G45" s="47" t="s">
        <v>60</v>
      </c>
      <c r="H45" s="37">
        <v>252</v>
      </c>
      <c r="I45" s="130">
        <f>Consolidated!$H63</f>
        <v>3506</v>
      </c>
      <c r="J45" s="46">
        <f t="shared" si="9"/>
        <v>3506</v>
      </c>
      <c r="M45" s="2"/>
      <c r="R45" s="885"/>
      <c r="S45" s="885"/>
      <c r="T45" s="867"/>
      <c r="U45" s="867"/>
      <c r="V45" s="176" t="s">
        <v>60</v>
      </c>
      <c r="W45" s="167">
        <v>252</v>
      </c>
      <c r="X45" s="128">
        <f t="shared" si="10"/>
        <v>3506</v>
      </c>
      <c r="Y45" s="218">
        <f t="shared" si="11"/>
        <v>0</v>
      </c>
    </row>
    <row r="46" spans="1:25" x14ac:dyDescent="0.25">
      <c r="A46" s="825"/>
      <c r="B46" s="825"/>
      <c r="C46" s="115">
        <v>0</v>
      </c>
      <c r="D46" s="115"/>
      <c r="E46" s="826">
        <f t="shared" si="8"/>
        <v>0</v>
      </c>
      <c r="F46" s="826"/>
      <c r="G46" s="47" t="s">
        <v>60</v>
      </c>
      <c r="H46" s="37">
        <v>253</v>
      </c>
      <c r="I46" s="130">
        <f>Consolidated!$H64</f>
        <v>7023</v>
      </c>
      <c r="J46" s="46">
        <f t="shared" si="9"/>
        <v>0</v>
      </c>
      <c r="M46" s="2"/>
      <c r="R46" s="885"/>
      <c r="S46" s="885"/>
      <c r="T46" s="867"/>
      <c r="U46" s="867"/>
      <c r="V46" s="176" t="s">
        <v>60</v>
      </c>
      <c r="W46" s="167">
        <v>253</v>
      </c>
      <c r="X46" s="128">
        <f t="shared" si="10"/>
        <v>7023</v>
      </c>
      <c r="Y46" s="218">
        <f t="shared" si="11"/>
        <v>0</v>
      </c>
    </row>
    <row r="47" spans="1:25" ht="16.5" customHeight="1" x14ac:dyDescent="0.25">
      <c r="A47" s="825"/>
      <c r="B47" s="825"/>
      <c r="C47" s="115">
        <v>0</v>
      </c>
      <c r="D47" s="115">
        <v>0</v>
      </c>
      <c r="E47" s="826">
        <f t="shared" si="8"/>
        <v>0</v>
      </c>
      <c r="F47" s="826"/>
      <c r="G47" s="47" t="s">
        <v>61</v>
      </c>
      <c r="H47" s="37">
        <v>251</v>
      </c>
      <c r="I47" s="130">
        <f>Consolidated!$H65</f>
        <v>835</v>
      </c>
      <c r="J47" s="46">
        <f t="shared" si="9"/>
        <v>0</v>
      </c>
      <c r="M47" s="2"/>
      <c r="R47" s="885"/>
      <c r="S47" s="885"/>
      <c r="T47" s="867"/>
      <c r="U47" s="867"/>
      <c r="V47" s="176" t="s">
        <v>61</v>
      </c>
      <c r="W47" s="167">
        <v>251</v>
      </c>
      <c r="X47" s="128">
        <f t="shared" si="10"/>
        <v>835</v>
      </c>
      <c r="Y47" s="218">
        <f t="shared" si="11"/>
        <v>0</v>
      </c>
    </row>
    <row r="48" spans="1:25" ht="15.75" customHeight="1" x14ac:dyDescent="0.25">
      <c r="A48" s="825"/>
      <c r="B48" s="825"/>
      <c r="C48" s="115">
        <v>0</v>
      </c>
      <c r="D48" s="115">
        <v>0</v>
      </c>
      <c r="E48" s="826">
        <f t="shared" si="8"/>
        <v>0</v>
      </c>
      <c r="F48" s="826"/>
      <c r="G48" s="47" t="s">
        <v>61</v>
      </c>
      <c r="H48" s="37">
        <v>252</v>
      </c>
      <c r="I48" s="130">
        <f>Consolidated!$H66</f>
        <v>3168</v>
      </c>
      <c r="J48" s="46">
        <f t="shared" si="9"/>
        <v>0</v>
      </c>
      <c r="M48" s="2"/>
      <c r="R48" s="885"/>
      <c r="S48" s="885"/>
      <c r="T48" s="867"/>
      <c r="U48" s="867"/>
      <c r="V48" s="176" t="s">
        <v>61</v>
      </c>
      <c r="W48" s="167">
        <v>252</v>
      </c>
      <c r="X48" s="128">
        <f t="shared" si="10"/>
        <v>3168</v>
      </c>
      <c r="Y48" s="218">
        <f t="shared" si="11"/>
        <v>0</v>
      </c>
    </row>
    <row r="49" spans="1:25" ht="15.75" customHeight="1" thickBot="1" x14ac:dyDescent="0.3">
      <c r="A49" s="825"/>
      <c r="B49" s="825"/>
      <c r="C49" s="115">
        <v>0</v>
      </c>
      <c r="D49" s="115">
        <v>0</v>
      </c>
      <c r="E49" s="831">
        <f t="shared" si="8"/>
        <v>0</v>
      </c>
      <c r="F49" s="831"/>
      <c r="G49" s="47" t="s">
        <v>61</v>
      </c>
      <c r="H49" s="37">
        <v>253</v>
      </c>
      <c r="I49" s="130">
        <f>Consolidated!$H67</f>
        <v>6685</v>
      </c>
      <c r="J49" s="46">
        <f t="shared" si="9"/>
        <v>0</v>
      </c>
      <c r="M49" s="2"/>
      <c r="R49" s="885"/>
      <c r="S49" s="885"/>
      <c r="T49" s="868"/>
      <c r="U49" s="868"/>
      <c r="V49" s="176" t="s">
        <v>61</v>
      </c>
      <c r="W49" s="167">
        <v>253</v>
      </c>
      <c r="X49" s="128">
        <f t="shared" si="10"/>
        <v>6685</v>
      </c>
      <c r="Y49" s="218">
        <f t="shared" si="11"/>
        <v>0</v>
      </c>
    </row>
    <row r="50" spans="1:25" ht="15.75" customHeight="1" thickBot="1" x14ac:dyDescent="0.3">
      <c r="A50" s="818" t="s">
        <v>62</v>
      </c>
      <c r="B50" s="818"/>
      <c r="C50" s="524">
        <f>SUM(C41:C49)</f>
        <v>3.5</v>
      </c>
      <c r="D50" s="631">
        <f>SUM(D41:D49)</f>
        <v>0</v>
      </c>
      <c r="E50" s="832">
        <f>SUM(E41:E49)</f>
        <v>7</v>
      </c>
      <c r="F50" s="832"/>
      <c r="G50" s="818" t="s">
        <v>63</v>
      </c>
      <c r="H50" s="818"/>
      <c r="I50" s="818"/>
      <c r="J50" s="225">
        <f>SUM(J41:J49)</f>
        <v>10544</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48">
        <f>E28</f>
        <v>23.72</v>
      </c>
      <c r="D53" s="49" t="s">
        <v>66</v>
      </c>
      <c r="G53" s="794" t="s">
        <v>67</v>
      </c>
      <c r="H53" s="794"/>
      <c r="I53" s="634">
        <f>Consolidated!H$71</f>
        <v>207782.75</v>
      </c>
      <c r="J53" s="633"/>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IFERROR(ROUND(C53/I53,6),0)</f>
        <v>1.1400000000000001E-4</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Y33</f>
        <v>0</v>
      </c>
      <c r="U55" s="178" t="s">
        <v>66</v>
      </c>
      <c r="V55" s="179"/>
      <c r="W55" s="180" t="s">
        <v>71</v>
      </c>
      <c r="X55" s="863">
        <f>I56</f>
        <v>221179.83999999997</v>
      </c>
      <c r="Y55" s="863"/>
    </row>
    <row r="56" spans="1:25" ht="16.5" customHeight="1" x14ac:dyDescent="0.25">
      <c r="A56" s="827" t="s">
        <v>70</v>
      </c>
      <c r="B56" s="827"/>
      <c r="C56" s="48">
        <f>G33</f>
        <v>24.061599999999999</v>
      </c>
      <c r="D56" s="49" t="s">
        <v>66</v>
      </c>
      <c r="G56" s="794" t="s">
        <v>71</v>
      </c>
      <c r="H56" s="794"/>
      <c r="I56" s="634">
        <f>Consolidated!H$74</f>
        <v>221179.83999999997</v>
      </c>
      <c r="J56" s="633"/>
      <c r="M56" s="2"/>
      <c r="R56" s="181"/>
      <c r="S56" s="164"/>
      <c r="T56" s="164"/>
      <c r="U56" s="164"/>
      <c r="V56" s="164"/>
      <c r="W56" s="183" t="s">
        <v>68</v>
      </c>
      <c r="X56" s="864">
        <f>ROUND(T55/X55,6)</f>
        <v>0</v>
      </c>
      <c r="Y56" s="864"/>
    </row>
    <row r="57" spans="1:25" ht="18.75" customHeight="1" x14ac:dyDescent="0.25">
      <c r="A57" s="51"/>
      <c r="H57" s="53" t="s">
        <v>68</v>
      </c>
      <c r="I57" s="828">
        <f>IFERROR(ROUND(C56/I56,6),0)</f>
        <v>1.0900000000000001E-4</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48">
        <f>E28</f>
        <v>23.72</v>
      </c>
      <c r="D59" s="49" t="s">
        <v>66</v>
      </c>
      <c r="F59" s="794" t="s">
        <v>74</v>
      </c>
      <c r="G59" s="794"/>
      <c r="H59" s="794"/>
      <c r="I59" s="634">
        <f>Consolidated!H$77</f>
        <v>178931.75</v>
      </c>
      <c r="J59" s="633"/>
      <c r="M59" s="2"/>
      <c r="R59" s="181"/>
      <c r="S59" s="164"/>
      <c r="T59" s="164"/>
      <c r="U59" s="164"/>
      <c r="V59" s="164"/>
      <c r="W59" s="183" t="s">
        <v>68</v>
      </c>
      <c r="X59" s="864">
        <f>ROUND(T58/X58,6)</f>
        <v>0</v>
      </c>
      <c r="Y59" s="864"/>
    </row>
    <row r="60" spans="1:25" ht="18" customHeight="1" x14ac:dyDescent="0.25">
      <c r="A60" s="51"/>
      <c r="H60" s="53" t="s">
        <v>68</v>
      </c>
      <c r="I60" s="828">
        <f>IFERROR(ROUND(C59/I59,6),0)</f>
        <v>1.3300000000000001E-4</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x14ac:dyDescent="0.25">
      <c r="A62" s="827" t="s">
        <v>73</v>
      </c>
      <c r="B62" s="827"/>
      <c r="C62" s="48">
        <f>E28</f>
        <v>23.72</v>
      </c>
      <c r="D62" s="49" t="s">
        <v>66</v>
      </c>
      <c r="F62" s="794" t="s">
        <v>76</v>
      </c>
      <c r="G62" s="794"/>
      <c r="H62" s="794"/>
      <c r="I62" s="634">
        <f>Consolidated!H$80</f>
        <v>207463.82</v>
      </c>
      <c r="J62" s="633"/>
      <c r="M62" s="2"/>
      <c r="R62" s="181"/>
      <c r="S62" s="164"/>
      <c r="T62" s="164"/>
      <c r="U62" s="164"/>
      <c r="V62" s="164"/>
      <c r="W62" s="183" t="s">
        <v>68</v>
      </c>
      <c r="X62" s="864">
        <f>ROUND(T61/X61,6)</f>
        <v>0</v>
      </c>
      <c r="Y62" s="864"/>
    </row>
    <row r="63" spans="1:25" ht="19.5" customHeight="1" x14ac:dyDescent="0.25">
      <c r="A63" s="51"/>
      <c r="H63" s="53" t="s">
        <v>68</v>
      </c>
      <c r="I63" s="828">
        <f>IFERROR(ROUND(C62/I62,6),0)</f>
        <v>1.1400000000000001E-4</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x14ac:dyDescent="0.25">
      <c r="A65" s="827" t="s">
        <v>73</v>
      </c>
      <c r="B65" s="827"/>
      <c r="C65" s="48">
        <f>E28</f>
        <v>23.72</v>
      </c>
      <c r="D65" s="795" t="s">
        <v>542</v>
      </c>
      <c r="E65" s="795"/>
      <c r="F65" s="795"/>
      <c r="G65" s="795"/>
      <c r="H65" s="795"/>
      <c r="I65" s="634">
        <f>Consolidated!H$83</f>
        <v>178612.82</v>
      </c>
      <c r="J65" s="633"/>
      <c r="M65" s="2"/>
      <c r="R65" s="184"/>
      <c r="S65" s="164"/>
      <c r="T65" s="164"/>
      <c r="U65" s="164"/>
      <c r="V65" s="164"/>
      <c r="W65" s="183" t="s">
        <v>68</v>
      </c>
      <c r="X65" s="864">
        <f>ROUND(T64/X64,6)</f>
        <v>0</v>
      </c>
      <c r="Y65" s="864"/>
    </row>
    <row r="66" spans="1:26" ht="19.5" customHeight="1" x14ac:dyDescent="0.25">
      <c r="A66" s="51"/>
      <c r="H66" s="53" t="s">
        <v>68</v>
      </c>
      <c r="I66" s="828">
        <f>IFERROR(ROUND(C65/I65,6),0)</f>
        <v>1.3300000000000001E-4</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1.1400000000000001E-4</v>
      </c>
      <c r="J68" s="132">
        <f>ROUND(G68*I68,2)</f>
        <v>5201.7700000000004</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2">ROUND(V69*X69,2)</f>
        <v>0</v>
      </c>
    </row>
    <row r="70" spans="1:26" ht="17.25" customHeight="1" x14ac:dyDescent="0.25">
      <c r="A70" s="839" t="s">
        <v>83</v>
      </c>
      <c r="B70" s="839"/>
      <c r="C70" s="839"/>
      <c r="D70" s="839"/>
      <c r="E70" s="839"/>
      <c r="F70" s="36" t="s">
        <v>84</v>
      </c>
      <c r="G70" s="226">
        <f>Consolidated!F$89</f>
        <v>0</v>
      </c>
      <c r="H70" s="37" t="s">
        <v>81</v>
      </c>
      <c r="I70" s="41">
        <f>I54</f>
        <v>1.1400000000000001E-4</v>
      </c>
      <c r="J70" s="132">
        <f>ROUND(G70*I70,2)</f>
        <v>0</v>
      </c>
      <c r="M70" s="2"/>
      <c r="R70" s="739" t="s">
        <v>163</v>
      </c>
      <c r="S70" s="739"/>
      <c r="T70" s="739"/>
      <c r="U70" s="163"/>
      <c r="V70" s="187">
        <f>G71</f>
        <v>18934058</v>
      </c>
      <c r="W70" s="167" t="s">
        <v>81</v>
      </c>
      <c r="X70" s="170">
        <f>X65</f>
        <v>0</v>
      </c>
      <c r="Y70" s="217">
        <f t="shared" si="12"/>
        <v>0</v>
      </c>
    </row>
    <row r="71" spans="1:26" ht="19.5" customHeight="1" x14ac:dyDescent="0.25">
      <c r="A71" s="820" t="s">
        <v>85</v>
      </c>
      <c r="B71" s="820"/>
      <c r="C71" s="820"/>
      <c r="D71" s="820"/>
      <c r="E71" s="820"/>
      <c r="F71" s="36" t="s">
        <v>86</v>
      </c>
      <c r="G71" s="226">
        <f>Consolidated!F$91</f>
        <v>18934058</v>
      </c>
      <c r="H71" s="37" t="s">
        <v>81</v>
      </c>
      <c r="I71" s="41">
        <f>I66</f>
        <v>1.3300000000000001E-4</v>
      </c>
      <c r="J71" s="132">
        <f>ROUND(G71*I71,2)</f>
        <v>2518.23</v>
      </c>
      <c r="M71" s="2"/>
      <c r="R71" s="171" t="s">
        <v>164</v>
      </c>
      <c r="S71" s="171"/>
      <c r="T71" s="171"/>
      <c r="U71" s="163"/>
      <c r="V71" s="165">
        <f>G72</f>
        <v>11300012</v>
      </c>
      <c r="W71" s="167" t="s">
        <v>81</v>
      </c>
      <c r="X71" s="170">
        <f>X59</f>
        <v>0</v>
      </c>
      <c r="Y71" s="217">
        <f t="shared" si="12"/>
        <v>0</v>
      </c>
    </row>
    <row r="72" spans="1:26" ht="19.5" customHeight="1" x14ac:dyDescent="0.25">
      <c r="A72" s="42" t="s">
        <v>87</v>
      </c>
      <c r="B72" s="42"/>
      <c r="C72" s="42"/>
      <c r="D72" s="42"/>
      <c r="E72" s="42"/>
      <c r="F72" s="36" t="s">
        <v>88</v>
      </c>
      <c r="G72" s="226">
        <f>Consolidated!F$93</f>
        <v>11300012</v>
      </c>
      <c r="H72" s="37" t="s">
        <v>81</v>
      </c>
      <c r="I72" s="41">
        <f>I60</f>
        <v>1.3300000000000001E-4</v>
      </c>
      <c r="J72" s="132">
        <f>ROUND(G72*I72,2)</f>
        <v>1502.9</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1.0900000000000001E-4</v>
      </c>
      <c r="J85" s="132">
        <f>ROUND(G85*I85,2)</f>
        <v>29300.97</v>
      </c>
      <c r="K85" s="70"/>
      <c r="L85" s="70"/>
      <c r="M85" s="71"/>
      <c r="N85" s="70"/>
      <c r="O85" s="70"/>
      <c r="P85" s="70"/>
      <c r="Q85" s="70"/>
      <c r="R85" s="739" t="s">
        <v>168</v>
      </c>
      <c r="S85" s="739"/>
      <c r="T85" s="739"/>
      <c r="U85" s="163"/>
      <c r="V85" s="165">
        <f>G85</f>
        <v>268816278</v>
      </c>
      <c r="W85" s="167" t="s">
        <v>81</v>
      </c>
      <c r="X85" s="170">
        <f>X56</f>
        <v>0</v>
      </c>
      <c r="Y85" s="217">
        <f t="shared" ref="Y85:Y87" si="13">ROUND(V85*X85,2)</f>
        <v>0</v>
      </c>
    </row>
    <row r="86" spans="1:26" ht="14.25" customHeight="1" x14ac:dyDescent="0.25">
      <c r="A86" s="820" t="s">
        <v>104</v>
      </c>
      <c r="B86" s="820"/>
      <c r="C86" s="820"/>
      <c r="D86" s="820"/>
      <c r="E86" s="820"/>
      <c r="F86" s="36" t="s">
        <v>103</v>
      </c>
      <c r="G86" s="133">
        <v>0</v>
      </c>
      <c r="H86" s="37" t="s">
        <v>81</v>
      </c>
      <c r="I86" s="41">
        <f>I57</f>
        <v>1.0900000000000001E-4</v>
      </c>
      <c r="J86" s="132">
        <f>ROUND(G86*I86,2)</f>
        <v>0</v>
      </c>
      <c r="K86" s="70"/>
      <c r="L86" s="71"/>
      <c r="M86" s="76"/>
      <c r="N86" s="76"/>
      <c r="O86" s="76"/>
      <c r="P86" s="76"/>
      <c r="Q86" s="70"/>
      <c r="R86" s="739" t="s">
        <v>169</v>
      </c>
      <c r="S86" s="739"/>
      <c r="T86" s="739"/>
      <c r="U86" s="163"/>
      <c r="V86" s="197">
        <v>0</v>
      </c>
      <c r="W86" s="167" t="s">
        <v>81</v>
      </c>
      <c r="X86" s="170">
        <f>X56</f>
        <v>0</v>
      </c>
      <c r="Y86" s="217">
        <f t="shared" si="13"/>
        <v>0</v>
      </c>
    </row>
    <row r="87" spans="1:26" ht="18" customHeight="1" x14ac:dyDescent="0.25">
      <c r="A87" s="820" t="s">
        <v>105</v>
      </c>
      <c r="B87" s="820"/>
      <c r="C87" s="820"/>
      <c r="D87" s="820"/>
      <c r="E87" s="820"/>
      <c r="F87" s="36" t="s">
        <v>84</v>
      </c>
      <c r="G87" s="133">
        <v>0</v>
      </c>
      <c r="H87" s="37" t="s">
        <v>81</v>
      </c>
      <c r="I87" s="41">
        <f>I54</f>
        <v>1.1400000000000001E-4</v>
      </c>
      <c r="J87" s="62">
        <f>ROUND(G87*I87,2)</f>
        <v>0</v>
      </c>
      <c r="K87" s="77"/>
      <c r="L87" s="70"/>
      <c r="M87" s="71"/>
      <c r="N87" s="70"/>
      <c r="O87" s="70"/>
      <c r="P87" s="70"/>
      <c r="Q87" s="70"/>
      <c r="R87" s="171" t="s">
        <v>170</v>
      </c>
      <c r="S87" s="171"/>
      <c r="T87" s="171"/>
      <c r="U87" s="163"/>
      <c r="V87" s="197">
        <v>0</v>
      </c>
      <c r="W87" s="167" t="s">
        <v>81</v>
      </c>
      <c r="X87" s="170">
        <f>X53</f>
        <v>0</v>
      </c>
      <c r="Y87" s="217">
        <f t="shared" si="13"/>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635" t="s">
        <v>109</v>
      </c>
      <c r="H89" s="635"/>
      <c r="I89" s="635"/>
      <c r="J89" s="635"/>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636">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24.061599999999999</v>
      </c>
      <c r="C91" s="80"/>
      <c r="D91" s="894">
        <f>I6</f>
        <v>1.0355000000000001</v>
      </c>
      <c r="E91" s="894"/>
      <c r="F91" s="894"/>
      <c r="G91" s="117">
        <f>Consolidated!F$119</f>
        <v>915.09</v>
      </c>
      <c r="H91" s="47" t="s">
        <v>68</v>
      </c>
      <c r="I91" s="4">
        <f>ROUND(B91*D91*G91,2)</f>
        <v>22800.19</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13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24.061599999999999</v>
      </c>
      <c r="C93" s="80"/>
      <c r="D93" s="80"/>
      <c r="E93" s="846" t="s">
        <v>112</v>
      </c>
      <c r="F93" s="846"/>
      <c r="G93" s="846"/>
      <c r="H93" s="846"/>
      <c r="I93" s="846"/>
      <c r="J93" s="121">
        <f>IF(A1=75,0,I92+I91+I90)</f>
        <v>22800.19</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120">
        <v>4</v>
      </c>
      <c r="D97" s="120">
        <v>0</v>
      </c>
      <c r="E97" s="850">
        <f>(C97+D97)</f>
        <v>4</v>
      </c>
      <c r="F97" s="850"/>
      <c r="G97" s="850"/>
      <c r="H97" s="85" t="s">
        <v>117</v>
      </c>
      <c r="I97" s="124">
        <f>Consolidated!G$127</f>
        <v>586</v>
      </c>
      <c r="J97" s="132">
        <f>ROUND(I97*E97,2)</f>
        <v>2344</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2">
        <v>0</v>
      </c>
      <c r="D98" s="222"/>
      <c r="E98" s="852">
        <f>(C98+D98)/2</f>
        <v>0</v>
      </c>
      <c r="F98" s="852"/>
      <c r="G98" s="852"/>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53.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8">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818" t="s">
        <v>125</v>
      </c>
      <c r="B107" s="818"/>
      <c r="C107" s="818"/>
      <c r="D107" s="818"/>
      <c r="E107" s="818"/>
      <c r="F107" s="818"/>
      <c r="G107" s="818"/>
      <c r="H107" s="818"/>
      <c r="I107" s="818"/>
      <c r="J107" s="95">
        <f>SUM(J106,J105,J98,J97,J93,J86,J85,J71,J70,J68,J33,J72,J50,J87,J84)</f>
        <v>208074.62</v>
      </c>
      <c r="R107" s="833" t="s">
        <v>125</v>
      </c>
      <c r="S107" s="833"/>
      <c r="T107" s="833"/>
      <c r="U107" s="833"/>
      <c r="V107" s="833"/>
      <c r="W107" s="833"/>
      <c r="X107" s="833"/>
      <c r="Y107" s="213">
        <f>SUM(Y106,Y105,Y97,Y96,Y93,Y86,Y85,Y84,Y70,Y69,Y67,Y33,Y71,Y50,Y87,Y83)</f>
        <v>0</v>
      </c>
    </row>
    <row r="108" spans="1:25" ht="15.75" customHeight="1" thickTop="1" x14ac:dyDescent="0.25">
      <c r="A108" s="821"/>
      <c r="B108" s="821"/>
      <c r="C108" s="821"/>
      <c r="D108" s="821"/>
      <c r="E108" s="821"/>
      <c r="F108" s="821"/>
      <c r="G108" s="821"/>
      <c r="H108" s="821"/>
      <c r="I108" s="821"/>
      <c r="J108" s="821"/>
      <c r="R108" s="834"/>
      <c r="S108" s="834"/>
      <c r="T108" s="834"/>
      <c r="U108" s="834"/>
      <c r="V108" s="834"/>
      <c r="W108" s="834"/>
      <c r="X108" s="834"/>
      <c r="Y108" s="834"/>
    </row>
    <row r="109" spans="1:25" ht="17.25" customHeight="1" thickBot="1" x14ac:dyDescent="0.3">
      <c r="A109" s="820" t="s">
        <v>131</v>
      </c>
      <c r="B109" s="820"/>
      <c r="C109" s="820"/>
      <c r="D109" s="820"/>
      <c r="E109" s="820"/>
      <c r="F109" s="821"/>
      <c r="G109" s="821"/>
      <c r="H109" s="821"/>
      <c r="I109" s="2" t="s">
        <v>132</v>
      </c>
      <c r="J109" s="96">
        <f>J107-J38</f>
        <v>193303.52</v>
      </c>
      <c r="R109" s="164" t="s">
        <v>176</v>
      </c>
      <c r="S109" s="164"/>
      <c r="T109" s="164"/>
      <c r="U109" s="164"/>
      <c r="V109" s="164"/>
      <c r="W109" s="164"/>
      <c r="X109" s="164"/>
      <c r="Y109" s="214">
        <f>Y107-Y38</f>
        <v>0</v>
      </c>
    </row>
    <row r="110" spans="1:25" ht="18.75" customHeight="1" thickTop="1" x14ac:dyDescent="0.25">
      <c r="A110" s="820" t="s">
        <v>133</v>
      </c>
      <c r="B110" s="820"/>
      <c r="C110" s="820"/>
      <c r="D110" s="820"/>
      <c r="E110" s="820"/>
      <c r="F110" s="820"/>
      <c r="G110" s="820"/>
      <c r="H110" s="820"/>
      <c r="I110" s="42" t="s">
        <v>134</v>
      </c>
      <c r="J110" s="72"/>
      <c r="R110" s="830" t="s">
        <v>136</v>
      </c>
      <c r="S110" s="830"/>
      <c r="T110" s="830"/>
      <c r="U110" s="830"/>
      <c r="V110" s="830"/>
      <c r="W110" s="830"/>
      <c r="X110" s="830"/>
      <c r="Y110" s="830"/>
    </row>
    <row r="111" spans="1:25" ht="15.75" customHeight="1" x14ac:dyDescent="0.25">
      <c r="A111" s="827" t="s">
        <v>135</v>
      </c>
      <c r="B111" s="827"/>
      <c r="C111" s="827"/>
      <c r="D111" s="827"/>
      <c r="E111" s="827"/>
      <c r="F111" s="827"/>
      <c r="G111" s="827"/>
      <c r="H111" s="827"/>
      <c r="I111" s="97"/>
      <c r="J111" s="46">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51"/>
      <c r="I113" s="90"/>
      <c r="J113" s="72"/>
      <c r="R113" s="234"/>
      <c r="S113" s="234"/>
      <c r="T113" s="234"/>
      <c r="U113" s="234"/>
      <c r="V113" s="234"/>
      <c r="W113" s="234"/>
      <c r="X113" s="234"/>
      <c r="Y113" s="234"/>
    </row>
    <row r="114" spans="1:26" x14ac:dyDescent="0.25">
      <c r="A114" s="235" t="s">
        <v>180</v>
      </c>
      <c r="B114" s="236"/>
      <c r="C114" s="236"/>
      <c r="D114" s="236"/>
      <c r="E114" s="236"/>
      <c r="F114" s="236"/>
      <c r="G114" s="236"/>
      <c r="H114" s="638">
        <v>0</v>
      </c>
      <c r="I114" s="639">
        <f>IF(I111=1,J111,J109)</f>
        <v>193303.52</v>
      </c>
      <c r="J114" s="640">
        <f>ROUND(IF(E28=0,0,IF(E28&gt;250,-(((250/E28)*I114)*IF(H114="H",0.02,0.05)),IF(H114="H",-0.02*I114,-0.05*I114))),2)</f>
        <v>-9665.18</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198409.44</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6"/>
      <c r="F118" s="235"/>
      <c r="G118" s="236"/>
      <c r="H118" s="641"/>
      <c r="I118" s="642"/>
      <c r="J118" s="647">
        <f>-'Cumulative Payments'!R72</f>
        <v>-184969.00000000003</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13440.439999999973</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6720.22</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ROUND(IF(H114="H",(I114*0.02)+J114,(I114*0.05)+J114),2)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642"/>
      <c r="I127" s="651"/>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0">
    <mergeCell ref="T41:U41"/>
    <mergeCell ref="D89:F89"/>
    <mergeCell ref="D90:F90"/>
    <mergeCell ref="D91:F91"/>
    <mergeCell ref="D92:F92"/>
    <mergeCell ref="D101:F101"/>
    <mergeCell ref="A147:J147"/>
    <mergeCell ref="E96:G96"/>
    <mergeCell ref="S1:Y1"/>
    <mergeCell ref="R2:Y2"/>
    <mergeCell ref="R3:Y3"/>
    <mergeCell ref="R4:S4"/>
    <mergeCell ref="T4:U4"/>
    <mergeCell ref="R5:Y5"/>
    <mergeCell ref="R6:S6"/>
    <mergeCell ref="T6:U6"/>
    <mergeCell ref="V6:W6"/>
    <mergeCell ref="X6:Y6"/>
    <mergeCell ref="V9:W9"/>
    <mergeCell ref="R10:S10"/>
    <mergeCell ref="T10:U10"/>
    <mergeCell ref="V10:W10"/>
    <mergeCell ref="R11:S11"/>
    <mergeCell ref="T11:U11"/>
    <mergeCell ref="V11:W11"/>
    <mergeCell ref="R12:S12"/>
    <mergeCell ref="T12:U12"/>
    <mergeCell ref="V12:W12"/>
    <mergeCell ref="R13:S13"/>
    <mergeCell ref="T13:U13"/>
    <mergeCell ref="A141:J141"/>
    <mergeCell ref="A142:J142"/>
    <mergeCell ref="A143:J143"/>
    <mergeCell ref="A137:J137"/>
    <mergeCell ref="A139:J139"/>
    <mergeCell ref="A140:J140"/>
    <mergeCell ref="V19:W19"/>
    <mergeCell ref="R20:S20"/>
    <mergeCell ref="T20:U20"/>
    <mergeCell ref="V20:W20"/>
    <mergeCell ref="R21:S21"/>
    <mergeCell ref="T21:U21"/>
    <mergeCell ref="V21:W21"/>
    <mergeCell ref="R22:S22"/>
    <mergeCell ref="T22:U22"/>
    <mergeCell ref="V22:W22"/>
    <mergeCell ref="R23:S23"/>
    <mergeCell ref="T23:U23"/>
    <mergeCell ref="A144:J144"/>
    <mergeCell ref="A145:J145"/>
    <mergeCell ref="A146:J146"/>
    <mergeCell ref="V13:W13"/>
    <mergeCell ref="R14:S14"/>
    <mergeCell ref="T14:U14"/>
    <mergeCell ref="V14:W14"/>
    <mergeCell ref="R15:S15"/>
    <mergeCell ref="T15:U15"/>
    <mergeCell ref="V15:W15"/>
    <mergeCell ref="R16:S16"/>
    <mergeCell ref="T16:U16"/>
    <mergeCell ref="V16:W16"/>
    <mergeCell ref="R17:S17"/>
    <mergeCell ref="T17:U17"/>
    <mergeCell ref="V17:W17"/>
    <mergeCell ref="R18:S18"/>
    <mergeCell ref="T18:U18"/>
    <mergeCell ref="V18:W18"/>
    <mergeCell ref="R19:S19"/>
    <mergeCell ref="T19:U19"/>
    <mergeCell ref="A134:J134"/>
    <mergeCell ref="A135:J135"/>
    <mergeCell ref="A136:J136"/>
    <mergeCell ref="V23:W23"/>
    <mergeCell ref="R24:S24"/>
    <mergeCell ref="T24:U24"/>
    <mergeCell ref="V24:W24"/>
    <mergeCell ref="R25:S25"/>
    <mergeCell ref="T25:U25"/>
    <mergeCell ref="A128:J128"/>
    <mergeCell ref="A129:J129"/>
    <mergeCell ref="A130:J130"/>
    <mergeCell ref="F109:H109"/>
    <mergeCell ref="A110:H110"/>
    <mergeCell ref="A111:H111"/>
    <mergeCell ref="R35:U35"/>
    <mergeCell ref="R36:T36"/>
    <mergeCell ref="R37:T37"/>
    <mergeCell ref="R38:T38"/>
    <mergeCell ref="R40:S40"/>
    <mergeCell ref="T40:U40"/>
    <mergeCell ref="R41:S49"/>
    <mergeCell ref="T42:U42"/>
    <mergeCell ref="T43:U43"/>
    <mergeCell ref="T44:U44"/>
    <mergeCell ref="T45:U45"/>
    <mergeCell ref="T46:U46"/>
    <mergeCell ref="A131:J131"/>
    <mergeCell ref="A132:J132"/>
    <mergeCell ref="A133:J133"/>
    <mergeCell ref="V25:W25"/>
    <mergeCell ref="R26:S26"/>
    <mergeCell ref="T26:U26"/>
    <mergeCell ref="V26:W26"/>
    <mergeCell ref="R27:S27"/>
    <mergeCell ref="T27:U27"/>
    <mergeCell ref="V27:W27"/>
    <mergeCell ref="R28:S28"/>
    <mergeCell ref="T28:U28"/>
    <mergeCell ref="V28:W28"/>
    <mergeCell ref="R29:X29"/>
    <mergeCell ref="T30:X30"/>
    <mergeCell ref="R31:S31"/>
    <mergeCell ref="T31:X31"/>
    <mergeCell ref="R32:U32"/>
    <mergeCell ref="W32:X32"/>
    <mergeCell ref="R33:U33"/>
    <mergeCell ref="W33:X33"/>
    <mergeCell ref="A107:I107"/>
    <mergeCell ref="A108:J108"/>
    <mergeCell ref="A109:E109"/>
    <mergeCell ref="T47:U47"/>
    <mergeCell ref="T48:U48"/>
    <mergeCell ref="T49:U49"/>
    <mergeCell ref="R50:S50"/>
    <mergeCell ref="T50:U50"/>
    <mergeCell ref="A104:B104"/>
    <mergeCell ref="G104:H104"/>
    <mergeCell ref="A105:B105"/>
    <mergeCell ref="A106:E106"/>
    <mergeCell ref="G106:I106"/>
    <mergeCell ref="R57:Y57"/>
    <mergeCell ref="R58:S58"/>
    <mergeCell ref="V58:W58"/>
    <mergeCell ref="X58:Y58"/>
    <mergeCell ref="X59:Y59"/>
    <mergeCell ref="R60:Y60"/>
    <mergeCell ref="R61:S61"/>
    <mergeCell ref="V61:W61"/>
    <mergeCell ref="X61:Y61"/>
    <mergeCell ref="A102:B102"/>
    <mergeCell ref="G102:H102"/>
    <mergeCell ref="A103:B103"/>
    <mergeCell ref="G103:H103"/>
    <mergeCell ref="X62:Y62"/>
    <mergeCell ref="V50:X50"/>
    <mergeCell ref="R51:Y51"/>
    <mergeCell ref="R52:S52"/>
    <mergeCell ref="X52:Y52"/>
    <mergeCell ref="X53:Y53"/>
    <mergeCell ref="R54:Y54"/>
    <mergeCell ref="R55:S55"/>
    <mergeCell ref="X55:Y55"/>
    <mergeCell ref="X56:Y56"/>
    <mergeCell ref="R63:Y63"/>
    <mergeCell ref="R64:S64"/>
    <mergeCell ref="V64:W64"/>
    <mergeCell ref="X64:Y64"/>
    <mergeCell ref="X65:Y65"/>
    <mergeCell ref="R67:T67"/>
    <mergeCell ref="R68:S68"/>
    <mergeCell ref="R69:T69"/>
    <mergeCell ref="R70:T70"/>
    <mergeCell ref="R73:S73"/>
    <mergeCell ref="T73:X73"/>
    <mergeCell ref="R74:S74"/>
    <mergeCell ref="R75:S75"/>
    <mergeCell ref="R76:S76"/>
    <mergeCell ref="R78:S78"/>
    <mergeCell ref="R79:S79"/>
    <mergeCell ref="R83:S83"/>
    <mergeCell ref="A98:B98"/>
    <mergeCell ref="T92:U92"/>
    <mergeCell ref="T93:X93"/>
    <mergeCell ref="R94:Y94"/>
    <mergeCell ref="R95:T95"/>
    <mergeCell ref="V95:Y95"/>
    <mergeCell ref="R96:S96"/>
    <mergeCell ref="T96:V96"/>
    <mergeCell ref="R97:S97"/>
    <mergeCell ref="R84:T84"/>
    <mergeCell ref="R85:T85"/>
    <mergeCell ref="R86:T86"/>
    <mergeCell ref="R88:Y88"/>
    <mergeCell ref="R89:S89"/>
    <mergeCell ref="T89:U89"/>
    <mergeCell ref="V89:Y89"/>
    <mergeCell ref="A85:E85"/>
    <mergeCell ref="A86:E86"/>
    <mergeCell ref="R102:S102"/>
    <mergeCell ref="T102:U102"/>
    <mergeCell ref="V102:W102"/>
    <mergeCell ref="A87:E87"/>
    <mergeCell ref="A88:J88"/>
    <mergeCell ref="R101:S101"/>
    <mergeCell ref="T101:U101"/>
    <mergeCell ref="V101:W101"/>
    <mergeCell ref="E93:I93"/>
    <mergeCell ref="A94:J94"/>
    <mergeCell ref="A95:E95"/>
    <mergeCell ref="G95:J95"/>
    <mergeCell ref="T90:U90"/>
    <mergeCell ref="T91:U91"/>
    <mergeCell ref="A97:B97"/>
    <mergeCell ref="E97:G97"/>
    <mergeCell ref="T97:V97"/>
    <mergeCell ref="R100:T100"/>
    <mergeCell ref="V100:Y100"/>
    <mergeCell ref="E98:G98"/>
    <mergeCell ref="A100:E100"/>
    <mergeCell ref="G100:J100"/>
    <mergeCell ref="R106:T106"/>
    <mergeCell ref="V106:X106"/>
    <mergeCell ref="A65:B65"/>
    <mergeCell ref="I66:J66"/>
    <mergeCell ref="A68:E68"/>
    <mergeCell ref="A69:B69"/>
    <mergeCell ref="R104:S104"/>
    <mergeCell ref="T104:U104"/>
    <mergeCell ref="V104:W104"/>
    <mergeCell ref="A70:E70"/>
    <mergeCell ref="A71:E71"/>
    <mergeCell ref="A74:B74"/>
    <mergeCell ref="E74:I74"/>
    <mergeCell ref="A75:B75"/>
    <mergeCell ref="A76:B76"/>
    <mergeCell ref="R103:S103"/>
    <mergeCell ref="A101:B101"/>
    <mergeCell ref="G101:H101"/>
    <mergeCell ref="T103:U103"/>
    <mergeCell ref="V103:W103"/>
    <mergeCell ref="A77:B77"/>
    <mergeCell ref="A79:B79"/>
    <mergeCell ref="A80:B80"/>
    <mergeCell ref="A84:B84"/>
    <mergeCell ref="A53:B53"/>
    <mergeCell ref="I54:J54"/>
    <mergeCell ref="A55:J55"/>
    <mergeCell ref="A56:B56"/>
    <mergeCell ref="R111:Y111"/>
    <mergeCell ref="R112:Y112"/>
    <mergeCell ref="E48:F48"/>
    <mergeCell ref="E49:F49"/>
    <mergeCell ref="A50:B50"/>
    <mergeCell ref="E50:F50"/>
    <mergeCell ref="G50:I50"/>
    <mergeCell ref="A52:J52"/>
    <mergeCell ref="I57:J57"/>
    <mergeCell ref="A58:J58"/>
    <mergeCell ref="A59:B59"/>
    <mergeCell ref="I60:J60"/>
    <mergeCell ref="R107:X107"/>
    <mergeCell ref="R108:Y108"/>
    <mergeCell ref="R110:Y110"/>
    <mergeCell ref="A61:J61"/>
    <mergeCell ref="A62:B62"/>
    <mergeCell ref="I63:J63"/>
    <mergeCell ref="A64:J64"/>
    <mergeCell ref="R105:S105"/>
    <mergeCell ref="A40:B40"/>
    <mergeCell ref="E40:F40"/>
    <mergeCell ref="A41:B49"/>
    <mergeCell ref="E41:F41"/>
    <mergeCell ref="E42:F42"/>
    <mergeCell ref="E43:F43"/>
    <mergeCell ref="E44:F44"/>
    <mergeCell ref="E45:F45"/>
    <mergeCell ref="E46:F46"/>
    <mergeCell ref="E47:F47"/>
    <mergeCell ref="A33:F33"/>
    <mergeCell ref="H33:I33"/>
    <mergeCell ref="A35:F35"/>
    <mergeCell ref="A36:E36"/>
    <mergeCell ref="A37:E37"/>
    <mergeCell ref="A38:E38"/>
    <mergeCell ref="A29:I29"/>
    <mergeCell ref="A30:B30"/>
    <mergeCell ref="E30:I30"/>
    <mergeCell ref="A31:B31"/>
    <mergeCell ref="A32:F32"/>
    <mergeCell ref="H32:I32"/>
    <mergeCell ref="A27:B27"/>
    <mergeCell ref="E27:F27"/>
    <mergeCell ref="G27:H27"/>
    <mergeCell ref="A28:B28"/>
    <mergeCell ref="E28:F28"/>
    <mergeCell ref="G28:H28"/>
    <mergeCell ref="A25:B25"/>
    <mergeCell ref="E25:F25"/>
    <mergeCell ref="G25:H25"/>
    <mergeCell ref="A26:B26"/>
    <mergeCell ref="E26:F26"/>
    <mergeCell ref="G26:H26"/>
    <mergeCell ref="A23:B23"/>
    <mergeCell ref="E23:F23"/>
    <mergeCell ref="G23:H23"/>
    <mergeCell ref="A24:B24"/>
    <mergeCell ref="E24:F24"/>
    <mergeCell ref="G24:H24"/>
    <mergeCell ref="A21:B21"/>
    <mergeCell ref="E21:F21"/>
    <mergeCell ref="G21:H21"/>
    <mergeCell ref="A22:B22"/>
    <mergeCell ref="E22:F22"/>
    <mergeCell ref="G22:H22"/>
    <mergeCell ref="A19:B19"/>
    <mergeCell ref="E19:F19"/>
    <mergeCell ref="G19:H19"/>
    <mergeCell ref="A20:B20"/>
    <mergeCell ref="E20:F20"/>
    <mergeCell ref="G20:H20"/>
    <mergeCell ref="A17:B17"/>
    <mergeCell ref="E17:F17"/>
    <mergeCell ref="G17:H17"/>
    <mergeCell ref="A18:B18"/>
    <mergeCell ref="E18:F18"/>
    <mergeCell ref="G18:H18"/>
    <mergeCell ref="G15:H15"/>
    <mergeCell ref="A16:B16"/>
    <mergeCell ref="E16:F16"/>
    <mergeCell ref="G16:H16"/>
    <mergeCell ref="A13:B13"/>
    <mergeCell ref="E13:F13"/>
    <mergeCell ref="G13:H13"/>
    <mergeCell ref="A14:B14"/>
    <mergeCell ref="E14:F14"/>
    <mergeCell ref="G14:H14"/>
    <mergeCell ref="G53:H53"/>
    <mergeCell ref="G56:H56"/>
    <mergeCell ref="F59:H59"/>
    <mergeCell ref="F62:H62"/>
    <mergeCell ref="D65:H65"/>
    <mergeCell ref="B1:J1"/>
    <mergeCell ref="A3:J3"/>
    <mergeCell ref="A4:B4"/>
    <mergeCell ref="A5:J5"/>
    <mergeCell ref="A11:B11"/>
    <mergeCell ref="E11:F11"/>
    <mergeCell ref="G11:H11"/>
    <mergeCell ref="A12:B12"/>
    <mergeCell ref="E12:F12"/>
    <mergeCell ref="G12:H12"/>
    <mergeCell ref="A6:B6"/>
    <mergeCell ref="E6:F6"/>
    <mergeCell ref="G6:H6"/>
    <mergeCell ref="G9:H9"/>
    <mergeCell ref="A10:B10"/>
    <mergeCell ref="E10:F10"/>
    <mergeCell ref="G10:H10"/>
    <mergeCell ref="A15:B15"/>
    <mergeCell ref="E15:F15"/>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31445-7265-4724-9D9A-DA2FA2660DCE}">
  <dimension ref="A1:Z207"/>
  <sheetViews>
    <sheetView topLeftCell="A101" workbookViewId="0">
      <selection activeCell="J34" sqref="J34"/>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546</v>
      </c>
      <c r="B2" s="101"/>
      <c r="C2" s="101"/>
      <c r="D2" s="101"/>
      <c r="E2" s="6"/>
      <c r="F2" s="6"/>
      <c r="G2" s="6"/>
      <c r="H2" s="6"/>
      <c r="I2" s="686" t="str">
        <f>RIGHT(A2,4)</f>
        <v>0571</v>
      </c>
      <c r="J2" s="6"/>
      <c r="K2" s="6"/>
      <c r="L2" s="6"/>
      <c r="M2" s="6"/>
      <c r="N2" s="6"/>
      <c r="O2" s="6"/>
      <c r="P2" s="6"/>
      <c r="Q2" s="6"/>
      <c r="R2" s="898" t="str">
        <f>Revenue_Estimate_Worksheet_for___________Charter_School</f>
        <v>Revenue Estimate Worksheet: Palmetto Park - 0571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2.85</v>
      </c>
      <c r="D14" s="357">
        <f>SUMIFS(CountData!J:J,CountData!H:H,$I$2,CountData!I:I,$O14)</f>
        <v>2.56</v>
      </c>
      <c r="E14" s="812">
        <f t="shared" si="0"/>
        <v>5.41</v>
      </c>
      <c r="F14" s="812"/>
      <c r="G14" s="813">
        <f>Consolidated!$F16</f>
        <v>1</v>
      </c>
      <c r="H14" s="813">
        <f>Consolidated!$H$9</f>
        <v>1</v>
      </c>
      <c r="I14" s="517">
        <f t="shared" si="3"/>
        <v>5.41</v>
      </c>
      <c r="J14" s="518">
        <f>ROUND(ROUND(ROUND(I14*$E$6,4)*($I$6),2)*(MAX($I$7,1)),2)</f>
        <v>30097.599999999999</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0.46</v>
      </c>
      <c r="D15" s="357">
        <f>SUMIFS(CountData!J:J,CountData!H:H,$I$2,CountData!I:I,$O15)</f>
        <v>0.48</v>
      </c>
      <c r="E15" s="812">
        <f t="shared" si="0"/>
        <v>0.94</v>
      </c>
      <c r="F15" s="812"/>
      <c r="G15" s="813">
        <f>Consolidated!$F17</f>
        <v>1</v>
      </c>
      <c r="H15" s="813">
        <f>Consolidated!$H$9</f>
        <v>1</v>
      </c>
      <c r="I15" s="517">
        <f t="shared" si="3"/>
        <v>0.94</v>
      </c>
      <c r="J15" s="518">
        <f t="shared" si="1"/>
        <v>5229.53</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27.28</v>
      </c>
      <c r="D16" s="357">
        <f>SUMIFS(CountData!J:J,CountData!H:H,$I$2,CountData!I:I,$O16)</f>
        <v>54.84</v>
      </c>
      <c r="E16" s="812">
        <f t="shared" si="0"/>
        <v>82.12</v>
      </c>
      <c r="F16" s="812"/>
      <c r="G16" s="813">
        <f>Consolidated!$F18</f>
        <v>0.97199999999999998</v>
      </c>
      <c r="H16" s="813">
        <f>Consolidated!$H$9</f>
        <v>1</v>
      </c>
      <c r="I16" s="517">
        <f t="shared" si="3"/>
        <v>79.820599999999999</v>
      </c>
      <c r="J16" s="518">
        <f t="shared" si="1"/>
        <v>444068.12</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9.43</v>
      </c>
      <c r="D17" s="357">
        <f>SUMIFS(CountData!J:J,CountData!H:H,$I$2,CountData!I:I,$O17)</f>
        <v>20.6</v>
      </c>
      <c r="E17" s="812">
        <f t="shared" si="0"/>
        <v>30.03</v>
      </c>
      <c r="F17" s="812"/>
      <c r="G17" s="813">
        <f>Consolidated!$F19</f>
        <v>0.97199999999999998</v>
      </c>
      <c r="H17" s="813">
        <f>Consolidated!$H$9</f>
        <v>1</v>
      </c>
      <c r="I17" s="517">
        <f t="shared" si="3"/>
        <v>29.1892</v>
      </c>
      <c r="J17" s="518">
        <f t="shared" si="1"/>
        <v>162389.07</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254</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255</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1.49</v>
      </c>
      <c r="D26" s="357">
        <f>SUMIFS(CountData!J:J,CountData!H:H,$I$2,CountData!I:I,$O26)</f>
        <v>5.25</v>
      </c>
      <c r="E26" s="812">
        <f t="shared" si="0"/>
        <v>6.74</v>
      </c>
      <c r="F26" s="812"/>
      <c r="G26" s="813">
        <f>Consolidated!$F28</f>
        <v>1.165</v>
      </c>
      <c r="H26" s="813">
        <f>Consolidated!$H$9</f>
        <v>1</v>
      </c>
      <c r="I26" s="517">
        <f t="shared" si="3"/>
        <v>7.8521000000000001</v>
      </c>
      <c r="J26" s="518">
        <f t="shared" si="1"/>
        <v>43683.8</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0.76</v>
      </c>
      <c r="E27" s="814">
        <f t="shared" si="0"/>
        <v>0.76</v>
      </c>
      <c r="F27" s="814"/>
      <c r="G27" s="815">
        <f>Consolidated!$F29</f>
        <v>1.081</v>
      </c>
      <c r="H27" s="815">
        <f>Consolidated!$H$9</f>
        <v>1</v>
      </c>
      <c r="I27" s="22">
        <f t="shared" si="3"/>
        <v>0.8216</v>
      </c>
      <c r="J27" s="121">
        <f t="shared" si="1"/>
        <v>4570.83</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41.51</v>
      </c>
      <c r="D28" s="720">
        <f>SUM(D12:D27)</f>
        <v>84.490000000000009</v>
      </c>
      <c r="E28" s="817">
        <f>SUM(E12:E27)</f>
        <v>126</v>
      </c>
      <c r="F28" s="817"/>
      <c r="G28" s="812"/>
      <c r="H28" s="812"/>
      <c r="I28" s="23">
        <f>SUM(I12:I27)</f>
        <v>124.03349999999999</v>
      </c>
      <c r="J28" s="121">
        <f>SUM(J12:J27)</f>
        <v>690038.95000000007</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124.03349999999999</v>
      </c>
      <c r="H33" s="812" t="s">
        <v>45</v>
      </c>
      <c r="I33" s="812"/>
      <c r="J33" s="32">
        <f>SUM(J32,J28)</f>
        <v>690038.95000000007</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281971.68</v>
      </c>
      <c r="H36" s="37" t="s">
        <v>49</v>
      </c>
      <c r="I36" s="38">
        <v>6.6699999999999995E-2</v>
      </c>
      <c r="J36" s="125">
        <f>ROUND(G36*I36,2)</f>
        <v>18807.509999999998</v>
      </c>
      <c r="K36" s="39"/>
      <c r="L36" s="33"/>
      <c r="M36" s="33"/>
      <c r="N36" s="33"/>
      <c r="O36" s="31"/>
      <c r="P36" s="34"/>
      <c r="Q36" s="34"/>
      <c r="R36" s="737" t="s">
        <v>47</v>
      </c>
      <c r="S36" s="737"/>
      <c r="T36" s="737"/>
      <c r="U36" s="163"/>
      <c r="V36" s="166">
        <v>61196.59</v>
      </c>
      <c r="W36" s="167" t="s">
        <v>49</v>
      </c>
      <c r="X36" s="168">
        <v>6.6699999999999995E-2</v>
      </c>
      <c r="Y36" s="217">
        <f>ROUND(V36*X36,2)</f>
        <v>4081.81</v>
      </c>
    </row>
    <row r="37" spans="1:25" ht="20.25" customHeight="1" x14ac:dyDescent="0.25">
      <c r="A37" s="738" t="s">
        <v>50</v>
      </c>
      <c r="B37" s="738"/>
      <c r="C37" s="738"/>
      <c r="D37" s="738"/>
      <c r="E37" s="738"/>
      <c r="F37" s="36" t="s">
        <v>48</v>
      </c>
      <c r="G37" s="126">
        <v>281971.68</v>
      </c>
      <c r="H37" s="37" t="s">
        <v>49</v>
      </c>
      <c r="I37" s="38">
        <v>5.4000000000000003E-3</v>
      </c>
      <c r="J37" s="125">
        <f>ROUND(G37*I37,2)</f>
        <v>1522.65</v>
      </c>
      <c r="K37" s="39"/>
      <c r="L37" s="33"/>
      <c r="M37" s="33"/>
      <c r="N37" s="33"/>
      <c r="O37" s="31"/>
      <c r="P37" s="34"/>
      <c r="Q37" s="34"/>
      <c r="R37" s="737" t="s">
        <v>50</v>
      </c>
      <c r="S37" s="737"/>
      <c r="T37" s="737"/>
      <c r="U37" s="163"/>
      <c r="V37" s="166">
        <v>61196.59</v>
      </c>
      <c r="W37" s="167" t="s">
        <v>49</v>
      </c>
      <c r="X37" s="168">
        <v>5.4000000000000003E-3</v>
      </c>
      <c r="Y37" s="217">
        <f>ROUND(V37*X37,2)</f>
        <v>330.46</v>
      </c>
    </row>
    <row r="38" spans="1:25" ht="20.25" customHeight="1" x14ac:dyDescent="0.25">
      <c r="A38" s="820" t="s">
        <v>51</v>
      </c>
      <c r="B38" s="820"/>
      <c r="C38" s="820"/>
      <c r="D38" s="820"/>
      <c r="E38" s="820"/>
      <c r="F38" s="36" t="s">
        <v>52</v>
      </c>
      <c r="G38" s="40"/>
      <c r="H38" s="37"/>
      <c r="I38" s="41"/>
      <c r="J38" s="125">
        <f>SUM(J36:J37)</f>
        <v>20330.16</v>
      </c>
      <c r="K38" s="39"/>
      <c r="L38" s="33"/>
      <c r="M38" s="33"/>
      <c r="N38" s="33"/>
      <c r="O38" s="31"/>
      <c r="P38" s="34"/>
      <c r="Q38" s="34"/>
      <c r="R38" s="739" t="s">
        <v>51</v>
      </c>
      <c r="S38" s="739"/>
      <c r="T38" s="739"/>
      <c r="U38" s="163" t="s">
        <v>52</v>
      </c>
      <c r="V38" s="169"/>
      <c r="W38" s="167"/>
      <c r="X38" s="170"/>
      <c r="Y38" s="151">
        <f>Y36+Y37</f>
        <v>4412.2699999999995</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632"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46">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46">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ht="20.25" customHeight="1" x14ac:dyDescent="0.25">
      <c r="A44" s="825"/>
      <c r="B44" s="825"/>
      <c r="C44" s="357">
        <v>0.5</v>
      </c>
      <c r="D44" s="357">
        <v>0</v>
      </c>
      <c r="E44" s="826">
        <f t="shared" si="8"/>
        <v>1</v>
      </c>
      <c r="F44" s="826"/>
      <c r="G44" s="47" t="s">
        <v>60</v>
      </c>
      <c r="H44" s="37">
        <v>251</v>
      </c>
      <c r="I44" s="130">
        <f>Consolidated!$H62</f>
        <v>1173</v>
      </c>
      <c r="J44" s="131">
        <f t="shared" si="9"/>
        <v>1173</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46">
        <f t="shared" si="9"/>
        <v>0</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8.93</v>
      </c>
      <c r="D47" s="357">
        <v>0</v>
      </c>
      <c r="E47" s="826">
        <f t="shared" si="8"/>
        <v>17.86</v>
      </c>
      <c r="F47" s="826"/>
      <c r="G47" s="47" t="s">
        <v>61</v>
      </c>
      <c r="H47" s="37">
        <v>251</v>
      </c>
      <c r="I47" s="130">
        <f>Consolidated!$H65</f>
        <v>835</v>
      </c>
      <c r="J47" s="46">
        <f t="shared" si="9"/>
        <v>14913.1</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0.5</v>
      </c>
      <c r="D49" s="357">
        <v>0</v>
      </c>
      <c r="E49" s="831">
        <f t="shared" si="8"/>
        <v>1</v>
      </c>
      <c r="F49" s="831"/>
      <c r="G49" s="47" t="s">
        <v>61</v>
      </c>
      <c r="H49" s="37">
        <v>253</v>
      </c>
      <c r="I49" s="130">
        <f>Consolidated!$H67</f>
        <v>6685</v>
      </c>
      <c r="J49" s="46">
        <f t="shared" si="9"/>
        <v>6685</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33">
        <f>SUM(C41:C49)</f>
        <v>9.93</v>
      </c>
      <c r="D50" s="33">
        <f>SUM(D41:D49)</f>
        <v>0</v>
      </c>
      <c r="E50" s="832">
        <f>SUM(E41:E49)</f>
        <v>19.86</v>
      </c>
      <c r="F50" s="832"/>
      <c r="G50" s="818" t="s">
        <v>63</v>
      </c>
      <c r="H50" s="818"/>
      <c r="I50" s="818"/>
      <c r="J50" s="225">
        <f>SUM(J41:J49)</f>
        <v>22771.1</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48">
        <f>E28</f>
        <v>126</v>
      </c>
      <c r="D53" s="49" t="s">
        <v>66</v>
      </c>
      <c r="G53" s="3"/>
      <c r="H53" s="50" t="s">
        <v>67</v>
      </c>
      <c r="I53" s="634">
        <f>Consolidated!H$71</f>
        <v>207782.75</v>
      </c>
      <c r="J53" s="633"/>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IFERROR(ROUND(C53/I53,6),0)</f>
        <v>6.0599999999999998E-4</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C56</f>
        <v>124.03349999999999</v>
      </c>
      <c r="U55" s="178" t="s">
        <v>66</v>
      </c>
      <c r="V55" s="179"/>
      <c r="W55" s="180" t="s">
        <v>71</v>
      </c>
      <c r="X55" s="863">
        <f>I56</f>
        <v>221179.83999999997</v>
      </c>
      <c r="Y55" s="863"/>
    </row>
    <row r="56" spans="1:25" ht="16.5" customHeight="1" x14ac:dyDescent="0.25">
      <c r="A56" s="827" t="s">
        <v>70</v>
      </c>
      <c r="B56" s="827"/>
      <c r="C56" s="48">
        <f>G33</f>
        <v>124.03349999999999</v>
      </c>
      <c r="D56" s="49" t="s">
        <v>66</v>
      </c>
      <c r="G56" s="3"/>
      <c r="H56" s="50" t="s">
        <v>71</v>
      </c>
      <c r="I56" s="634">
        <f>Consolidated!H$74</f>
        <v>221179.83999999997</v>
      </c>
      <c r="J56" s="633"/>
      <c r="M56" s="2"/>
      <c r="R56" s="181"/>
      <c r="S56" s="164"/>
      <c r="T56" s="164"/>
      <c r="U56" s="164"/>
      <c r="V56" s="164"/>
      <c r="W56" s="183" t="s">
        <v>68</v>
      </c>
      <c r="X56" s="864">
        <f>ROUND(T55/X55,6)</f>
        <v>5.6099999999999998E-4</v>
      </c>
      <c r="Y56" s="864"/>
    </row>
    <row r="57" spans="1:25" ht="18.75" customHeight="1" x14ac:dyDescent="0.25">
      <c r="A57" s="51"/>
      <c r="H57" s="53" t="s">
        <v>68</v>
      </c>
      <c r="I57" s="828">
        <f>IFERROR(ROUND(C56/I56,6),0)</f>
        <v>5.6099999999999998E-4</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48">
        <f>E28</f>
        <v>126</v>
      </c>
      <c r="D59" s="49" t="s">
        <v>66</v>
      </c>
      <c r="F59" s="794" t="s">
        <v>74</v>
      </c>
      <c r="G59" s="794"/>
      <c r="H59" s="794"/>
      <c r="I59" s="634">
        <f>Consolidated!H$77</f>
        <v>178931.75</v>
      </c>
      <c r="J59" s="633"/>
      <c r="M59" s="2"/>
      <c r="R59" s="181"/>
      <c r="S59" s="164"/>
      <c r="T59" s="164"/>
      <c r="U59" s="164"/>
      <c r="V59" s="164"/>
      <c r="W59" s="183" t="s">
        <v>68</v>
      </c>
      <c r="X59" s="864">
        <f>ROUND(T58/X58,6)</f>
        <v>0</v>
      </c>
      <c r="Y59" s="864"/>
    </row>
    <row r="60" spans="1:25" ht="18" customHeight="1" x14ac:dyDescent="0.25">
      <c r="A60" s="51"/>
      <c r="H60" s="53" t="s">
        <v>68</v>
      </c>
      <c r="I60" s="828">
        <f>IFERROR(ROUND(C59/I59,6),0)</f>
        <v>7.0399999999999998E-4</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23.25" customHeight="1" x14ac:dyDescent="0.25">
      <c r="A62" s="827" t="s">
        <v>73</v>
      </c>
      <c r="B62" s="827"/>
      <c r="C62" s="48">
        <f>E28</f>
        <v>126</v>
      </c>
      <c r="D62" s="49" t="s">
        <v>66</v>
      </c>
      <c r="F62" s="794" t="s">
        <v>76</v>
      </c>
      <c r="G62" s="794"/>
      <c r="H62" s="794"/>
      <c r="I62" s="634">
        <f>Consolidated!H$80</f>
        <v>207463.82</v>
      </c>
      <c r="J62" s="633"/>
      <c r="M62" s="2"/>
      <c r="R62" s="181"/>
      <c r="S62" s="164"/>
      <c r="T62" s="164"/>
      <c r="U62" s="164"/>
      <c r="V62" s="164"/>
      <c r="W62" s="183" t="s">
        <v>68</v>
      </c>
      <c r="X62" s="864">
        <f>ROUND(T61/X61,6)</f>
        <v>0</v>
      </c>
      <c r="Y62" s="864"/>
    </row>
    <row r="63" spans="1:25" ht="19.5" customHeight="1" x14ac:dyDescent="0.25">
      <c r="A63" s="51"/>
      <c r="H63" s="53" t="s">
        <v>68</v>
      </c>
      <c r="I63" s="828">
        <f>IFERROR(ROUND(C62/I62,6),0)</f>
        <v>6.0700000000000001E-4</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22.5" customHeight="1" x14ac:dyDescent="0.25">
      <c r="A65" s="827" t="s">
        <v>73</v>
      </c>
      <c r="B65" s="827"/>
      <c r="C65" s="48">
        <f>E28</f>
        <v>126</v>
      </c>
      <c r="D65" s="911" t="s">
        <v>543</v>
      </c>
      <c r="E65" s="911"/>
      <c r="F65" s="911"/>
      <c r="G65" s="911"/>
      <c r="H65" s="911"/>
      <c r="I65" s="634">
        <f>Consolidated!H$83</f>
        <v>178612.82</v>
      </c>
      <c r="J65" s="633"/>
      <c r="M65" s="2"/>
      <c r="R65" s="184"/>
      <c r="S65" s="164"/>
      <c r="T65" s="164"/>
      <c r="U65" s="164"/>
      <c r="V65" s="164"/>
      <c r="W65" s="183" t="s">
        <v>68</v>
      </c>
      <c r="X65" s="864">
        <f>ROUND(T64/X64,6)</f>
        <v>0</v>
      </c>
      <c r="Y65" s="864"/>
    </row>
    <row r="66" spans="1:26" ht="19.5" customHeight="1" x14ac:dyDescent="0.25">
      <c r="A66" s="51"/>
      <c r="H66" s="53" t="s">
        <v>68</v>
      </c>
      <c r="I66" s="828">
        <f>IFERROR(ROUND(C65/I65,6),0)</f>
        <v>7.0500000000000001E-4</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6.0700000000000001E-4</v>
      </c>
      <c r="J68" s="132">
        <f>ROUND(G68*I68,2)</f>
        <v>27697.16</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6.0599999999999998E-4</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7.0500000000000001E-4</v>
      </c>
      <c r="J71" s="132">
        <f>ROUND(G71*I71,2)</f>
        <v>13348.51</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7.0399999999999998E-4</v>
      </c>
      <c r="J72" s="132">
        <f>ROUND(G72*I72,2)</f>
        <v>7955.21</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5.6099999999999998E-4</v>
      </c>
      <c r="J85" s="132">
        <f>ROUND(G85*I85,2)</f>
        <v>150805.93</v>
      </c>
      <c r="K85" s="70"/>
      <c r="L85" s="70"/>
      <c r="M85" s="71"/>
      <c r="N85" s="70"/>
      <c r="O85" s="70"/>
      <c r="P85" s="70"/>
      <c r="Q85" s="70"/>
      <c r="R85" s="739" t="s">
        <v>168</v>
      </c>
      <c r="S85" s="739"/>
      <c r="T85" s="739"/>
      <c r="U85" s="163"/>
      <c r="V85" s="165">
        <f>G85</f>
        <v>268816278</v>
      </c>
      <c r="W85" s="167" t="s">
        <v>81</v>
      </c>
      <c r="X85" s="170">
        <f>X56</f>
        <v>5.6099999999999998E-4</v>
      </c>
      <c r="Y85" s="217">
        <f t="shared" ref="Y85:Y87" si="12">ROUND(V85*X85,2)</f>
        <v>150805.93</v>
      </c>
    </row>
    <row r="86" spans="1:26" ht="14.25" customHeight="1" x14ac:dyDescent="0.25">
      <c r="A86" s="820" t="s">
        <v>104</v>
      </c>
      <c r="B86" s="820"/>
      <c r="C86" s="820"/>
      <c r="D86" s="820"/>
      <c r="E86" s="820"/>
      <c r="F86" s="36" t="s">
        <v>103</v>
      </c>
      <c r="G86" s="133">
        <v>0</v>
      </c>
      <c r="H86" s="37" t="s">
        <v>81</v>
      </c>
      <c r="I86" s="41">
        <f>I57</f>
        <v>5.6099999999999998E-4</v>
      </c>
      <c r="J86" s="132">
        <f>ROUND(G86*I86,2)</f>
        <v>0</v>
      </c>
      <c r="K86" s="70"/>
      <c r="L86" s="71"/>
      <c r="M86" s="76"/>
      <c r="N86" s="76"/>
      <c r="O86" s="76"/>
      <c r="P86" s="76"/>
      <c r="Q86" s="70"/>
      <c r="R86" s="739" t="s">
        <v>169</v>
      </c>
      <c r="S86" s="739"/>
      <c r="T86" s="739"/>
      <c r="U86" s="163"/>
      <c r="V86" s="197">
        <f>G86</f>
        <v>0</v>
      </c>
      <c r="W86" s="167" t="s">
        <v>81</v>
      </c>
      <c r="X86" s="170">
        <f>X56</f>
        <v>5.6099999999999998E-4</v>
      </c>
      <c r="Y86" s="217">
        <f t="shared" si="12"/>
        <v>0</v>
      </c>
    </row>
    <row r="87" spans="1:26" ht="18" customHeight="1" x14ac:dyDescent="0.25">
      <c r="A87" s="820" t="s">
        <v>105</v>
      </c>
      <c r="B87" s="820"/>
      <c r="C87" s="820"/>
      <c r="D87" s="820"/>
      <c r="E87" s="820"/>
      <c r="F87" s="36" t="s">
        <v>84</v>
      </c>
      <c r="G87" s="133">
        <v>0</v>
      </c>
      <c r="H87" s="37" t="s">
        <v>81</v>
      </c>
      <c r="I87" s="41">
        <f>I54</f>
        <v>6.0599999999999998E-4</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637">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6.35</v>
      </c>
      <c r="C91" s="80"/>
      <c r="D91" s="894">
        <f>I6</f>
        <v>1.0355000000000001</v>
      </c>
      <c r="E91" s="894"/>
      <c r="F91" s="894"/>
      <c r="G91" s="117">
        <f>Consolidated!F$119</f>
        <v>915.09</v>
      </c>
      <c r="H91" s="47" t="s">
        <v>68</v>
      </c>
      <c r="I91" s="4">
        <f>ROUND(B91*D91*G91,2)</f>
        <v>6017.11</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117.6835</v>
      </c>
      <c r="C92" s="80"/>
      <c r="D92" s="894">
        <f>I6</f>
        <v>1.0355000000000001</v>
      </c>
      <c r="E92" s="894"/>
      <c r="F92" s="894"/>
      <c r="G92" s="117">
        <f>Consolidated!F$120</f>
        <v>917.3</v>
      </c>
      <c r="H92" s="47" t="s">
        <v>68</v>
      </c>
      <c r="I92" s="515">
        <f>ROUND(B92*D92*G92,2)</f>
        <v>111783.34</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124.03349999999999</v>
      </c>
      <c r="C93" s="80"/>
      <c r="D93" s="80"/>
      <c r="E93" s="846" t="s">
        <v>112</v>
      </c>
      <c r="F93" s="846"/>
      <c r="G93" s="846"/>
      <c r="H93" s="846"/>
      <c r="I93" s="846"/>
      <c r="J93" s="121">
        <f>IF(A1=75,0,I92+I91+I90)</f>
        <v>117800.45</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20</v>
      </c>
      <c r="D97" s="228">
        <v>0</v>
      </c>
      <c r="E97" s="913">
        <f>(C97+D97)</f>
        <v>20</v>
      </c>
      <c r="F97" s="850"/>
      <c r="G97" s="850"/>
      <c r="H97" s="85" t="s">
        <v>117</v>
      </c>
      <c r="I97" s="124">
        <f>Consolidated!G$127</f>
        <v>586</v>
      </c>
      <c r="J97" s="132">
        <f>ROUND(I97*E97,2)</f>
        <v>11720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c r="E98" s="852">
        <f>(C98+D98)/2</f>
        <v>0</v>
      </c>
      <c r="F98" s="852"/>
      <c r="G98" s="852"/>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8"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818" t="s">
        <v>125</v>
      </c>
      <c r="B107" s="818"/>
      <c r="C107" s="818"/>
      <c r="D107" s="818"/>
      <c r="E107" s="818"/>
      <c r="F107" s="818"/>
      <c r="G107" s="818"/>
      <c r="H107" s="818"/>
      <c r="I107" s="818"/>
      <c r="J107" s="519">
        <f>SUM(J106,J105,J98,J97,J93,J86,J85,J71,J70,J68,J33,J72,J50,J87,J84)</f>
        <v>1042137.3099999999</v>
      </c>
      <c r="R107" s="739" t="s">
        <v>125</v>
      </c>
      <c r="S107" s="739"/>
      <c r="T107" s="739"/>
      <c r="U107" s="739"/>
      <c r="V107" s="739"/>
      <c r="W107" s="739"/>
      <c r="X107" s="739"/>
      <c r="Y107" s="652">
        <f>SUM(Y106,Y105,Y97,Y96,Y93,Y86,Y85,Y84,Y70,Y69,Y67,Y33,Y71,Y50,Y87,Y83)</f>
        <v>150805.93</v>
      </c>
    </row>
    <row r="108" spans="1:25" ht="15.75" customHeight="1" thickTop="1" x14ac:dyDescent="0.25">
      <c r="A108" s="821"/>
      <c r="B108" s="821"/>
      <c r="C108" s="821"/>
      <c r="D108" s="821"/>
      <c r="E108" s="821"/>
      <c r="F108" s="821"/>
      <c r="G108" s="821"/>
      <c r="H108" s="821"/>
      <c r="I108" s="821"/>
      <c r="J108" s="821"/>
      <c r="R108" s="834"/>
      <c r="S108" s="834"/>
      <c r="T108" s="834"/>
      <c r="U108" s="834"/>
      <c r="V108" s="834"/>
      <c r="W108" s="834"/>
      <c r="X108" s="834"/>
      <c r="Y108" s="834"/>
    </row>
    <row r="109" spans="1:25" ht="17.25" customHeight="1" thickBot="1" x14ac:dyDescent="0.3">
      <c r="A109" s="820" t="s">
        <v>131</v>
      </c>
      <c r="B109" s="820"/>
      <c r="C109" s="820"/>
      <c r="D109" s="820"/>
      <c r="E109" s="820"/>
      <c r="F109" s="821"/>
      <c r="G109" s="821"/>
      <c r="H109" s="821"/>
      <c r="I109" s="2" t="s">
        <v>132</v>
      </c>
      <c r="J109" s="521">
        <f>J107-J38</f>
        <v>1021807.1499999999</v>
      </c>
      <c r="R109" s="164" t="s">
        <v>176</v>
      </c>
      <c r="S109" s="164"/>
      <c r="T109" s="164"/>
      <c r="U109" s="164"/>
      <c r="V109" s="164"/>
      <c r="W109" s="164"/>
      <c r="X109" s="164"/>
      <c r="Y109" s="653">
        <f>Y107-Y38</f>
        <v>146393.66</v>
      </c>
    </row>
    <row r="110" spans="1:25" ht="18.75" customHeight="1" thickTop="1" x14ac:dyDescent="0.25">
      <c r="A110" s="820" t="s">
        <v>133</v>
      </c>
      <c r="B110" s="820"/>
      <c r="C110" s="820"/>
      <c r="D110" s="820"/>
      <c r="E110" s="820"/>
      <c r="F110" s="820"/>
      <c r="G110" s="820"/>
      <c r="H110" s="820"/>
      <c r="I110" s="42" t="s">
        <v>134</v>
      </c>
      <c r="J110" s="72"/>
      <c r="R110" s="830" t="s">
        <v>136</v>
      </c>
      <c r="S110" s="830"/>
      <c r="T110" s="830"/>
      <c r="U110" s="830"/>
      <c r="V110" s="830"/>
      <c r="W110" s="830"/>
      <c r="X110" s="830"/>
      <c r="Y110" s="830"/>
    </row>
    <row r="111" spans="1:25" ht="15.75" customHeight="1" x14ac:dyDescent="0.25">
      <c r="A111" s="827" t="s">
        <v>135</v>
      </c>
      <c r="B111" s="827"/>
      <c r="C111" s="827"/>
      <c r="D111" s="827"/>
      <c r="E111" s="827"/>
      <c r="F111" s="827"/>
      <c r="G111" s="827"/>
      <c r="H111" s="827"/>
      <c r="I111" s="229"/>
      <c r="J111" s="131">
        <f>Y109</f>
        <v>146393.66</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51"/>
      <c r="I113" s="90"/>
      <c r="J113" s="72"/>
      <c r="R113" s="234"/>
      <c r="S113" s="234"/>
      <c r="T113" s="234"/>
      <c r="U113" s="234"/>
      <c r="V113" s="234"/>
      <c r="W113" s="234"/>
      <c r="X113" s="234"/>
      <c r="Y113" s="234"/>
    </row>
    <row r="114" spans="1:26" x14ac:dyDescent="0.25">
      <c r="A114" s="235" t="s">
        <v>180</v>
      </c>
      <c r="B114" s="236"/>
      <c r="C114" s="236"/>
      <c r="D114" s="236"/>
      <c r="E114" s="236"/>
      <c r="F114" s="236"/>
      <c r="G114" s="236"/>
      <c r="H114" s="638">
        <v>0</v>
      </c>
      <c r="I114" s="639">
        <f>IF(I111=1,J111,J109)</f>
        <v>1021807.1499999999</v>
      </c>
      <c r="J114" s="640">
        <f>ROUND(IF(E28=0,0,IF(E28&gt;250,-(((250/E28)*I114)*IF(H114="H",0.02,0.05)),IF(H114="H",-0.02*I114,-0.05*I114))),2)</f>
        <v>-51090.36</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991046.95</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6"/>
      <c r="F118" s="235"/>
      <c r="G118" s="236"/>
      <c r="H118" s="641"/>
      <c r="I118" s="642"/>
      <c r="J118" s="647">
        <f>-'Cumulative Payments'!Q73</f>
        <v>-462721.71</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528325.24</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264162.62</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ROUND(IF(H114="H",(I114*0.02)+J114,(I114*0.05)+J114),2)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642"/>
      <c r="I127" s="651"/>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A84:B84"/>
    <mergeCell ref="R84:T84"/>
    <mergeCell ref="A85:E85"/>
    <mergeCell ref="R85:T85"/>
    <mergeCell ref="A86:E86"/>
    <mergeCell ref="R86:T86"/>
    <mergeCell ref="A77:B77"/>
    <mergeCell ref="R78:S78"/>
    <mergeCell ref="A79:B79"/>
    <mergeCell ref="R79:S79"/>
    <mergeCell ref="A80:B80"/>
    <mergeCell ref="R83:S83"/>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59:B59"/>
    <mergeCell ref="F59:H59"/>
    <mergeCell ref="X59:Y59"/>
    <mergeCell ref="I60:J60"/>
    <mergeCell ref="R60:Y60"/>
    <mergeCell ref="A61:J61"/>
    <mergeCell ref="R61:S61"/>
    <mergeCell ref="V61:W61"/>
    <mergeCell ref="X61:Y61"/>
    <mergeCell ref="I57:J57"/>
    <mergeCell ref="R57:Y57"/>
    <mergeCell ref="A58:J58"/>
    <mergeCell ref="R58:S58"/>
    <mergeCell ref="V58:W58"/>
    <mergeCell ref="X58:Y58"/>
    <mergeCell ref="I54:J54"/>
    <mergeCell ref="R54:Y54"/>
    <mergeCell ref="A55:J55"/>
    <mergeCell ref="R55:S55"/>
    <mergeCell ref="X55:Y55"/>
    <mergeCell ref="A56:B56"/>
    <mergeCell ref="X56:Y56"/>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131E4-6F7C-49D1-9ABE-ABA0348B9871}">
  <dimension ref="A1:Z207"/>
  <sheetViews>
    <sheetView workbookViewId="0">
      <selection activeCell="G15" sqref="G15:H15"/>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432</v>
      </c>
      <c r="B2" s="101"/>
      <c r="C2" s="101"/>
      <c r="D2" s="101"/>
      <c r="E2" s="6"/>
      <c r="F2" s="6"/>
      <c r="G2" s="6"/>
      <c r="H2" s="6"/>
      <c r="I2" s="686" t="str">
        <f>RIGHT(A2,4)</f>
        <v>0100</v>
      </c>
      <c r="J2" s="6"/>
      <c r="K2" s="6"/>
      <c r="L2" s="6"/>
      <c r="M2" s="6"/>
      <c r="N2" s="6"/>
      <c r="O2" s="6"/>
      <c r="P2" s="6"/>
      <c r="Q2" s="6"/>
      <c r="R2" s="898" t="str">
        <f>Revenue_Estimate_Worksheet_for___________Charter_School</f>
        <v>Revenue Estimate Worksheet: The Learning Center Highschool 0100</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0</v>
      </c>
      <c r="D14" s="357">
        <f>SUMIFS(CountData!J:J,CountData!H:H,$I$2,CountData!I:I,$O14)</f>
        <v>0</v>
      </c>
      <c r="E14" s="812">
        <f t="shared" si="0"/>
        <v>0</v>
      </c>
      <c r="F14" s="812"/>
      <c r="G14" s="813">
        <f>Consolidated!$F16</f>
        <v>1</v>
      </c>
      <c r="H14" s="813">
        <f>Consolidated!$H$9</f>
        <v>1</v>
      </c>
      <c r="I14" s="517">
        <f t="shared" si="3"/>
        <v>0</v>
      </c>
      <c r="J14" s="518">
        <f>ROUND(ROUND(ROUND(I14*$E$6,4)*($I$6),2)*(MAX($I$7,1)),2)</f>
        <v>0</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0</v>
      </c>
      <c r="D15" s="357">
        <f>SUMIFS(CountData!J:J,CountData!H:H,$I$2,CountData!I:I,$O15)</f>
        <v>0</v>
      </c>
      <c r="E15" s="812">
        <f t="shared" si="0"/>
        <v>0</v>
      </c>
      <c r="F15" s="812"/>
      <c r="G15" s="813">
        <f>Consolidated!$F17</f>
        <v>1</v>
      </c>
      <c r="H15" s="813">
        <f>Consolidated!$H$9</f>
        <v>1</v>
      </c>
      <c r="I15" s="517">
        <f t="shared" si="3"/>
        <v>0</v>
      </c>
      <c r="J15" s="518">
        <f t="shared" si="1"/>
        <v>0</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0.5</v>
      </c>
      <c r="D17" s="357">
        <f>SUMIFS(CountData!J:J,CountData!H:H,$I$2,CountData!I:I,$O17)</f>
        <v>0</v>
      </c>
      <c r="E17" s="812">
        <f t="shared" si="0"/>
        <v>0.5</v>
      </c>
      <c r="F17" s="812"/>
      <c r="G17" s="813">
        <f>Consolidated!$F19</f>
        <v>0.97199999999999998</v>
      </c>
      <c r="H17" s="813">
        <f>Consolidated!$H$9</f>
        <v>1</v>
      </c>
      <c r="I17" s="517">
        <f t="shared" si="3"/>
        <v>0.48599999999999999</v>
      </c>
      <c r="J17" s="518">
        <f t="shared" si="1"/>
        <v>2703.78</v>
      </c>
      <c r="M17" s="2"/>
      <c r="O17" s="2" t="str">
        <f t="shared" si="2"/>
        <v>113</v>
      </c>
      <c r="R17" s="737" t="s">
        <v>25</v>
      </c>
      <c r="S17" s="737"/>
      <c r="T17" s="876">
        <f t="shared" si="4"/>
        <v>0.5</v>
      </c>
      <c r="U17" s="876"/>
      <c r="V17" s="875">
        <v>1</v>
      </c>
      <c r="W17" s="875"/>
      <c r="X17" s="150">
        <f t="shared" si="5"/>
        <v>0.5</v>
      </c>
      <c r="Y17" s="217">
        <f t="shared" si="7"/>
        <v>2781.66</v>
      </c>
    </row>
    <row r="18" spans="1:25" x14ac:dyDescent="0.25">
      <c r="A18" s="738" t="s">
        <v>26</v>
      </c>
      <c r="B18" s="738"/>
      <c r="C18" s="357">
        <f>SUMIFS(CountData!D:D,CountData!B:B,$I$2,CountData!C:C,$O18)</f>
        <v>0</v>
      </c>
      <c r="D18" s="357">
        <f>SUMIFS(CountData!J:J,CountData!H:H,$I$2,CountData!I:I,$O18)</f>
        <v>0</v>
      </c>
      <c r="E18" s="812">
        <f>IF($D$28=0,C18*2,C18+D18)</f>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10</v>
      </c>
      <c r="D20" s="357">
        <f>SUMIFS(CountData!J:J,CountData!H:H,$I$2,CountData!I:I,$O20)</f>
        <v>9</v>
      </c>
      <c r="E20" s="812">
        <f>IF($D$28=0,C20*2,C20+D20)</f>
        <v>19</v>
      </c>
      <c r="F20" s="812"/>
      <c r="G20" s="813">
        <f>Consolidated!$F22</f>
        <v>3.609</v>
      </c>
      <c r="H20" s="813">
        <f>Consolidated!$H$9</f>
        <v>1</v>
      </c>
      <c r="I20" s="517">
        <f t="shared" si="3"/>
        <v>68.570999999999998</v>
      </c>
      <c r="J20" s="518">
        <f t="shared" si="1"/>
        <v>381482.92</v>
      </c>
      <c r="M20" s="2"/>
      <c r="O20" s="2" t="str">
        <f>IF(O$9="H",LEFT(R$20,3),"")</f>
        <v>254</v>
      </c>
      <c r="R20" s="737" t="s">
        <v>28</v>
      </c>
      <c r="S20" s="737"/>
      <c r="T20" s="876">
        <f t="shared" si="4"/>
        <v>19</v>
      </c>
      <c r="U20" s="876"/>
      <c r="V20" s="875">
        <v>1</v>
      </c>
      <c r="W20" s="875"/>
      <c r="X20" s="150">
        <f t="shared" si="5"/>
        <v>19</v>
      </c>
      <c r="Y20" s="217">
        <f t="shared" si="7"/>
        <v>105703.22</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3</v>
      </c>
      <c r="D23" s="357">
        <f>SUMIFS(CountData!J:J,CountData!H:H,$I$2,CountData!I:I,$O23)</f>
        <v>4.5</v>
      </c>
      <c r="E23" s="812">
        <f t="shared" si="0"/>
        <v>7.5</v>
      </c>
      <c r="F23" s="812"/>
      <c r="G23" s="813">
        <f>Consolidated!$F25</f>
        <v>6.0640000000000001</v>
      </c>
      <c r="H23" s="813">
        <f>Consolidated!$H$9</f>
        <v>1</v>
      </c>
      <c r="I23" s="517">
        <f t="shared" si="3"/>
        <v>45.48</v>
      </c>
      <c r="J23" s="518">
        <f t="shared" si="1"/>
        <v>253020.13</v>
      </c>
      <c r="M23" s="2"/>
      <c r="O23" s="2" t="str">
        <f>IF(O$9="H",LEFT(R$23,3),"")</f>
        <v>255</v>
      </c>
      <c r="R23" s="737" t="s">
        <v>31</v>
      </c>
      <c r="S23" s="737"/>
      <c r="T23" s="876">
        <f t="shared" si="4"/>
        <v>7.5</v>
      </c>
      <c r="U23" s="876"/>
      <c r="V23" s="875">
        <v>1</v>
      </c>
      <c r="W23" s="875"/>
      <c r="X23" s="150">
        <f t="shared" si="5"/>
        <v>7.5</v>
      </c>
      <c r="Y23" s="217">
        <f t="shared" si="7"/>
        <v>41724.949999999997</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13.5</v>
      </c>
      <c r="D28" s="720">
        <f>SUM(D12:D27)</f>
        <v>13.5</v>
      </c>
      <c r="E28" s="817">
        <f>SUM(E12:E27)</f>
        <v>27</v>
      </c>
      <c r="F28" s="817"/>
      <c r="G28" s="812"/>
      <c r="H28" s="812"/>
      <c r="I28" s="23">
        <f>SUM(I12:I27)</f>
        <v>114.53700000000001</v>
      </c>
      <c r="J28" s="121">
        <f>SUM(J12:J27)</f>
        <v>637206.83000000007</v>
      </c>
      <c r="M28" s="2"/>
      <c r="R28" s="878" t="s">
        <v>36</v>
      </c>
      <c r="S28" s="878"/>
      <c r="T28" s="879">
        <f>SUM(T12:T27)</f>
        <v>27</v>
      </c>
      <c r="U28" s="879"/>
      <c r="V28" s="880"/>
      <c r="W28" s="880"/>
      <c r="X28" s="152">
        <f>SUM(X12:X27)</f>
        <v>27</v>
      </c>
      <c r="Y28" s="217">
        <f>SUM(Y12:Y27)</f>
        <v>150209.83000000002</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114.53700000000001</v>
      </c>
      <c r="H33" s="812" t="s">
        <v>45</v>
      </c>
      <c r="I33" s="812"/>
      <c r="J33" s="32">
        <f>SUM(J32,J28)</f>
        <v>637206.83000000007</v>
      </c>
      <c r="M33" s="2"/>
      <c r="R33" s="833" t="s">
        <v>44</v>
      </c>
      <c r="S33" s="833"/>
      <c r="T33" s="833"/>
      <c r="U33" s="833"/>
      <c r="V33" s="158">
        <f>V32+X28</f>
        <v>27</v>
      </c>
      <c r="W33" s="880" t="s">
        <v>45</v>
      </c>
      <c r="X33" s="880"/>
      <c r="Y33" s="159">
        <f>SUM(Y32,Y28)</f>
        <v>150209.83000000002</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191517.55</v>
      </c>
      <c r="H36" s="37" t="s">
        <v>49</v>
      </c>
      <c r="I36" s="38">
        <v>6.6699999999999995E-2</v>
      </c>
      <c r="J36" s="125">
        <f>ROUND(G36*I36,2)</f>
        <v>12774.22</v>
      </c>
      <c r="K36" s="39"/>
      <c r="L36" s="33"/>
      <c r="M36" s="33"/>
      <c r="N36" s="33"/>
      <c r="O36" s="31"/>
      <c r="P36" s="34"/>
      <c r="Q36" s="34"/>
      <c r="R36" s="737" t="s">
        <v>47</v>
      </c>
      <c r="S36" s="737"/>
      <c r="T36" s="737"/>
      <c r="U36" s="163"/>
      <c r="V36" s="166">
        <v>61196.59</v>
      </c>
      <c r="W36" s="167" t="s">
        <v>49</v>
      </c>
      <c r="X36" s="168">
        <v>6.6699999999999995E-2</v>
      </c>
      <c r="Y36" s="217">
        <f>J36</f>
        <v>12774.22</v>
      </c>
    </row>
    <row r="37" spans="1:25" ht="20.25" customHeight="1" x14ac:dyDescent="0.25">
      <c r="A37" s="738" t="s">
        <v>50</v>
      </c>
      <c r="B37" s="738"/>
      <c r="C37" s="738"/>
      <c r="D37" s="738"/>
      <c r="E37" s="738"/>
      <c r="F37" s="36" t="s">
        <v>48</v>
      </c>
      <c r="G37" s="126">
        <v>191517.55</v>
      </c>
      <c r="H37" s="37" t="s">
        <v>49</v>
      </c>
      <c r="I37" s="38">
        <v>5.4000000000000003E-3</v>
      </c>
      <c r="J37" s="125">
        <f>ROUND(G37*I37,2)</f>
        <v>1034.19</v>
      </c>
      <c r="K37" s="39"/>
      <c r="L37" s="33"/>
      <c r="M37" s="33"/>
      <c r="N37" s="33"/>
      <c r="O37" s="31"/>
      <c r="P37" s="34"/>
      <c r="Q37" s="34"/>
      <c r="R37" s="737" t="s">
        <v>50</v>
      </c>
      <c r="S37" s="737"/>
      <c r="T37" s="737"/>
      <c r="U37" s="163"/>
      <c r="V37" s="166">
        <v>61196.59</v>
      </c>
      <c r="W37" s="167" t="s">
        <v>49</v>
      </c>
      <c r="X37" s="168">
        <v>5.4000000000000003E-3</v>
      </c>
      <c r="Y37" s="217">
        <f>J37</f>
        <v>1034.19</v>
      </c>
    </row>
    <row r="38" spans="1:25" ht="20.25" customHeight="1" x14ac:dyDescent="0.25">
      <c r="A38" s="820" t="s">
        <v>51</v>
      </c>
      <c r="B38" s="820"/>
      <c r="C38" s="820"/>
      <c r="D38" s="820"/>
      <c r="E38" s="820"/>
      <c r="F38" s="36" t="s">
        <v>52</v>
      </c>
      <c r="G38" s="40"/>
      <c r="H38" s="37"/>
      <c r="I38" s="41"/>
      <c r="J38" s="125">
        <f>SUM(J36:J37)</f>
        <v>13808.41</v>
      </c>
      <c r="K38" s="39"/>
      <c r="L38" s="33"/>
      <c r="M38" s="33"/>
      <c r="N38" s="33"/>
      <c r="O38" s="31"/>
      <c r="P38" s="34"/>
      <c r="Q38" s="34"/>
      <c r="R38" s="739" t="s">
        <v>51</v>
      </c>
      <c r="S38" s="739"/>
      <c r="T38" s="739"/>
      <c r="U38" s="163" t="s">
        <v>52</v>
      </c>
      <c r="V38" s="169"/>
      <c r="W38" s="167"/>
      <c r="X38" s="170"/>
      <c r="Y38" s="151">
        <f>Y36+Y37</f>
        <v>13808.41</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632"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46">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46">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ht="20.25" customHeight="1" x14ac:dyDescent="0.25">
      <c r="A44" s="825"/>
      <c r="B44" s="825"/>
      <c r="C44" s="357">
        <v>0</v>
      </c>
      <c r="D44" s="357">
        <v>0</v>
      </c>
      <c r="E44" s="826">
        <f t="shared" si="8"/>
        <v>0</v>
      </c>
      <c r="F44" s="826"/>
      <c r="G44" s="47" t="s">
        <v>60</v>
      </c>
      <c r="H44" s="37">
        <v>251</v>
      </c>
      <c r="I44" s="130">
        <f>Consolidated!$H62</f>
        <v>1173</v>
      </c>
      <c r="J44" s="131">
        <f t="shared" si="9"/>
        <v>0</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46">
        <f t="shared" si="9"/>
        <v>0</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0.5</v>
      </c>
      <c r="D47" s="357">
        <v>0</v>
      </c>
      <c r="E47" s="826">
        <f t="shared" si="8"/>
        <v>1</v>
      </c>
      <c r="F47" s="826"/>
      <c r="G47" s="47" t="s">
        <v>61</v>
      </c>
      <c r="H47" s="37">
        <v>251</v>
      </c>
      <c r="I47" s="130">
        <f>Consolidated!$H65</f>
        <v>835</v>
      </c>
      <c r="J47" s="46">
        <f t="shared" si="9"/>
        <v>835</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0.5</v>
      </c>
      <c r="D50" s="33">
        <f>SUM(D41:D49)</f>
        <v>0</v>
      </c>
      <c r="E50" s="832">
        <f>SUM(E41:E49)</f>
        <v>1</v>
      </c>
      <c r="F50" s="832"/>
      <c r="G50" s="818" t="s">
        <v>63</v>
      </c>
      <c r="H50" s="818"/>
      <c r="I50" s="818"/>
      <c r="J50" s="225">
        <f>SUM(J41:J49)</f>
        <v>835</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27</v>
      </c>
      <c r="U52" s="178" t="s">
        <v>66</v>
      </c>
      <c r="V52" s="179"/>
      <c r="W52" s="180" t="s">
        <v>67</v>
      </c>
      <c r="X52" s="863">
        <f>I53</f>
        <v>207782.75</v>
      </c>
      <c r="Y52" s="863"/>
    </row>
    <row r="53" spans="1:25" ht="16.5" customHeight="1" x14ac:dyDescent="0.25">
      <c r="A53" s="827" t="s">
        <v>65</v>
      </c>
      <c r="B53" s="827"/>
      <c r="C53" s="48">
        <f>E28</f>
        <v>27</v>
      </c>
      <c r="D53" s="49" t="s">
        <v>66</v>
      </c>
      <c r="G53" s="3"/>
      <c r="H53" s="50" t="s">
        <v>67</v>
      </c>
      <c r="I53" s="634">
        <f>Consolidated!H$71</f>
        <v>207782.75</v>
      </c>
      <c r="J53" s="633"/>
      <c r="M53" s="2"/>
      <c r="R53" s="181"/>
      <c r="S53" s="182"/>
      <c r="T53" s="164"/>
      <c r="U53" s="164"/>
      <c r="V53" s="164"/>
      <c r="W53" s="183" t="s">
        <v>68</v>
      </c>
      <c r="X53" s="864">
        <f>ROUND(T52/X52,6)</f>
        <v>1.2999999999999999E-4</v>
      </c>
      <c r="Y53" s="864"/>
    </row>
    <row r="54" spans="1:25" ht="22.5" customHeight="1" x14ac:dyDescent="0.25">
      <c r="A54" s="51"/>
      <c r="B54" s="52"/>
      <c r="C54" s="52"/>
      <c r="D54" s="52"/>
      <c r="H54" s="53" t="s">
        <v>68</v>
      </c>
      <c r="I54" s="828">
        <f>IFERROR(ROUND(C53/I53,6),0)</f>
        <v>1.2999999999999999E-4</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27</v>
      </c>
      <c r="U55" s="178" t="s">
        <v>66</v>
      </c>
      <c r="V55" s="179"/>
      <c r="W55" s="180" t="s">
        <v>71</v>
      </c>
      <c r="X55" s="863">
        <f>I56</f>
        <v>221179.83999999997</v>
      </c>
      <c r="Y55" s="863"/>
    </row>
    <row r="56" spans="1:25" ht="16.5" customHeight="1" x14ac:dyDescent="0.25">
      <c r="A56" s="827" t="s">
        <v>70</v>
      </c>
      <c r="B56" s="827"/>
      <c r="C56" s="48">
        <f>G33</f>
        <v>114.53700000000001</v>
      </c>
      <c r="D56" s="49" t="s">
        <v>66</v>
      </c>
      <c r="G56" s="3"/>
      <c r="H56" s="50" t="s">
        <v>71</v>
      </c>
      <c r="I56" s="634">
        <f>Consolidated!H$74</f>
        <v>221179.83999999997</v>
      </c>
      <c r="J56" s="633"/>
      <c r="M56" s="2"/>
      <c r="R56" s="181"/>
      <c r="S56" s="164"/>
      <c r="T56" s="164"/>
      <c r="U56" s="164"/>
      <c r="V56" s="164"/>
      <c r="W56" s="183" t="s">
        <v>68</v>
      </c>
      <c r="X56" s="864">
        <f>ROUND(T55/X55,6)</f>
        <v>1.22E-4</v>
      </c>
      <c r="Y56" s="864"/>
    </row>
    <row r="57" spans="1:25" ht="18.75" customHeight="1" x14ac:dyDescent="0.25">
      <c r="A57" s="51"/>
      <c r="H57" s="53" t="s">
        <v>68</v>
      </c>
      <c r="I57" s="828">
        <f>IFERROR(ROUND(C56/I56,6),0)</f>
        <v>5.1800000000000001E-4</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27</v>
      </c>
      <c r="U58" s="178" t="s">
        <v>66</v>
      </c>
      <c r="V58" s="862" t="s">
        <v>74</v>
      </c>
      <c r="W58" s="862"/>
      <c r="X58" s="863">
        <f>I59</f>
        <v>178931.75</v>
      </c>
      <c r="Y58" s="863"/>
    </row>
    <row r="59" spans="1:25" ht="18.75" customHeight="1" x14ac:dyDescent="0.25">
      <c r="A59" s="827" t="s">
        <v>73</v>
      </c>
      <c r="B59" s="827"/>
      <c r="C59" s="48">
        <f>E28</f>
        <v>27</v>
      </c>
      <c r="D59" s="49" t="s">
        <v>66</v>
      </c>
      <c r="F59" s="794" t="s">
        <v>74</v>
      </c>
      <c r="G59" s="794"/>
      <c r="H59" s="794"/>
      <c r="I59" s="634">
        <f>Consolidated!H$77</f>
        <v>178931.75</v>
      </c>
      <c r="J59" s="633"/>
      <c r="M59" s="2"/>
      <c r="R59" s="181"/>
      <c r="S59" s="164"/>
      <c r="T59" s="164"/>
      <c r="U59" s="164"/>
      <c r="V59" s="164"/>
      <c r="W59" s="183" t="s">
        <v>68</v>
      </c>
      <c r="X59" s="864">
        <f>ROUND(T58/X58,6)</f>
        <v>1.5100000000000001E-4</v>
      </c>
      <c r="Y59" s="864"/>
    </row>
    <row r="60" spans="1:25" ht="18" customHeight="1" x14ac:dyDescent="0.25">
      <c r="A60" s="51"/>
      <c r="H60" s="53" t="s">
        <v>68</v>
      </c>
      <c r="I60" s="828">
        <f>IFERROR(ROUND(C59/I59,6),0)</f>
        <v>1.5100000000000001E-4</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27</v>
      </c>
      <c r="U61" s="178" t="s">
        <v>66</v>
      </c>
      <c r="V61" s="862" t="s">
        <v>76</v>
      </c>
      <c r="W61" s="862"/>
      <c r="X61" s="863">
        <f>I62</f>
        <v>207463.82</v>
      </c>
      <c r="Y61" s="863"/>
    </row>
    <row r="62" spans="1:25" ht="23.25" customHeight="1" x14ac:dyDescent="0.25">
      <c r="A62" s="827" t="s">
        <v>73</v>
      </c>
      <c r="B62" s="827"/>
      <c r="C62" s="48">
        <f>E28</f>
        <v>27</v>
      </c>
      <c r="D62" s="49" t="s">
        <v>66</v>
      </c>
      <c r="F62" s="794" t="s">
        <v>76</v>
      </c>
      <c r="G62" s="794"/>
      <c r="H62" s="794"/>
      <c r="I62" s="634">
        <f>Consolidated!H$80</f>
        <v>207463.82</v>
      </c>
      <c r="J62" s="633"/>
      <c r="M62" s="2"/>
      <c r="R62" s="181"/>
      <c r="S62" s="164"/>
      <c r="T62" s="164"/>
      <c r="U62" s="164"/>
      <c r="V62" s="164"/>
      <c r="W62" s="183" t="s">
        <v>68</v>
      </c>
      <c r="X62" s="864">
        <f>ROUND(T61/X61,6)</f>
        <v>1.2999999999999999E-4</v>
      </c>
      <c r="Y62" s="864"/>
    </row>
    <row r="63" spans="1:25" ht="19.5" customHeight="1" x14ac:dyDescent="0.25">
      <c r="A63" s="51"/>
      <c r="H63" s="53" t="s">
        <v>68</v>
      </c>
      <c r="I63" s="828">
        <f>IFERROR(ROUND(C62/I62,6),0)</f>
        <v>1.2999999999999999E-4</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27</v>
      </c>
      <c r="U64" s="178" t="s">
        <v>66</v>
      </c>
      <c r="V64" s="862" t="s">
        <v>161</v>
      </c>
      <c r="W64" s="862"/>
      <c r="X64" s="863">
        <f>I65</f>
        <v>178612.82</v>
      </c>
      <c r="Y64" s="863"/>
    </row>
    <row r="65" spans="1:26" ht="22.5" customHeight="1" x14ac:dyDescent="0.25">
      <c r="A65" s="827" t="s">
        <v>73</v>
      </c>
      <c r="B65" s="827"/>
      <c r="C65" s="48">
        <f>E28</f>
        <v>27</v>
      </c>
      <c r="D65" s="911" t="s">
        <v>543</v>
      </c>
      <c r="E65" s="911"/>
      <c r="F65" s="911"/>
      <c r="G65" s="911"/>
      <c r="H65" s="911"/>
      <c r="I65" s="634">
        <f>Consolidated!H$83</f>
        <v>178612.82</v>
      </c>
      <c r="J65" s="633"/>
      <c r="M65" s="2"/>
      <c r="R65" s="184"/>
      <c r="S65" s="164"/>
      <c r="T65" s="164"/>
      <c r="U65" s="164"/>
      <c r="V65" s="164"/>
      <c r="W65" s="183" t="s">
        <v>68</v>
      </c>
      <c r="X65" s="864">
        <f>ROUND(T64/X64,6)</f>
        <v>1.5100000000000001E-4</v>
      </c>
      <c r="Y65" s="864"/>
    </row>
    <row r="66" spans="1:26" ht="19.5" customHeight="1" x14ac:dyDescent="0.25">
      <c r="A66" s="51"/>
      <c r="H66" s="53" t="s">
        <v>68</v>
      </c>
      <c r="I66" s="828">
        <f>IFERROR(ROUND(C65/I65,6),0)</f>
        <v>1.5100000000000001E-4</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1.2999999999999999E-4</v>
      </c>
      <c r="Y67" s="220">
        <f>ROUND(V67*X67,2)</f>
        <v>5931.85</v>
      </c>
    </row>
    <row r="68" spans="1:26" ht="30.75" customHeight="1" x14ac:dyDescent="0.25">
      <c r="A68" s="836" t="s">
        <v>79</v>
      </c>
      <c r="B68" s="836"/>
      <c r="C68" s="836"/>
      <c r="D68" s="836"/>
      <c r="E68" s="836"/>
      <c r="F68" s="36" t="s">
        <v>80</v>
      </c>
      <c r="G68" s="226">
        <f>Consolidated!F$86</f>
        <v>45629593</v>
      </c>
      <c r="H68" s="37" t="s">
        <v>81</v>
      </c>
      <c r="I68" s="41">
        <f>I63</f>
        <v>1.2999999999999999E-4</v>
      </c>
      <c r="J68" s="132">
        <f>ROUND(G68*I68,2)</f>
        <v>5931.85</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1.2999999999999999E-4</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1.2999999999999999E-4</v>
      </c>
      <c r="J70" s="132">
        <f>ROUND(G70*I70,2)</f>
        <v>0</v>
      </c>
      <c r="M70" s="2"/>
      <c r="R70" s="739" t="s">
        <v>163</v>
      </c>
      <c r="S70" s="739"/>
      <c r="T70" s="739"/>
      <c r="U70" s="163"/>
      <c r="V70" s="187">
        <f>G71</f>
        <v>18934058</v>
      </c>
      <c r="W70" s="167" t="s">
        <v>81</v>
      </c>
      <c r="X70" s="170">
        <f>X65</f>
        <v>1.5100000000000001E-4</v>
      </c>
      <c r="Y70" s="217">
        <f t="shared" si="11"/>
        <v>2859.04</v>
      </c>
    </row>
    <row r="71" spans="1:26" ht="19.5" customHeight="1" x14ac:dyDescent="0.25">
      <c r="A71" s="820" t="s">
        <v>85</v>
      </c>
      <c r="B71" s="820"/>
      <c r="C71" s="820"/>
      <c r="D71" s="820"/>
      <c r="E71" s="820"/>
      <c r="F71" s="36" t="s">
        <v>86</v>
      </c>
      <c r="G71" s="226">
        <f>Consolidated!F$91</f>
        <v>18934058</v>
      </c>
      <c r="H71" s="37" t="s">
        <v>81</v>
      </c>
      <c r="I71" s="41">
        <f>I66</f>
        <v>1.5100000000000001E-4</v>
      </c>
      <c r="J71" s="132">
        <f>ROUND(G71*I71,2)</f>
        <v>2859.04</v>
      </c>
      <c r="M71" s="2"/>
      <c r="R71" s="171" t="s">
        <v>164</v>
      </c>
      <c r="S71" s="171"/>
      <c r="T71" s="171"/>
      <c r="U71" s="163"/>
      <c r="V71" s="165">
        <f>G72</f>
        <v>11300012</v>
      </c>
      <c r="W71" s="167" t="s">
        <v>81</v>
      </c>
      <c r="X71" s="170">
        <f>X59</f>
        <v>1.5100000000000001E-4</v>
      </c>
      <c r="Y71" s="217">
        <f t="shared" si="11"/>
        <v>1706.3</v>
      </c>
    </row>
    <row r="72" spans="1:26" ht="19.5" customHeight="1" x14ac:dyDescent="0.25">
      <c r="A72" s="42" t="s">
        <v>87</v>
      </c>
      <c r="B72" s="42"/>
      <c r="C72" s="42"/>
      <c r="D72" s="42"/>
      <c r="E72" s="42"/>
      <c r="F72" s="36" t="s">
        <v>88</v>
      </c>
      <c r="G72" s="226">
        <f>Consolidated!F$93</f>
        <v>11300012</v>
      </c>
      <c r="H72" s="37" t="s">
        <v>81</v>
      </c>
      <c r="I72" s="41">
        <f>I60</f>
        <v>1.5100000000000001E-4</v>
      </c>
      <c r="J72" s="132">
        <f>ROUND(G72*I72,2)</f>
        <v>1706.3</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5.1800000000000001E-4</v>
      </c>
      <c r="J85" s="132">
        <f>ROUND(G85*I85,2)</f>
        <v>139246.82999999999</v>
      </c>
      <c r="K85" s="70"/>
      <c r="L85" s="70"/>
      <c r="M85" s="71"/>
      <c r="N85" s="70"/>
      <c r="O85" s="70"/>
      <c r="P85" s="70"/>
      <c r="Q85" s="70"/>
      <c r="R85" s="739" t="s">
        <v>168</v>
      </c>
      <c r="S85" s="739"/>
      <c r="T85" s="739"/>
      <c r="U85" s="163"/>
      <c r="V85" s="165">
        <f>G85</f>
        <v>268816278</v>
      </c>
      <c r="W85" s="167" t="s">
        <v>81</v>
      </c>
      <c r="X85" s="170">
        <f>X56</f>
        <v>1.22E-4</v>
      </c>
      <c r="Y85" s="217">
        <f t="shared" ref="Y85:Y87" si="12">ROUND(V85*X85,2)</f>
        <v>32795.589999999997</v>
      </c>
    </row>
    <row r="86" spans="1:26" ht="14.25" customHeight="1" x14ac:dyDescent="0.25">
      <c r="A86" s="820" t="s">
        <v>104</v>
      </c>
      <c r="B86" s="820"/>
      <c r="C86" s="820"/>
      <c r="D86" s="820"/>
      <c r="E86" s="820"/>
      <c r="F86" s="36" t="s">
        <v>103</v>
      </c>
      <c r="G86" s="133">
        <v>0</v>
      </c>
      <c r="H86" s="37" t="s">
        <v>81</v>
      </c>
      <c r="I86" s="41">
        <f>I57</f>
        <v>5.1800000000000001E-4</v>
      </c>
      <c r="J86" s="132">
        <f>ROUND(G86*I86,2)</f>
        <v>0</v>
      </c>
      <c r="K86" s="70"/>
      <c r="L86" s="71"/>
      <c r="M86" s="76"/>
      <c r="N86" s="76"/>
      <c r="O86" s="76"/>
      <c r="P86" s="76"/>
      <c r="Q86" s="70"/>
      <c r="R86" s="739" t="s">
        <v>169</v>
      </c>
      <c r="S86" s="739"/>
      <c r="T86" s="739"/>
      <c r="U86" s="163"/>
      <c r="V86" s="197">
        <f>G86</f>
        <v>0</v>
      </c>
      <c r="W86" s="167" t="s">
        <v>81</v>
      </c>
      <c r="X86" s="170">
        <f>X56</f>
        <v>1.22E-4</v>
      </c>
      <c r="Y86" s="217">
        <f t="shared" si="12"/>
        <v>0</v>
      </c>
    </row>
    <row r="87" spans="1:26" ht="18" customHeight="1" x14ac:dyDescent="0.25">
      <c r="A87" s="820" t="s">
        <v>105</v>
      </c>
      <c r="B87" s="820"/>
      <c r="C87" s="820"/>
      <c r="D87" s="820"/>
      <c r="E87" s="820"/>
      <c r="F87" s="36" t="s">
        <v>84</v>
      </c>
      <c r="G87" s="133">
        <v>0</v>
      </c>
      <c r="H87" s="37" t="s">
        <v>81</v>
      </c>
      <c r="I87" s="41">
        <f>I54</f>
        <v>1.2999999999999999E-4</v>
      </c>
      <c r="J87" s="62">
        <f>ROUND(G87*I87,2)</f>
        <v>0</v>
      </c>
      <c r="K87" s="77"/>
      <c r="L87" s="70"/>
      <c r="M87" s="71"/>
      <c r="N87" s="70"/>
      <c r="O87" s="70"/>
      <c r="P87" s="70"/>
      <c r="Q87" s="70"/>
      <c r="R87" s="171" t="s">
        <v>170</v>
      </c>
      <c r="S87" s="171"/>
      <c r="T87" s="171"/>
      <c r="U87" s="163"/>
      <c r="V87" s="197">
        <f>G87</f>
        <v>0</v>
      </c>
      <c r="W87" s="167" t="s">
        <v>81</v>
      </c>
      <c r="X87" s="170">
        <f>X53</f>
        <v>1.2999999999999999E-4</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637">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0</v>
      </c>
      <c r="C91" s="80"/>
      <c r="D91" s="894">
        <f>I6</f>
        <v>1.0355000000000001</v>
      </c>
      <c r="E91" s="894"/>
      <c r="F91" s="894"/>
      <c r="G91" s="117">
        <f>Consolidated!F$119</f>
        <v>915.09</v>
      </c>
      <c r="H91" s="47" t="s">
        <v>68</v>
      </c>
      <c r="I91" s="4">
        <f>ROUND(B91*D91*G91,2)</f>
        <v>0</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114.53700000000001</v>
      </c>
      <c r="C92" s="80"/>
      <c r="D92" s="894">
        <f>I6</f>
        <v>1.0355000000000001</v>
      </c>
      <c r="E92" s="894"/>
      <c r="F92" s="894"/>
      <c r="G92" s="117">
        <f>Consolidated!F$120</f>
        <v>917.3</v>
      </c>
      <c r="H92" s="47" t="s">
        <v>68</v>
      </c>
      <c r="I92" s="515">
        <f>ROUND(B92*D92*G92,2)</f>
        <v>108794.59</v>
      </c>
      <c r="K92" s="70"/>
      <c r="L92" s="70"/>
      <c r="M92" s="71"/>
      <c r="N92" s="70"/>
      <c r="O92" s="70"/>
      <c r="P92" s="70"/>
      <c r="Q92" s="70"/>
      <c r="R92" s="201" t="s">
        <v>61</v>
      </c>
      <c r="S92" s="202">
        <f>X16+X17+X20+X23+X26+X27</f>
        <v>27</v>
      </c>
      <c r="T92" s="849">
        <f>X6</f>
        <v>1.0355000000000001</v>
      </c>
      <c r="U92" s="849"/>
      <c r="V92" s="117">
        <f>G92</f>
        <v>917.3</v>
      </c>
      <c r="W92" s="176" t="s">
        <v>68</v>
      </c>
      <c r="X92" s="221">
        <f>ROUND(S92*T92*V92,2)</f>
        <v>25646.33</v>
      </c>
      <c r="Y92" s="164"/>
    </row>
    <row r="93" spans="1:26" ht="18.75" customHeight="1" thickBot="1" x14ac:dyDescent="0.3">
      <c r="A93" s="84" t="s">
        <v>111</v>
      </c>
      <c r="B93" s="80">
        <f>SUM(B90:B92)</f>
        <v>114.53700000000001</v>
      </c>
      <c r="C93" s="80"/>
      <c r="D93" s="80"/>
      <c r="E93" s="846" t="s">
        <v>112</v>
      </c>
      <c r="F93" s="846"/>
      <c r="G93" s="846"/>
      <c r="H93" s="846"/>
      <c r="I93" s="846"/>
      <c r="J93" s="121">
        <f>IF(A1=75,0,I92+I91+I90)</f>
        <v>108794.59</v>
      </c>
      <c r="K93" s="70"/>
      <c r="L93" s="70"/>
      <c r="M93" s="71"/>
      <c r="N93" s="70"/>
      <c r="O93" s="70"/>
      <c r="P93" s="70"/>
      <c r="Q93" s="70"/>
      <c r="R93" s="203" t="s">
        <v>111</v>
      </c>
      <c r="S93" s="204">
        <f>SUM(S90:S92)</f>
        <v>27</v>
      </c>
      <c r="T93" s="853" t="s">
        <v>112</v>
      </c>
      <c r="U93" s="854"/>
      <c r="V93" s="854"/>
      <c r="W93" s="854"/>
      <c r="X93" s="854"/>
      <c r="Y93" s="217">
        <f>IF(R1=75,0,X92+X91+X90)</f>
        <v>25646.33</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0</v>
      </c>
      <c r="D97" s="228">
        <v>0</v>
      </c>
      <c r="E97" s="850">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c r="E98" s="852">
        <f>(C98+D98)/2</f>
        <v>0</v>
      </c>
      <c r="F98" s="852"/>
      <c r="G98" s="852"/>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8"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818" t="s">
        <v>125</v>
      </c>
      <c r="B107" s="818"/>
      <c r="C107" s="818"/>
      <c r="D107" s="818"/>
      <c r="E107" s="818"/>
      <c r="F107" s="818"/>
      <c r="G107" s="818"/>
      <c r="H107" s="818"/>
      <c r="I107" s="818"/>
      <c r="J107" s="519">
        <f>SUM(J106,J105,J98,J97,J93,J86,J85,J71,J70,J68,J33,J72,J50,J87,J84)</f>
        <v>896580.44000000018</v>
      </c>
      <c r="R107" s="739" t="s">
        <v>125</v>
      </c>
      <c r="S107" s="739"/>
      <c r="T107" s="739"/>
      <c r="U107" s="739"/>
      <c r="V107" s="739"/>
      <c r="W107" s="739"/>
      <c r="X107" s="739"/>
      <c r="Y107" s="652">
        <f>SUM(Y106,Y105,Y97,Y96,Y93,Y86,Y85,Y84,Y70,Y69,Y67,Y33,Y71,Y50,Y87,Y83)</f>
        <v>219148.94</v>
      </c>
    </row>
    <row r="108" spans="1:25" ht="15.75" customHeight="1" thickTop="1" x14ac:dyDescent="0.25">
      <c r="A108" s="821"/>
      <c r="B108" s="821"/>
      <c r="C108" s="821"/>
      <c r="D108" s="821"/>
      <c r="E108" s="821"/>
      <c r="F108" s="821"/>
      <c r="G108" s="821"/>
      <c r="H108" s="821"/>
      <c r="I108" s="821"/>
      <c r="J108" s="821"/>
      <c r="R108" s="834"/>
      <c r="S108" s="834"/>
      <c r="T108" s="834"/>
      <c r="U108" s="834"/>
      <c r="V108" s="834"/>
      <c r="W108" s="834"/>
      <c r="X108" s="834"/>
      <c r="Y108" s="834"/>
    </row>
    <row r="109" spans="1:25" ht="17.25" customHeight="1" thickBot="1" x14ac:dyDescent="0.3">
      <c r="A109" s="820" t="s">
        <v>131</v>
      </c>
      <c r="B109" s="820"/>
      <c r="C109" s="820"/>
      <c r="D109" s="820"/>
      <c r="E109" s="820"/>
      <c r="F109" s="821"/>
      <c r="G109" s="821"/>
      <c r="H109" s="821"/>
      <c r="I109" s="2" t="s">
        <v>132</v>
      </c>
      <c r="J109" s="521">
        <f>J107-J38</f>
        <v>882772.03000000014</v>
      </c>
      <c r="R109" s="164" t="s">
        <v>176</v>
      </c>
      <c r="S109" s="164"/>
      <c r="T109" s="164"/>
      <c r="U109" s="164"/>
      <c r="V109" s="164"/>
      <c r="W109" s="164"/>
      <c r="X109" s="164"/>
      <c r="Y109" s="653">
        <f>Y107-Y38</f>
        <v>205340.53</v>
      </c>
    </row>
    <row r="110" spans="1:25" ht="18.75" customHeight="1" thickTop="1" x14ac:dyDescent="0.25">
      <c r="A110" s="820" t="s">
        <v>133</v>
      </c>
      <c r="B110" s="820"/>
      <c r="C110" s="820"/>
      <c r="D110" s="820"/>
      <c r="E110" s="820"/>
      <c r="F110" s="820"/>
      <c r="G110" s="820"/>
      <c r="H110" s="820"/>
      <c r="I110" s="42" t="s">
        <v>134</v>
      </c>
      <c r="J110" s="72"/>
      <c r="R110" s="830" t="s">
        <v>136</v>
      </c>
      <c r="S110" s="830"/>
      <c r="T110" s="830"/>
      <c r="U110" s="830"/>
      <c r="V110" s="830"/>
      <c r="W110" s="830"/>
      <c r="X110" s="830"/>
      <c r="Y110" s="830"/>
    </row>
    <row r="111" spans="1:25" ht="15.75" customHeight="1" x14ac:dyDescent="0.25">
      <c r="A111" s="827" t="s">
        <v>135</v>
      </c>
      <c r="B111" s="827"/>
      <c r="C111" s="827"/>
      <c r="D111" s="827"/>
      <c r="E111" s="827"/>
      <c r="F111" s="827"/>
      <c r="G111" s="827"/>
      <c r="H111" s="827"/>
      <c r="I111" s="229">
        <v>1</v>
      </c>
      <c r="J111" s="131">
        <f>Y109</f>
        <v>205340.53</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51"/>
      <c r="I113" s="90"/>
      <c r="J113" s="72"/>
      <c r="R113" s="234"/>
      <c r="S113" s="234"/>
      <c r="T113" s="234"/>
      <c r="U113" s="234"/>
      <c r="V113" s="234"/>
      <c r="W113" s="234"/>
      <c r="X113" s="234"/>
      <c r="Y113" s="234"/>
    </row>
    <row r="114" spans="1:26" x14ac:dyDescent="0.25">
      <c r="A114" s="235" t="s">
        <v>180</v>
      </c>
      <c r="B114" s="236"/>
      <c r="C114" s="236"/>
      <c r="D114" s="236"/>
      <c r="E114" s="236"/>
      <c r="F114" s="236"/>
      <c r="G114" s="236"/>
      <c r="H114" s="638">
        <v>0</v>
      </c>
      <c r="I114" s="639">
        <f>IF(I111=1,J111,J109)</f>
        <v>205340.53</v>
      </c>
      <c r="J114" s="640">
        <f>ROUND(IF(E28=0,0,IF(E28&gt;250,-(((250/E28)*I114)*IF(H114="H",0.02,0.05)),IF(H114="H",-0.02*I114,-0.05*I114))),2)</f>
        <v>-10267.030000000001</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886313.41000000015</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6"/>
      <c r="F118" s="235"/>
      <c r="G118" s="236"/>
      <c r="H118" s="641"/>
      <c r="I118" s="642"/>
      <c r="J118" s="647">
        <f>-'Cumulative Payments'!R74</f>
        <v>-578782.59000000008</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307530.82000000007</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153765.41</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ROUND(IF(H114="H",(I114*0.02)+J114,(I114*0.05)+J114),2)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642"/>
      <c r="I127" s="651"/>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X59:Y59"/>
    <mergeCell ref="I60:J60"/>
    <mergeCell ref="R60:Y60"/>
    <mergeCell ref="F59:H59"/>
    <mergeCell ref="F62:H62"/>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X62:Y62"/>
    <mergeCell ref="A68:E68"/>
    <mergeCell ref="R68:S68"/>
    <mergeCell ref="A69:B69"/>
    <mergeCell ref="R69:T69"/>
    <mergeCell ref="A70:E70"/>
    <mergeCell ref="R70:T70"/>
    <mergeCell ref="A65:B65"/>
    <mergeCell ref="D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179FE-4EEE-499C-8C34-9B575B8E030E}">
  <dimension ref="A1:Z207"/>
  <sheetViews>
    <sheetView topLeftCell="A116" workbookViewId="0">
      <selection activeCell="J118" sqref="J118"/>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433</v>
      </c>
      <c r="B2" s="101"/>
      <c r="C2" s="101"/>
      <c r="D2" s="101"/>
      <c r="E2" s="6"/>
      <c r="F2" s="6"/>
      <c r="G2" s="6"/>
      <c r="H2" s="6"/>
      <c r="I2" s="686" t="str">
        <f>RIGHT(A2,4)</f>
        <v>1461</v>
      </c>
      <c r="J2" s="6"/>
      <c r="K2" s="6"/>
      <c r="L2" s="6"/>
      <c r="M2" s="6"/>
      <c r="N2" s="6"/>
      <c r="O2" s="6"/>
      <c r="P2" s="6"/>
      <c r="Q2" s="6"/>
      <c r="R2" s="898" t="str">
        <f>Revenue_Estimate_Worksheet_for___________Charter_School</f>
        <v>Revenue Estimate Worksheet: Inlet Grove Community High School - 1461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73.58</v>
      </c>
      <c r="D14" s="357">
        <f>SUMIFS(CountData!J:J,CountData!H:H,$I$2,CountData!I:I,$O14)</f>
        <v>70.099999999999994</v>
      </c>
      <c r="E14" s="812">
        <f t="shared" si="0"/>
        <v>143.68</v>
      </c>
      <c r="F14" s="812"/>
      <c r="G14" s="813">
        <f>Consolidated!$F16</f>
        <v>1</v>
      </c>
      <c r="H14" s="813">
        <f>Consolidated!$H$9</f>
        <v>1</v>
      </c>
      <c r="I14" s="517">
        <f t="shared" si="3"/>
        <v>143.68</v>
      </c>
      <c r="J14" s="518">
        <f>ROUND(ROUND(ROUND(I14*$E$6,4)*($I$6),2)*(MAX($I$7,1)),2)</f>
        <v>799338.87</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9.99</v>
      </c>
      <c r="D15" s="357">
        <f>SUMIFS(CountData!J:J,CountData!H:H,$I$2,CountData!I:I,$O15)</f>
        <v>10.01</v>
      </c>
      <c r="E15" s="812">
        <f t="shared" si="0"/>
        <v>20</v>
      </c>
      <c r="F15" s="812"/>
      <c r="G15" s="813">
        <f>Consolidated!$F17</f>
        <v>1</v>
      </c>
      <c r="H15" s="813">
        <f>Consolidated!$H$9</f>
        <v>1</v>
      </c>
      <c r="I15" s="517">
        <f t="shared" si="3"/>
        <v>20</v>
      </c>
      <c r="J15" s="518">
        <f t="shared" si="1"/>
        <v>111266.55</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207.4</v>
      </c>
      <c r="D16" s="357">
        <f>SUMIFS(CountData!J:J,CountData!H:H,$I$2,CountData!I:I,$O16)</f>
        <v>203.7</v>
      </c>
      <c r="E16" s="812">
        <f t="shared" si="0"/>
        <v>411.1</v>
      </c>
      <c r="F16" s="812"/>
      <c r="G16" s="813">
        <f>Consolidated!$F18</f>
        <v>0.97199999999999998</v>
      </c>
      <c r="H16" s="813">
        <f>Consolidated!$H$9</f>
        <v>1</v>
      </c>
      <c r="I16" s="517">
        <f t="shared" si="3"/>
        <v>399.58920000000001</v>
      </c>
      <c r="J16" s="518">
        <f t="shared" si="1"/>
        <v>2223045.5099999998</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34.729999999999997</v>
      </c>
      <c r="D17" s="357">
        <f>SUMIFS(CountData!J:J,CountData!H:H,$I$2,CountData!I:I,$O17)</f>
        <v>32.42</v>
      </c>
      <c r="E17" s="812">
        <f t="shared" si="0"/>
        <v>67.150000000000006</v>
      </c>
      <c r="F17" s="812"/>
      <c r="G17" s="813">
        <f>Consolidated!$F19</f>
        <v>0.97199999999999998</v>
      </c>
      <c r="H17" s="813">
        <f>Consolidated!$H$9</f>
        <v>1</v>
      </c>
      <c r="I17" s="517">
        <f t="shared" si="3"/>
        <v>65.269800000000004</v>
      </c>
      <c r="J17" s="518">
        <f t="shared" si="1"/>
        <v>363117.26</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254</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255</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10.220000000000001</v>
      </c>
      <c r="D26" s="357">
        <f>SUMIFS(CountData!J:J,CountData!H:H,$I$2,CountData!I:I,$O26)</f>
        <v>9.67</v>
      </c>
      <c r="E26" s="812">
        <f t="shared" si="0"/>
        <v>19.89</v>
      </c>
      <c r="F26" s="812"/>
      <c r="G26" s="813">
        <f>Consolidated!$F28</f>
        <v>1.165</v>
      </c>
      <c r="H26" s="813">
        <f>Consolidated!$H$9</f>
        <v>1</v>
      </c>
      <c r="I26" s="517">
        <f t="shared" si="3"/>
        <v>23.171900000000001</v>
      </c>
      <c r="J26" s="518">
        <f t="shared" si="1"/>
        <v>128912.86</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89.24</v>
      </c>
      <c r="D27" s="358">
        <f>SUMIFS(CountData!J:J,CountData!H:H,$I$2,CountData!I:I,$O27)</f>
        <v>79.33</v>
      </c>
      <c r="E27" s="814">
        <f t="shared" si="0"/>
        <v>168.57</v>
      </c>
      <c r="F27" s="814"/>
      <c r="G27" s="815">
        <f>Consolidated!$F29</f>
        <v>1.081</v>
      </c>
      <c r="H27" s="815">
        <f>Consolidated!$H$9</f>
        <v>1</v>
      </c>
      <c r="I27" s="22">
        <f t="shared" si="3"/>
        <v>182.2242</v>
      </c>
      <c r="J27" s="121">
        <f t="shared" si="1"/>
        <v>1013772.87</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425.16000000000008</v>
      </c>
      <c r="D28" s="720">
        <f>SUM(D12:D27)</f>
        <v>405.23</v>
      </c>
      <c r="E28" s="817">
        <f>SUM(E12:E27)</f>
        <v>830.38999999999987</v>
      </c>
      <c r="F28" s="817"/>
      <c r="G28" s="812"/>
      <c r="H28" s="812"/>
      <c r="I28" s="23">
        <f>SUM(I12:I27)</f>
        <v>833.93510000000003</v>
      </c>
      <c r="J28" s="121">
        <f>SUM(J12:J27)</f>
        <v>4639453.919999999</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833.93510000000003</v>
      </c>
      <c r="H33" s="812" t="s">
        <v>45</v>
      </c>
      <c r="I33" s="812"/>
      <c r="J33" s="32">
        <f>SUM(J32,J28)</f>
        <v>4639453.919999999</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3884600.52</v>
      </c>
      <c r="H36" s="37" t="s">
        <v>49</v>
      </c>
      <c r="I36" s="38">
        <v>6.6699999999999995E-2</v>
      </c>
      <c r="J36" s="125">
        <f>ROUND(G36*I36,2)</f>
        <v>259102.85</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3884600.52</v>
      </c>
      <c r="H37" s="37" t="s">
        <v>49</v>
      </c>
      <c r="I37" s="38">
        <v>5.4000000000000003E-3</v>
      </c>
      <c r="J37" s="125">
        <f>ROUND(G37*I37,2)</f>
        <v>20976.84</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280079.69</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632"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46">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46">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ht="20.25" customHeight="1" x14ac:dyDescent="0.25">
      <c r="A44" s="825"/>
      <c r="B44" s="825"/>
      <c r="C44" s="357">
        <v>9.5</v>
      </c>
      <c r="D44" s="357">
        <v>0</v>
      </c>
      <c r="E44" s="826">
        <f t="shared" si="8"/>
        <v>19</v>
      </c>
      <c r="F44" s="826"/>
      <c r="G44" s="47" t="s">
        <v>60</v>
      </c>
      <c r="H44" s="37">
        <v>251</v>
      </c>
      <c r="I44" s="130">
        <f>Consolidated!$H62</f>
        <v>1173</v>
      </c>
      <c r="J44" s="131">
        <f t="shared" si="9"/>
        <v>22287</v>
      </c>
      <c r="L44" s="3"/>
      <c r="M44" s="2"/>
      <c r="Q44" s="4"/>
      <c r="R44" s="885"/>
      <c r="S44" s="885"/>
      <c r="T44" s="867"/>
      <c r="U44" s="867"/>
      <c r="V44" s="176" t="s">
        <v>60</v>
      </c>
      <c r="W44" s="167">
        <v>251</v>
      </c>
      <c r="X44" s="128">
        <f>Consolidated!$H62</f>
        <v>1173</v>
      </c>
      <c r="Y44" s="218">
        <f t="shared" si="10"/>
        <v>0</v>
      </c>
    </row>
    <row r="45" spans="1:25" x14ac:dyDescent="0.25">
      <c r="A45" s="825"/>
      <c r="B45" s="825"/>
      <c r="C45" s="357">
        <v>0.5</v>
      </c>
      <c r="D45" s="357">
        <v>0</v>
      </c>
      <c r="E45" s="826">
        <f t="shared" si="8"/>
        <v>1</v>
      </c>
      <c r="F45" s="826"/>
      <c r="G45" s="47" t="s">
        <v>60</v>
      </c>
      <c r="H45" s="37">
        <v>252</v>
      </c>
      <c r="I45" s="130">
        <f>Consolidated!$H63</f>
        <v>3506</v>
      </c>
      <c r="J45" s="46">
        <f t="shared" si="9"/>
        <v>3506</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32.79</v>
      </c>
      <c r="D47" s="357">
        <v>0</v>
      </c>
      <c r="E47" s="826">
        <f t="shared" si="8"/>
        <v>65.58</v>
      </c>
      <c r="F47" s="826"/>
      <c r="G47" s="47" t="s">
        <v>61</v>
      </c>
      <c r="H47" s="37">
        <v>251</v>
      </c>
      <c r="I47" s="130">
        <f>Consolidated!$H65</f>
        <v>835</v>
      </c>
      <c r="J47" s="46">
        <f t="shared" si="9"/>
        <v>54759.3</v>
      </c>
      <c r="M47" s="2"/>
      <c r="R47" s="885"/>
      <c r="S47" s="885"/>
      <c r="T47" s="867"/>
      <c r="U47" s="867"/>
      <c r="V47" s="176" t="s">
        <v>61</v>
      </c>
      <c r="W47" s="167">
        <v>251</v>
      </c>
      <c r="X47" s="128">
        <f>Consolidated!$H65</f>
        <v>835</v>
      </c>
      <c r="Y47" s="218">
        <f t="shared" si="10"/>
        <v>0</v>
      </c>
    </row>
    <row r="48" spans="1:25" ht="15.75" customHeight="1" x14ac:dyDescent="0.25">
      <c r="A48" s="825"/>
      <c r="B48" s="825"/>
      <c r="C48" s="357">
        <v>2.0499999999999998</v>
      </c>
      <c r="D48" s="357">
        <v>0</v>
      </c>
      <c r="E48" s="826">
        <f t="shared" si="8"/>
        <v>4.0999999999999996</v>
      </c>
      <c r="F48" s="826"/>
      <c r="G48" s="47" t="s">
        <v>61</v>
      </c>
      <c r="H48" s="37">
        <v>252</v>
      </c>
      <c r="I48" s="130">
        <f>Consolidated!$H66</f>
        <v>3168</v>
      </c>
      <c r="J48" s="46">
        <f t="shared" si="9"/>
        <v>12988.8</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33">
        <f>SUM(C41:C49)</f>
        <v>44.839999999999996</v>
      </c>
      <c r="D50" s="33">
        <f>SUM(D41:D49)</f>
        <v>0</v>
      </c>
      <c r="E50" s="832">
        <f>SUM(E41:E49)</f>
        <v>89.679999999999993</v>
      </c>
      <c r="F50" s="832"/>
      <c r="G50" s="818" t="s">
        <v>63</v>
      </c>
      <c r="H50" s="818"/>
      <c r="I50" s="818"/>
      <c r="J50" s="225">
        <f>SUM(J41:J49)</f>
        <v>93541.1</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48">
        <f>E28</f>
        <v>830.38999999999987</v>
      </c>
      <c r="D53" s="49" t="s">
        <v>66</v>
      </c>
      <c r="G53" s="3"/>
      <c r="H53" s="50" t="s">
        <v>67</v>
      </c>
      <c r="I53" s="634">
        <f>Consolidated!H$71</f>
        <v>207782.75</v>
      </c>
      <c r="J53" s="633"/>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IFERROR(ROUND(C53/I53,6),0)</f>
        <v>3.9960000000000004E-3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48">
        <f>G33</f>
        <v>833.93510000000003</v>
      </c>
      <c r="D56" s="49" t="s">
        <v>66</v>
      </c>
      <c r="G56" s="3"/>
      <c r="H56" s="50" t="s">
        <v>71</v>
      </c>
      <c r="I56" s="634">
        <f>Consolidated!H$74</f>
        <v>221179.83999999997</v>
      </c>
      <c r="J56" s="633"/>
      <c r="M56" s="2"/>
      <c r="R56" s="181"/>
      <c r="S56" s="164"/>
      <c r="T56" s="164"/>
      <c r="U56" s="164"/>
      <c r="V56" s="164"/>
      <c r="W56" s="183" t="s">
        <v>68</v>
      </c>
      <c r="X56" s="864">
        <f>ROUND(T55/X55,6)</f>
        <v>0</v>
      </c>
      <c r="Y56" s="864"/>
    </row>
    <row r="57" spans="1:25" ht="18.75" customHeight="1" x14ac:dyDescent="0.25">
      <c r="A57" s="51"/>
      <c r="H57" s="53" t="s">
        <v>68</v>
      </c>
      <c r="I57" s="828">
        <f>IFERROR(ROUND(C56/I56,6),0)</f>
        <v>3.7699999999999999E-3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48">
        <f>E28</f>
        <v>830.38999999999987</v>
      </c>
      <c r="D59" s="49" t="s">
        <v>66</v>
      </c>
      <c r="F59" s="794" t="s">
        <v>74</v>
      </c>
      <c r="G59" s="794"/>
      <c r="H59" s="794"/>
      <c r="I59" s="634">
        <f>Consolidated!H$77</f>
        <v>178931.75</v>
      </c>
      <c r="J59" s="633"/>
      <c r="M59" s="2"/>
      <c r="R59" s="181"/>
      <c r="S59" s="164"/>
      <c r="T59" s="164"/>
      <c r="U59" s="164"/>
      <c r="V59" s="164"/>
      <c r="W59" s="183" t="s">
        <v>68</v>
      </c>
      <c r="X59" s="864">
        <f>ROUND(T58/X58,6)</f>
        <v>0</v>
      </c>
      <c r="Y59" s="864"/>
    </row>
    <row r="60" spans="1:25" ht="18" customHeight="1" x14ac:dyDescent="0.25">
      <c r="A60" s="51"/>
      <c r="H60" s="53" t="s">
        <v>68</v>
      </c>
      <c r="I60" s="828">
        <f>IFERROR(ROUND(C59/I59,6),0)</f>
        <v>4.6410000000000002E-3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20.25" customHeight="1" x14ac:dyDescent="0.25">
      <c r="A62" s="827" t="s">
        <v>73</v>
      </c>
      <c r="B62" s="827"/>
      <c r="C62" s="48">
        <f>E28</f>
        <v>830.38999999999987</v>
      </c>
      <c r="D62" s="49" t="s">
        <v>66</v>
      </c>
      <c r="F62" s="794" t="s">
        <v>76</v>
      </c>
      <c r="G62" s="794"/>
      <c r="H62" s="794"/>
      <c r="I62" s="634">
        <f>Consolidated!H$80</f>
        <v>207463.82</v>
      </c>
      <c r="J62" s="633"/>
      <c r="M62" s="2"/>
      <c r="R62" s="181"/>
      <c r="S62" s="164"/>
      <c r="T62" s="164"/>
      <c r="U62" s="164"/>
      <c r="V62" s="164"/>
      <c r="W62" s="183" t="s">
        <v>68</v>
      </c>
      <c r="X62" s="864">
        <f>ROUND(T61/X61,6)</f>
        <v>0</v>
      </c>
      <c r="Y62" s="864"/>
    </row>
    <row r="63" spans="1:25" ht="19.5" customHeight="1" x14ac:dyDescent="0.25">
      <c r="A63" s="51"/>
      <c r="H63" s="53" t="s">
        <v>68</v>
      </c>
      <c r="I63" s="828">
        <f>IFERROR(ROUND(C62/I62,6),0)</f>
        <v>4.0029999999999996E-3</v>
      </c>
      <c r="J63" s="828"/>
      <c r="L63" s="55"/>
      <c r="M63" s="56"/>
      <c r="O63" s="57"/>
      <c r="P63" s="58"/>
      <c r="R63" s="739" t="s">
        <v>77</v>
      </c>
      <c r="S63" s="739"/>
      <c r="T63" s="739"/>
      <c r="U63" s="739"/>
      <c r="V63" s="739"/>
      <c r="W63" s="739"/>
      <c r="X63" s="739"/>
      <c r="Y63" s="739"/>
    </row>
    <row r="64" spans="1:25" ht="22.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x14ac:dyDescent="0.25">
      <c r="A65" s="827" t="s">
        <v>73</v>
      </c>
      <c r="B65" s="827"/>
      <c r="C65" s="48">
        <f>E28</f>
        <v>830.38999999999987</v>
      </c>
      <c r="D65" s="794" t="s">
        <v>542</v>
      </c>
      <c r="E65" s="794"/>
      <c r="F65" s="794"/>
      <c r="G65" s="794"/>
      <c r="H65" s="794"/>
      <c r="I65" s="634">
        <f>Consolidated!H$83</f>
        <v>178612.82</v>
      </c>
      <c r="J65" s="633"/>
      <c r="M65" s="2"/>
      <c r="R65" s="184"/>
      <c r="S65" s="164"/>
      <c r="T65" s="164"/>
      <c r="U65" s="164"/>
      <c r="V65" s="164"/>
      <c r="W65" s="183" t="s">
        <v>68</v>
      </c>
      <c r="X65" s="864">
        <f>ROUND(T64/X64,6)</f>
        <v>0</v>
      </c>
      <c r="Y65" s="864"/>
    </row>
    <row r="66" spans="1:26" ht="19.5" customHeight="1" x14ac:dyDescent="0.25">
      <c r="A66" s="51"/>
      <c r="H66" s="53" t="s">
        <v>68</v>
      </c>
      <c r="I66" s="828">
        <f>IFERROR(ROUND(C65/I65,6),0)</f>
        <v>4.6490000000000004E-3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4.0029999999999996E-3</v>
      </c>
      <c r="J68" s="132">
        <f>ROUND(G68*I68,2)</f>
        <v>182655.26</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3.9960000000000004E-3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4.6490000000000004E-3</v>
      </c>
      <c r="J71" s="132">
        <f>ROUND(G71*I71,2)</f>
        <v>88024.44</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4.6410000000000002E-3</v>
      </c>
      <c r="J72" s="132">
        <f>ROUND(G72*I72,2)</f>
        <v>52443.360000000001</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v>9.44</v>
      </c>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v>3.2</v>
      </c>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v>48.9</v>
      </c>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v>0</v>
      </c>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v>9.36</v>
      </c>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70.900000000000006</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5.4949999999999999E-3</v>
      </c>
      <c r="J84" s="62">
        <f>ROUND(G84*I84,2)</f>
        <v>321472.83</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3.7699999999999999E-3</v>
      </c>
      <c r="J85" s="132">
        <f>ROUND(G85*I85,2)</f>
        <v>1013437.37</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3.7699999999999999E-3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3.9960000000000004E-3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13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163.68</v>
      </c>
      <c r="C91" s="80"/>
      <c r="D91" s="894">
        <f>I6</f>
        <v>1.0355000000000001</v>
      </c>
      <c r="E91" s="894"/>
      <c r="F91" s="894"/>
      <c r="G91" s="117">
        <f>Consolidated!F$119</f>
        <v>915.09</v>
      </c>
      <c r="H91" s="47" t="s">
        <v>68</v>
      </c>
      <c r="I91" s="134">
        <f>ROUND(B91*D91*G91,2)</f>
        <v>155099.19</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670.25510000000008</v>
      </c>
      <c r="C92" s="80"/>
      <c r="D92" s="894">
        <f>I6</f>
        <v>1.0355000000000001</v>
      </c>
      <c r="E92" s="894"/>
      <c r="F92" s="894"/>
      <c r="G92" s="117">
        <f>Consolidated!F$120</f>
        <v>917.3</v>
      </c>
      <c r="H92" s="47" t="s">
        <v>68</v>
      </c>
      <c r="I92" s="135">
        <f>ROUND(B92*D92*G92,2)</f>
        <v>636651.29</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833.93510000000015</v>
      </c>
      <c r="C93" s="80"/>
      <c r="D93" s="80"/>
      <c r="E93" s="846" t="s">
        <v>112</v>
      </c>
      <c r="F93" s="846"/>
      <c r="G93" s="846"/>
      <c r="H93" s="846"/>
      <c r="I93" s="846"/>
      <c r="J93" s="121">
        <f>IF(A1=75,0,I92+I91+I90)</f>
        <v>791750.48</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502</v>
      </c>
      <c r="D97" s="228">
        <v>0</v>
      </c>
      <c r="E97" s="913">
        <f>(C97+D97)</f>
        <v>502</v>
      </c>
      <c r="F97" s="850"/>
      <c r="G97" s="850"/>
      <c r="H97" s="85" t="s">
        <v>117</v>
      </c>
      <c r="I97" s="124">
        <f>Consolidated!G$127</f>
        <v>586</v>
      </c>
      <c r="J97" s="132">
        <f>ROUND(I97*E97,2)</f>
        <v>294172</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c r="E98" s="852">
        <f>(C98+D98)/2</f>
        <v>0</v>
      </c>
      <c r="F98" s="852"/>
      <c r="G98" s="852"/>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8"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818" t="s">
        <v>125</v>
      </c>
      <c r="B107" s="818"/>
      <c r="C107" s="818"/>
      <c r="D107" s="818"/>
      <c r="E107" s="818"/>
      <c r="F107" s="818"/>
      <c r="G107" s="818"/>
      <c r="H107" s="818"/>
      <c r="I107" s="818"/>
      <c r="J107" s="519">
        <f>SUM(J106,J105,J98,J97,J93,J86,J85,J71,J70,J68,J33,J72,J50,J87,J84)</f>
        <v>7476950.7599999988</v>
      </c>
      <c r="R107" s="739" t="s">
        <v>125</v>
      </c>
      <c r="S107" s="739"/>
      <c r="T107" s="739"/>
      <c r="U107" s="739"/>
      <c r="V107" s="739"/>
      <c r="W107" s="739"/>
      <c r="X107" s="739"/>
      <c r="Y107" s="213">
        <f>SUM(Y106,Y105,Y97,Y96,Y93,Y86,Y85,Y84,Y70,Y69,Y67,Y33,Y71,Y50,Y87,Y83)</f>
        <v>0</v>
      </c>
    </row>
    <row r="108" spans="1:25" ht="15.75" customHeight="1" thickTop="1" x14ac:dyDescent="0.25">
      <c r="A108" s="821"/>
      <c r="B108" s="821"/>
      <c r="C108" s="821"/>
      <c r="D108" s="821"/>
      <c r="E108" s="821"/>
      <c r="F108" s="821"/>
      <c r="G108" s="821"/>
      <c r="H108" s="821"/>
      <c r="I108" s="821"/>
      <c r="J108" s="821"/>
      <c r="R108" s="834"/>
      <c r="S108" s="834"/>
      <c r="T108" s="834"/>
      <c r="U108" s="834"/>
      <c r="V108" s="834"/>
      <c r="W108" s="834"/>
      <c r="X108" s="834"/>
      <c r="Y108" s="834"/>
    </row>
    <row r="109" spans="1:25" ht="17.25" customHeight="1" thickBot="1" x14ac:dyDescent="0.3">
      <c r="A109" s="820" t="s">
        <v>131</v>
      </c>
      <c r="B109" s="820"/>
      <c r="C109" s="820"/>
      <c r="D109" s="820"/>
      <c r="E109" s="820"/>
      <c r="F109" s="821"/>
      <c r="G109" s="821"/>
      <c r="H109" s="821"/>
      <c r="I109" s="2" t="s">
        <v>132</v>
      </c>
      <c r="J109" s="521">
        <f>J107-J38</f>
        <v>7196871.0699999984</v>
      </c>
      <c r="R109" s="164" t="s">
        <v>176</v>
      </c>
      <c r="S109" s="164"/>
      <c r="T109" s="164"/>
      <c r="U109" s="164"/>
      <c r="V109" s="164"/>
      <c r="W109" s="164"/>
      <c r="X109" s="164"/>
      <c r="Y109" s="214">
        <f>Y107-Y38</f>
        <v>0</v>
      </c>
    </row>
    <row r="110" spans="1:25" ht="18.75" customHeight="1" thickTop="1" x14ac:dyDescent="0.25">
      <c r="A110" s="820" t="s">
        <v>133</v>
      </c>
      <c r="B110" s="820"/>
      <c r="C110" s="820"/>
      <c r="D110" s="820"/>
      <c r="E110" s="820"/>
      <c r="F110" s="820"/>
      <c r="G110" s="820"/>
      <c r="H110" s="820"/>
      <c r="I110" s="42" t="s">
        <v>134</v>
      </c>
      <c r="J110" s="72"/>
      <c r="R110" s="830" t="s">
        <v>136</v>
      </c>
      <c r="S110" s="830"/>
      <c r="T110" s="830"/>
      <c r="U110" s="830"/>
      <c r="V110" s="830"/>
      <c r="W110" s="830"/>
      <c r="X110" s="830"/>
      <c r="Y110" s="830"/>
    </row>
    <row r="111" spans="1:25" ht="15.75" customHeight="1" x14ac:dyDescent="0.25">
      <c r="A111" s="827" t="s">
        <v>135</v>
      </c>
      <c r="B111" s="827"/>
      <c r="C111" s="827"/>
      <c r="D111" s="827"/>
      <c r="E111" s="827"/>
      <c r="F111" s="827"/>
      <c r="G111" s="827"/>
      <c r="H111" s="827"/>
      <c r="I111" s="229"/>
      <c r="J111" s="46">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51"/>
      <c r="I113" s="90"/>
      <c r="J113" s="72"/>
      <c r="R113" s="234"/>
      <c r="S113" s="234"/>
      <c r="T113" s="234"/>
      <c r="U113" s="234"/>
      <c r="V113" s="234"/>
      <c r="W113" s="234"/>
      <c r="X113" s="234"/>
      <c r="Y113" s="234"/>
    </row>
    <row r="114" spans="1:26" x14ac:dyDescent="0.25">
      <c r="A114" s="235" t="s">
        <v>180</v>
      </c>
      <c r="B114" s="236"/>
      <c r="C114" s="236"/>
      <c r="D114" s="236"/>
      <c r="E114" s="236"/>
      <c r="F114" s="236"/>
      <c r="G114" s="236"/>
      <c r="H114" s="638" t="s">
        <v>431</v>
      </c>
      <c r="I114" s="639">
        <f>IF(I111=1,J111,J109)</f>
        <v>7196871.0699999984</v>
      </c>
      <c r="J114" s="640">
        <f>ROUND(IF(E28=0,0,IF(E28&gt;250,-(((250/E28)*I114)*IF(H114="H",0.02,0.05)),IF(H114="H",-0.02*I114,-0.05*I114))),2)</f>
        <v>-43334.28</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7433616.4799999986</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6"/>
      <c r="F118" s="235"/>
      <c r="G118" s="236"/>
      <c r="H118" s="641"/>
      <c r="I118" s="642"/>
      <c r="J118" s="647">
        <f>-'Cumulative Payments'!R75</f>
        <v>-6257886.2600000007</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1175730.2199999979</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587865.11</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ROUND(IF(H114="H",(I114*0.02)+J114,(I114*0.05)+J114),2)</f>
        <v>100603.14</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642"/>
      <c r="I127" s="651"/>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X59:Y59"/>
    <mergeCell ref="I60:J60"/>
    <mergeCell ref="R60:Y60"/>
    <mergeCell ref="F62:H62"/>
    <mergeCell ref="F59:H59"/>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X62:Y62"/>
    <mergeCell ref="A68:E68"/>
    <mergeCell ref="R68:S68"/>
    <mergeCell ref="A69:B69"/>
    <mergeCell ref="R69:T69"/>
    <mergeCell ref="A70:E70"/>
    <mergeCell ref="R70:T70"/>
    <mergeCell ref="A65:B65"/>
    <mergeCell ref="D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6D7F8-ADC8-4D87-BA31-2337C86B2E39}">
  <dimension ref="A1:Z207"/>
  <sheetViews>
    <sheetView topLeftCell="A106" workbookViewId="0">
      <selection activeCell="J118" sqref="J118"/>
    </sheetView>
  </sheetViews>
  <sheetFormatPr defaultRowHeight="15.75" x14ac:dyDescent="0.25"/>
  <cols>
    <col min="1" max="1" width="13" style="42" customWidth="1"/>
    <col min="2" max="2" width="33.5703125" style="2" customWidth="1"/>
    <col min="3" max="4" width="14.28515625" style="2" customWidth="1"/>
    <col min="5" max="5" width="9" style="2" bestFit="1"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434</v>
      </c>
      <c r="B2" s="101"/>
      <c r="C2" s="101"/>
      <c r="D2" s="101"/>
      <c r="E2" s="6"/>
      <c r="F2" s="6"/>
      <c r="G2" s="6"/>
      <c r="H2" s="6"/>
      <c r="I2" s="686" t="str">
        <f>RIGHT(A2,4)</f>
        <v>1571</v>
      </c>
      <c r="J2" s="6"/>
      <c r="K2" s="6"/>
      <c r="L2" s="6"/>
      <c r="M2" s="6"/>
      <c r="N2" s="6"/>
      <c r="O2" s="6"/>
      <c r="P2" s="6"/>
      <c r="Q2" s="6"/>
      <c r="R2" s="898" t="str">
        <f>Revenue_Estimate_Worksheet_for___________Charter_School</f>
        <v>Revenue Estimate Worksheet: South Tech Charter Academy - 1571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0</v>
      </c>
      <c r="D14" s="357">
        <f>SUMIFS(CountData!J:J,CountData!H:H,$I$2,CountData!I:I,$O14)</f>
        <v>0.11</v>
      </c>
      <c r="E14" s="812">
        <f t="shared" si="0"/>
        <v>0.11</v>
      </c>
      <c r="F14" s="812"/>
      <c r="G14" s="813">
        <f>Consolidated!$F16</f>
        <v>1</v>
      </c>
      <c r="H14" s="813">
        <f>Consolidated!$H$9</f>
        <v>1</v>
      </c>
      <c r="I14" s="517">
        <f t="shared" si="3"/>
        <v>0.11</v>
      </c>
      <c r="J14" s="518">
        <f>ROUND(ROUND(ROUND(I14*$E$6,4)*($I$6),2)*(MAX($I$7,1)),2)</f>
        <v>611.97</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0</v>
      </c>
      <c r="D15" s="357">
        <f>SUMIFS(CountData!J:J,CountData!H:H,$I$2,CountData!I:I,$O15)</f>
        <v>0</v>
      </c>
      <c r="E15" s="812">
        <f t="shared" si="0"/>
        <v>0</v>
      </c>
      <c r="F15" s="812"/>
      <c r="G15" s="813">
        <f>Consolidated!$F17</f>
        <v>1</v>
      </c>
      <c r="H15" s="813">
        <f>Consolidated!$H$9</f>
        <v>1</v>
      </c>
      <c r="I15" s="517">
        <f t="shared" si="3"/>
        <v>0</v>
      </c>
      <c r="J15" s="518">
        <f t="shared" si="1"/>
        <v>0</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288.52999999999997</v>
      </c>
      <c r="D16" s="357">
        <f>SUMIFS(CountData!J:J,CountData!H:H,$I$2,CountData!I:I,$O16)</f>
        <v>273.25</v>
      </c>
      <c r="E16" s="812">
        <f t="shared" si="0"/>
        <v>561.78</v>
      </c>
      <c r="F16" s="812"/>
      <c r="G16" s="813">
        <f>Consolidated!$F18</f>
        <v>0.97199999999999998</v>
      </c>
      <c r="H16" s="813">
        <f>Consolidated!$H$9</f>
        <v>1</v>
      </c>
      <c r="I16" s="517">
        <f t="shared" si="3"/>
        <v>546.05020000000002</v>
      </c>
      <c r="J16" s="518">
        <f t="shared" si="1"/>
        <v>3037855.98</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145</v>
      </c>
      <c r="D17" s="357">
        <f>SUMIFS(CountData!J:J,CountData!H:H,$I$2,CountData!I:I,$O17)</f>
        <v>137.68</v>
      </c>
      <c r="E17" s="812">
        <f t="shared" si="0"/>
        <v>282.68</v>
      </c>
      <c r="F17" s="812"/>
      <c r="G17" s="813">
        <f>Consolidated!$F19</f>
        <v>0.97199999999999998</v>
      </c>
      <c r="H17" s="813">
        <f>Consolidated!$H$9</f>
        <v>1</v>
      </c>
      <c r="I17" s="517">
        <f t="shared" si="3"/>
        <v>274.76499999999999</v>
      </c>
      <c r="J17" s="518">
        <f t="shared" si="1"/>
        <v>1528607.63</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254</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255</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1.47</v>
      </c>
      <c r="D26" s="357">
        <f>SUMIFS(CountData!J:J,CountData!H:H,$I$2,CountData!I:I,$O26)</f>
        <v>1.33</v>
      </c>
      <c r="E26" s="812">
        <f t="shared" si="0"/>
        <v>2.8</v>
      </c>
      <c r="F26" s="812"/>
      <c r="G26" s="813">
        <f>Consolidated!$F28</f>
        <v>1.165</v>
      </c>
      <c r="H26" s="813">
        <f>Consolidated!$H$9</f>
        <v>1</v>
      </c>
      <c r="I26" s="517">
        <f t="shared" si="3"/>
        <v>3.262</v>
      </c>
      <c r="J26" s="518">
        <f t="shared" si="1"/>
        <v>18147.57</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129.88</v>
      </c>
      <c r="D27" s="358">
        <f>SUMIFS(CountData!J:J,CountData!H:H,$I$2,CountData!I:I,$O27)</f>
        <v>126</v>
      </c>
      <c r="E27" s="814">
        <f t="shared" si="0"/>
        <v>255.88</v>
      </c>
      <c r="F27" s="814"/>
      <c r="G27" s="815">
        <f>Consolidated!$F29</f>
        <v>1.081</v>
      </c>
      <c r="H27" s="815">
        <f>Consolidated!$H$9</f>
        <v>1</v>
      </c>
      <c r="I27" s="22">
        <f t="shared" si="3"/>
        <v>276.60629999999998</v>
      </c>
      <c r="J27" s="121">
        <f t="shared" si="1"/>
        <v>1538851.38</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564.88</v>
      </c>
      <c r="D28" s="720">
        <f>SUM(D12:D27)</f>
        <v>538.37</v>
      </c>
      <c r="E28" s="915">
        <f>SUM(E12:E27)</f>
        <v>1103.25</v>
      </c>
      <c r="F28" s="915"/>
      <c r="G28" s="812"/>
      <c r="H28" s="812"/>
      <c r="I28" s="23">
        <f>SUM(I12:I27)</f>
        <v>1100.7935</v>
      </c>
      <c r="J28" s="121">
        <f>SUM(J12:J27)</f>
        <v>6124074.5300000003</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1100.7935</v>
      </c>
      <c r="H33" s="812" t="s">
        <v>45</v>
      </c>
      <c r="I33" s="812"/>
      <c r="J33" s="32">
        <f>SUM(J32,J28)</f>
        <v>6124074.5300000003</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6179477.4900000002</v>
      </c>
      <c r="H36" s="37" t="s">
        <v>49</v>
      </c>
      <c r="I36" s="38">
        <v>6.6699999999999995E-2</v>
      </c>
      <c r="J36" s="125">
        <f>ROUND(G36*I36,2)</f>
        <v>412171.15</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6179477.4900000002</v>
      </c>
      <c r="H37" s="37" t="s">
        <v>49</v>
      </c>
      <c r="I37" s="38">
        <v>5.4000000000000003E-3</v>
      </c>
      <c r="J37" s="125">
        <f>ROUND(G37*I37,2)</f>
        <v>33369.18</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445540.33</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46">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46">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ht="20.25" customHeight="1" x14ac:dyDescent="0.25">
      <c r="A44" s="825"/>
      <c r="B44" s="825"/>
      <c r="C44" s="357">
        <v>0</v>
      </c>
      <c r="D44" s="357">
        <v>0</v>
      </c>
      <c r="E44" s="826">
        <f t="shared" si="8"/>
        <v>0</v>
      </c>
      <c r="F44" s="826"/>
      <c r="G44" s="47" t="s">
        <v>60</v>
      </c>
      <c r="H44" s="37">
        <v>251</v>
      </c>
      <c r="I44" s="130">
        <f>Consolidated!$H62</f>
        <v>1173</v>
      </c>
      <c r="J44" s="131">
        <f t="shared" si="9"/>
        <v>0</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46">
        <f t="shared" si="9"/>
        <v>0</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136.18</v>
      </c>
      <c r="D47" s="357">
        <v>0</v>
      </c>
      <c r="E47" s="826">
        <f t="shared" si="8"/>
        <v>272.36</v>
      </c>
      <c r="F47" s="826"/>
      <c r="G47" s="47" t="s">
        <v>61</v>
      </c>
      <c r="H47" s="37">
        <v>251</v>
      </c>
      <c r="I47" s="130">
        <f>Consolidated!$H65</f>
        <v>835</v>
      </c>
      <c r="J47" s="131">
        <f t="shared" si="9"/>
        <v>227420.6</v>
      </c>
      <c r="M47" s="2"/>
      <c r="R47" s="885"/>
      <c r="S47" s="885"/>
      <c r="T47" s="867"/>
      <c r="U47" s="867"/>
      <c r="V47" s="176" t="s">
        <v>61</v>
      </c>
      <c r="W47" s="167">
        <v>251</v>
      </c>
      <c r="X47" s="128">
        <f>Consolidated!$H65</f>
        <v>835</v>
      </c>
      <c r="Y47" s="218">
        <f t="shared" si="10"/>
        <v>0</v>
      </c>
    </row>
    <row r="48" spans="1:25" ht="15.75" customHeight="1" x14ac:dyDescent="0.25">
      <c r="A48" s="825"/>
      <c r="B48" s="825"/>
      <c r="C48" s="357">
        <v>8.5500000000000007</v>
      </c>
      <c r="D48" s="357">
        <v>0</v>
      </c>
      <c r="E48" s="826">
        <f t="shared" si="8"/>
        <v>17.100000000000001</v>
      </c>
      <c r="F48" s="826"/>
      <c r="G48" s="47" t="s">
        <v>61</v>
      </c>
      <c r="H48" s="37">
        <v>252</v>
      </c>
      <c r="I48" s="130">
        <f>Consolidated!$H66</f>
        <v>3168</v>
      </c>
      <c r="J48" s="131">
        <f t="shared" si="9"/>
        <v>54172.800000000003</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33">
        <f>SUM(C41:C49)</f>
        <v>144.73000000000002</v>
      </c>
      <c r="D50" s="33">
        <f>SUM(D41:D49)</f>
        <v>0</v>
      </c>
      <c r="E50" s="832">
        <f>SUM(E41:E49)</f>
        <v>289.46000000000004</v>
      </c>
      <c r="F50" s="832"/>
      <c r="G50" s="818" t="s">
        <v>63</v>
      </c>
      <c r="H50" s="818"/>
      <c r="I50" s="818"/>
      <c r="J50" s="225">
        <f>SUM(J41:J49)</f>
        <v>281593.40000000002</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1103.25</v>
      </c>
      <c r="F53" s="49" t="s">
        <v>66</v>
      </c>
      <c r="G53" s="3"/>
      <c r="H53" s="50" t="s">
        <v>67</v>
      </c>
      <c r="I53" s="634">
        <f>Consolidated!H$71</f>
        <v>207782.75</v>
      </c>
      <c r="J53" s="633"/>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5.3099999999999996E-3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E56</f>
        <v>1100.7935</v>
      </c>
      <c r="U55" s="178" t="s">
        <v>66</v>
      </c>
      <c r="V55" s="179"/>
      <c r="W55" s="180" t="s">
        <v>71</v>
      </c>
      <c r="X55" s="863">
        <f>I56</f>
        <v>221179.83999999997</v>
      </c>
      <c r="Y55" s="863"/>
    </row>
    <row r="56" spans="1:25" ht="16.5" customHeight="1" x14ac:dyDescent="0.25">
      <c r="A56" s="827" t="s">
        <v>70</v>
      </c>
      <c r="B56" s="827"/>
      <c r="C56" s="51"/>
      <c r="D56" s="51"/>
      <c r="E56" s="48">
        <f>G33</f>
        <v>1100.7935</v>
      </c>
      <c r="F56" s="49" t="s">
        <v>66</v>
      </c>
      <c r="G56" s="3"/>
      <c r="H56" s="50" t="s">
        <v>71</v>
      </c>
      <c r="I56" s="634">
        <f>Consolidated!H$74</f>
        <v>221179.83999999997</v>
      </c>
      <c r="J56" s="633"/>
      <c r="M56" s="2"/>
      <c r="R56" s="181"/>
      <c r="S56" s="164"/>
      <c r="T56" s="164"/>
      <c r="U56" s="164"/>
      <c r="V56" s="164"/>
      <c r="W56" s="183" t="s">
        <v>68</v>
      </c>
      <c r="X56" s="864">
        <f>ROUND(T55/X55,6)</f>
        <v>4.9769999999999997E-3</v>
      </c>
      <c r="Y56" s="864"/>
    </row>
    <row r="57" spans="1:25" ht="18.75" customHeight="1" x14ac:dyDescent="0.25">
      <c r="A57" s="51"/>
      <c r="H57" s="53" t="s">
        <v>68</v>
      </c>
      <c r="I57" s="828">
        <f>IFERROR(ROUND(E56/I56,6),0)</f>
        <v>4.9769999999999997E-3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1103.25</v>
      </c>
      <c r="F59" s="49" t="s">
        <v>66</v>
      </c>
      <c r="G59" s="911" t="s">
        <v>74</v>
      </c>
      <c r="H59" s="911"/>
      <c r="I59" s="634">
        <f>Consolidated!H$77</f>
        <v>178931.75</v>
      </c>
      <c r="J59" s="633"/>
      <c r="M59" s="2"/>
      <c r="R59" s="181"/>
      <c r="S59" s="164"/>
      <c r="T59" s="164"/>
      <c r="U59" s="164"/>
      <c r="V59" s="164"/>
      <c r="W59" s="183" t="s">
        <v>68</v>
      </c>
      <c r="X59" s="864">
        <f>ROUND(T58/X58,6)</f>
        <v>0</v>
      </c>
      <c r="Y59" s="864"/>
    </row>
    <row r="60" spans="1:25" ht="18" customHeight="1" x14ac:dyDescent="0.25">
      <c r="A60" s="51"/>
      <c r="H60" s="53" t="s">
        <v>68</v>
      </c>
      <c r="I60" s="828">
        <f>IFERROR(ROUND(E59/I59,6),0)</f>
        <v>6.1659999999999996E-3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1103.25</v>
      </c>
      <c r="F62" s="49" t="s">
        <v>66</v>
      </c>
      <c r="G62" s="911" t="s">
        <v>76</v>
      </c>
      <c r="H62" s="911"/>
      <c r="I62" s="634">
        <f>Consolidated!H$80</f>
        <v>207463.82</v>
      </c>
      <c r="J62" s="633"/>
      <c r="M62" s="2"/>
      <c r="R62" s="181"/>
      <c r="S62" s="164"/>
      <c r="T62" s="164"/>
      <c r="U62" s="164"/>
      <c r="V62" s="164"/>
      <c r="W62" s="183" t="s">
        <v>68</v>
      </c>
      <c r="X62" s="864">
        <f>ROUND(T61/X61,6)</f>
        <v>0</v>
      </c>
      <c r="Y62" s="864"/>
    </row>
    <row r="63" spans="1:25" ht="19.5" customHeight="1" x14ac:dyDescent="0.25">
      <c r="A63" s="51"/>
      <c r="H63" s="53" t="s">
        <v>68</v>
      </c>
      <c r="I63" s="828">
        <f>IFERROR(ROUND(E62/I62,6),0)</f>
        <v>5.3179999999999998E-3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1103.25</v>
      </c>
      <c r="F65" s="49" t="s">
        <v>66</v>
      </c>
      <c r="G65" s="911" t="s">
        <v>78</v>
      </c>
      <c r="H65" s="911"/>
      <c r="I65" s="634">
        <f>Consolidated!H$83</f>
        <v>178612.82</v>
      </c>
      <c r="J65" s="633"/>
      <c r="M65" s="2"/>
      <c r="R65" s="184"/>
      <c r="S65" s="164"/>
      <c r="T65" s="164"/>
      <c r="U65" s="164"/>
      <c r="V65" s="164"/>
      <c r="W65" s="183" t="s">
        <v>68</v>
      </c>
      <c r="X65" s="864">
        <f>ROUND(T64/X64,6)</f>
        <v>0</v>
      </c>
      <c r="Y65" s="864"/>
    </row>
    <row r="66" spans="1:26" ht="19.5" customHeight="1" x14ac:dyDescent="0.25">
      <c r="A66" s="51"/>
      <c r="H66" s="53" t="s">
        <v>68</v>
      </c>
      <c r="I66" s="828">
        <f>IFERROR(ROUND(E65/I65,6),0)</f>
        <v>6.1770000000000002E-3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5.3179999999999998E-3</v>
      </c>
      <c r="J68" s="132">
        <f>ROUND(G68*I68,2)</f>
        <v>242658.18</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5.3099999999999996E-3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6.1770000000000002E-3</v>
      </c>
      <c r="J71" s="132">
        <f>ROUND(G71*I71,2)</f>
        <v>116955.68</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6.1659999999999996E-3</v>
      </c>
      <c r="J72" s="132">
        <f>ROUND(G72*I72,2)</f>
        <v>69675.87</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v>28.64</v>
      </c>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v>103.7</v>
      </c>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v>2.5</v>
      </c>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v>1.76</v>
      </c>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136.6</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821" t="s">
        <v>101</v>
      </c>
      <c r="B84" s="821"/>
      <c r="C84" s="821"/>
      <c r="D84" s="52"/>
      <c r="G84" s="116">
        <f>Consolidated!F$106</f>
        <v>58502790</v>
      </c>
      <c r="H84" s="37" t="s">
        <v>81</v>
      </c>
      <c r="I84" s="41">
        <f>IFERROR(ROUND(J81/J82,6),0)</f>
        <v>1.0586999999999999E-2</v>
      </c>
      <c r="J84" s="62">
        <f>ROUND(G84*I84,2)</f>
        <v>619369.04</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4.9769999999999997E-3</v>
      </c>
      <c r="J85" s="132">
        <f>ROUND(G85*I85,2)</f>
        <v>1337898.6200000001</v>
      </c>
      <c r="K85" s="70"/>
      <c r="L85" s="70"/>
      <c r="M85" s="71"/>
      <c r="N85" s="70"/>
      <c r="O85" s="70"/>
      <c r="P85" s="70"/>
      <c r="Q85" s="70"/>
      <c r="R85" s="739" t="s">
        <v>168</v>
      </c>
      <c r="S85" s="739"/>
      <c r="T85" s="739"/>
      <c r="U85" s="163"/>
      <c r="V85" s="165">
        <f>G85</f>
        <v>268816278</v>
      </c>
      <c r="W85" s="167" t="s">
        <v>81</v>
      </c>
      <c r="X85" s="170">
        <f>X56</f>
        <v>4.9769999999999997E-3</v>
      </c>
      <c r="Y85" s="217">
        <f t="shared" ref="Y85:Y87" si="12">ROUND(V85*X85,2)</f>
        <v>1337898.6200000001</v>
      </c>
    </row>
    <row r="86" spans="1:26" ht="14.25" customHeight="1" x14ac:dyDescent="0.25">
      <c r="A86" s="820" t="s">
        <v>104</v>
      </c>
      <c r="B86" s="820"/>
      <c r="C86" s="820"/>
      <c r="D86" s="820"/>
      <c r="E86" s="820"/>
      <c r="F86" s="36" t="s">
        <v>103</v>
      </c>
      <c r="G86" s="133">
        <v>0</v>
      </c>
      <c r="H86" s="37" t="s">
        <v>81</v>
      </c>
      <c r="I86" s="41">
        <f>I57</f>
        <v>4.9769999999999997E-3</v>
      </c>
      <c r="J86" s="132">
        <f>ROUND(G86*I86,2)</f>
        <v>0</v>
      </c>
      <c r="K86" s="70"/>
      <c r="L86" s="71"/>
      <c r="M86" s="76"/>
      <c r="N86" s="76"/>
      <c r="O86" s="76"/>
      <c r="P86" s="76"/>
      <c r="Q86" s="70"/>
      <c r="R86" s="739" t="s">
        <v>169</v>
      </c>
      <c r="S86" s="739"/>
      <c r="T86" s="739"/>
      <c r="U86" s="163"/>
      <c r="V86" s="197">
        <f>G86</f>
        <v>0</v>
      </c>
      <c r="W86" s="167" t="s">
        <v>81</v>
      </c>
      <c r="X86" s="170">
        <f>X56</f>
        <v>4.9769999999999997E-3</v>
      </c>
      <c r="Y86" s="217">
        <f t="shared" si="12"/>
        <v>0</v>
      </c>
    </row>
    <row r="87" spans="1:26" ht="18" customHeight="1" x14ac:dyDescent="0.25">
      <c r="A87" s="820" t="s">
        <v>105</v>
      </c>
      <c r="B87" s="820"/>
      <c r="C87" s="820"/>
      <c r="D87" s="820"/>
      <c r="E87" s="820"/>
      <c r="F87" s="36" t="s">
        <v>84</v>
      </c>
      <c r="G87" s="133">
        <v>0</v>
      </c>
      <c r="H87" s="37" t="s">
        <v>81</v>
      </c>
      <c r="I87" s="41">
        <f>I54</f>
        <v>5.3099999999999996E-3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13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0.11</v>
      </c>
      <c r="C91" s="80"/>
      <c r="D91" s="894">
        <f>I6</f>
        <v>1.0355000000000001</v>
      </c>
      <c r="E91" s="894"/>
      <c r="F91" s="894"/>
      <c r="G91" s="117">
        <f>Consolidated!F$119</f>
        <v>915.09</v>
      </c>
      <c r="H91" s="47" t="s">
        <v>68</v>
      </c>
      <c r="I91" s="134">
        <f>ROUND(B91*D91*G91,2)</f>
        <v>104.23</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1100.6834999999999</v>
      </c>
      <c r="C92" s="80"/>
      <c r="D92" s="894">
        <f>I6</f>
        <v>1.0355000000000001</v>
      </c>
      <c r="E92" s="894"/>
      <c r="F92" s="894"/>
      <c r="G92" s="117">
        <f>Consolidated!F$120</f>
        <v>917.3</v>
      </c>
      <c r="H92" s="47" t="s">
        <v>68</v>
      </c>
      <c r="I92" s="515">
        <f>ROUND(B92*D92*G92,2)</f>
        <v>1045499.8</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1100.7934999999998</v>
      </c>
      <c r="C93" s="80"/>
      <c r="D93" s="80"/>
      <c r="E93" s="846" t="s">
        <v>112</v>
      </c>
      <c r="F93" s="846"/>
      <c r="G93" s="846"/>
      <c r="H93" s="846"/>
      <c r="I93" s="846"/>
      <c r="J93" s="121">
        <f>IF(A1=75,0,I92+I91+I90)</f>
        <v>1045604.03</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823</v>
      </c>
      <c r="D97" s="228">
        <v>0</v>
      </c>
      <c r="E97" s="914">
        <f>(C97+D97)</f>
        <v>823</v>
      </c>
      <c r="F97" s="914"/>
      <c r="G97" s="914"/>
      <c r="H97" s="85" t="s">
        <v>117</v>
      </c>
      <c r="I97" s="124">
        <f>Consolidated!G$127</f>
        <v>586</v>
      </c>
      <c r="J97" s="132">
        <f>ROUND(I97*E97,2)</f>
        <v>482278</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c r="E98" s="852">
        <f>(C98+D98)/2</f>
        <v>0</v>
      </c>
      <c r="F98" s="852"/>
      <c r="G98" s="852"/>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8"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818" t="s">
        <v>125</v>
      </c>
      <c r="B107" s="818"/>
      <c r="C107" s="818"/>
      <c r="D107" s="818"/>
      <c r="E107" s="818"/>
      <c r="F107" s="818"/>
      <c r="G107" s="818"/>
      <c r="H107" s="818"/>
      <c r="I107" s="818"/>
      <c r="J107" s="519">
        <f>SUM(J106,J105,J98,J97,J93,J86,J85,J71,J70,J68,J33,J72,J50,J87,J84)</f>
        <v>10320107.350000001</v>
      </c>
      <c r="R107" s="739" t="s">
        <v>125</v>
      </c>
      <c r="S107" s="739"/>
      <c r="T107" s="739"/>
      <c r="U107" s="739"/>
      <c r="V107" s="739"/>
      <c r="W107" s="739"/>
      <c r="X107" s="739"/>
      <c r="Y107" s="213">
        <f>SUM(Y106,Y105,Y97,Y96,Y93,Y86,Y85,Y84,Y70,Y69,Y67,Y33,Y71,Y50,Y87,Y83)</f>
        <v>1337898.6200000001</v>
      </c>
    </row>
    <row r="108" spans="1:25" ht="15.75" customHeight="1" thickTop="1" x14ac:dyDescent="0.25">
      <c r="A108" s="821"/>
      <c r="B108" s="821"/>
      <c r="C108" s="821"/>
      <c r="D108" s="821"/>
      <c r="E108" s="821"/>
      <c r="F108" s="821"/>
      <c r="G108" s="821"/>
      <c r="H108" s="821"/>
      <c r="I108" s="821"/>
      <c r="J108" s="821"/>
      <c r="R108" s="834"/>
      <c r="S108" s="834"/>
      <c r="T108" s="834"/>
      <c r="U108" s="834"/>
      <c r="V108" s="834"/>
      <c r="W108" s="834"/>
      <c r="X108" s="834"/>
      <c r="Y108" s="834"/>
    </row>
    <row r="109" spans="1:25" ht="17.25" customHeight="1" thickBot="1" x14ac:dyDescent="0.3">
      <c r="A109" s="820" t="s">
        <v>131</v>
      </c>
      <c r="B109" s="820"/>
      <c r="C109" s="820"/>
      <c r="D109" s="820"/>
      <c r="E109" s="820"/>
      <c r="F109" s="821"/>
      <c r="G109" s="821"/>
      <c r="H109" s="821"/>
      <c r="I109" s="2" t="s">
        <v>132</v>
      </c>
      <c r="J109" s="521">
        <f>J107-J38</f>
        <v>9874567.0200000014</v>
      </c>
      <c r="R109" s="164" t="s">
        <v>176</v>
      </c>
      <c r="S109" s="164"/>
      <c r="T109" s="164"/>
      <c r="U109" s="164"/>
      <c r="V109" s="164"/>
      <c r="W109" s="164"/>
      <c r="X109" s="164"/>
      <c r="Y109" s="214">
        <f>Y107-Y38</f>
        <v>1337898.6200000001</v>
      </c>
    </row>
    <row r="110" spans="1:25" ht="18.75" customHeight="1" thickTop="1" x14ac:dyDescent="0.25">
      <c r="A110" s="820" t="s">
        <v>133</v>
      </c>
      <c r="B110" s="820"/>
      <c r="C110" s="820"/>
      <c r="D110" s="820"/>
      <c r="E110" s="820"/>
      <c r="F110" s="820"/>
      <c r="G110" s="820"/>
      <c r="H110" s="820"/>
      <c r="I110" s="42" t="s">
        <v>134</v>
      </c>
      <c r="J110" s="72"/>
      <c r="R110" s="830" t="s">
        <v>136</v>
      </c>
      <c r="S110" s="830"/>
      <c r="T110" s="830"/>
      <c r="U110" s="830"/>
      <c r="V110" s="830"/>
      <c r="W110" s="830"/>
      <c r="X110" s="830"/>
      <c r="Y110" s="830"/>
    </row>
    <row r="111" spans="1:25" ht="15.75" customHeight="1" x14ac:dyDescent="0.25">
      <c r="A111" s="827" t="s">
        <v>135</v>
      </c>
      <c r="B111" s="827"/>
      <c r="C111" s="827"/>
      <c r="D111" s="827"/>
      <c r="E111" s="827"/>
      <c r="F111" s="827"/>
      <c r="G111" s="827"/>
      <c r="H111" s="827"/>
      <c r="I111" s="229"/>
      <c r="J111" s="46">
        <f>Y109</f>
        <v>1337898.6200000001</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51"/>
      <c r="I113" s="90"/>
      <c r="J113" s="72"/>
      <c r="R113" s="234"/>
      <c r="S113" s="234"/>
      <c r="T113" s="234"/>
      <c r="U113" s="234"/>
      <c r="V113" s="234"/>
      <c r="W113" s="234"/>
      <c r="X113" s="234"/>
      <c r="Y113" s="234"/>
    </row>
    <row r="114" spans="1:26" x14ac:dyDescent="0.25">
      <c r="A114" s="235" t="s">
        <v>180</v>
      </c>
      <c r="B114" s="236"/>
      <c r="C114" s="236"/>
      <c r="D114" s="236"/>
      <c r="E114" s="236"/>
      <c r="F114" s="236"/>
      <c r="G114" s="236"/>
      <c r="H114" s="638" t="s">
        <v>431</v>
      </c>
      <c r="I114" s="639">
        <f>IF(I111=1,J111,J109)</f>
        <v>9874567.0200000014</v>
      </c>
      <c r="J114" s="640">
        <f>ROUND(IF(E28=0,0,IF(E28&gt;250,-(((250/E28)*I114)*IF(H114="H",0.02,0.05)),IF(H114="H",-0.02*I114,-0.05*I114))),2)</f>
        <v>-44752.17</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10275355.180000002</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6"/>
      <c r="F118" s="235"/>
      <c r="G118" s="236"/>
      <c r="H118" s="641"/>
      <c r="I118" s="642"/>
      <c r="J118" s="647">
        <f>-'Cumulative Payments'!R76</f>
        <v>-8612648.790000001</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1662706.3900000006</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831353.2</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ROUND(IF(H114="H",(I114*0.02)+J114,(I114*0.05)+J114),2)</f>
        <v>152739.17000000001</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G59:H59"/>
    <mergeCell ref="X59:Y59"/>
    <mergeCell ref="I60:J60"/>
    <mergeCell ref="R60:Y60"/>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G62:H62"/>
    <mergeCell ref="X62:Y62"/>
    <mergeCell ref="A68:E68"/>
    <mergeCell ref="R68:S68"/>
    <mergeCell ref="A69:B69"/>
    <mergeCell ref="R69:T69"/>
    <mergeCell ref="A70:E70"/>
    <mergeCell ref="R70:T70"/>
    <mergeCell ref="A65:B65"/>
    <mergeCell ref="G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55E08-26EF-42D2-A8F6-5DD120B76666}">
  <dimension ref="A1:Z207"/>
  <sheetViews>
    <sheetView topLeftCell="A102" workbookViewId="0">
      <selection activeCell="J118" sqref="J118"/>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3.28515625" style="5" bestFit="1"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435</v>
      </c>
      <c r="B2" s="101"/>
      <c r="C2" s="101"/>
      <c r="D2" s="101"/>
      <c r="E2" s="6"/>
      <c r="F2" s="6"/>
      <c r="G2" s="6"/>
      <c r="H2" s="6"/>
      <c r="I2" s="686" t="str">
        <f>RIGHT(A2,4)</f>
        <v>2521</v>
      </c>
      <c r="J2" s="6"/>
      <c r="K2" s="6"/>
      <c r="L2" s="6"/>
      <c r="M2" s="6"/>
      <c r="N2" s="6"/>
      <c r="O2" s="6"/>
      <c r="P2" s="6"/>
      <c r="Q2" s="6"/>
      <c r="R2" s="898" t="str">
        <f>Revenue_Estimate_Worksheet_for___________Charter_School</f>
        <v>Revenue Estimate Worksheet: Ed Venture Charter School - 2521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0</v>
      </c>
      <c r="D14" s="357">
        <f>SUMIFS(CountData!J:J,CountData!H:H,$I$2,CountData!I:I,$O14)</f>
        <v>0</v>
      </c>
      <c r="E14" s="812">
        <f t="shared" si="0"/>
        <v>0</v>
      </c>
      <c r="F14" s="812"/>
      <c r="G14" s="813">
        <f>Consolidated!$F16</f>
        <v>1</v>
      </c>
      <c r="H14" s="813">
        <f>Consolidated!$H$9</f>
        <v>1</v>
      </c>
      <c r="I14" s="517">
        <f t="shared" si="3"/>
        <v>0</v>
      </c>
      <c r="J14" s="518">
        <f>ROUND(ROUND(ROUND(I14*$E$6,4)*($I$6),2)*(MAX($I$7,1)),2)</f>
        <v>0</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0</v>
      </c>
      <c r="D15" s="357">
        <f>SUMIFS(CountData!J:J,CountData!H:H,$I$2,CountData!I:I,$O15)</f>
        <v>0</v>
      </c>
      <c r="E15" s="812">
        <f t="shared" si="0"/>
        <v>0</v>
      </c>
      <c r="F15" s="812"/>
      <c r="G15" s="813">
        <f>Consolidated!$F17</f>
        <v>1</v>
      </c>
      <c r="H15" s="813">
        <f>Consolidated!$H$9</f>
        <v>1</v>
      </c>
      <c r="I15" s="517">
        <f t="shared" si="3"/>
        <v>0</v>
      </c>
      <c r="J15" s="518">
        <f t="shared" si="1"/>
        <v>0</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27.75</v>
      </c>
      <c r="D17" s="357">
        <f>SUMIFS(CountData!J:J,CountData!H:H,$I$2,CountData!I:I,$O17)</f>
        <v>27.19</v>
      </c>
      <c r="E17" s="812">
        <f t="shared" si="0"/>
        <v>54.94</v>
      </c>
      <c r="F17" s="812"/>
      <c r="G17" s="813">
        <f>Consolidated!$F19</f>
        <v>0.97199999999999998</v>
      </c>
      <c r="H17" s="813">
        <f>Consolidated!$H$9</f>
        <v>1</v>
      </c>
      <c r="I17" s="517">
        <f t="shared" si="3"/>
        <v>53.401699999999998</v>
      </c>
      <c r="J17" s="518">
        <f t="shared" si="1"/>
        <v>297091.14</v>
      </c>
      <c r="M17" s="2"/>
      <c r="O17" s="2" t="str">
        <f t="shared" si="2"/>
        <v>113</v>
      </c>
      <c r="R17" s="737" t="s">
        <v>25</v>
      </c>
      <c r="S17" s="737"/>
      <c r="T17" s="876">
        <f t="shared" si="4"/>
        <v>54.94</v>
      </c>
      <c r="U17" s="876"/>
      <c r="V17" s="875">
        <v>1</v>
      </c>
      <c r="W17" s="875"/>
      <c r="X17" s="150">
        <f t="shared" si="5"/>
        <v>54.94</v>
      </c>
      <c r="Y17" s="217">
        <f t="shared" si="7"/>
        <v>305649.2</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9.3000000000000007</v>
      </c>
      <c r="D20" s="357">
        <f>SUMIFS(CountData!J:J,CountData!H:H,$I$2,CountData!I:I,$O20)</f>
        <v>9.36</v>
      </c>
      <c r="E20" s="812">
        <f t="shared" si="0"/>
        <v>18.66</v>
      </c>
      <c r="F20" s="812"/>
      <c r="G20" s="813">
        <f>Consolidated!$F22</f>
        <v>3.609</v>
      </c>
      <c r="H20" s="813">
        <f>Consolidated!$H$9</f>
        <v>1</v>
      </c>
      <c r="I20" s="517">
        <f t="shared" si="3"/>
        <v>67.343900000000005</v>
      </c>
      <c r="J20" s="518">
        <f t="shared" si="1"/>
        <v>374656.16</v>
      </c>
      <c r="M20" s="2"/>
      <c r="O20" s="2" t="str">
        <f>IF(O$9="H",LEFT(R$20,3),"")</f>
        <v>254</v>
      </c>
      <c r="R20" s="737" t="s">
        <v>28</v>
      </c>
      <c r="S20" s="737"/>
      <c r="T20" s="876">
        <f t="shared" si="4"/>
        <v>18.66</v>
      </c>
      <c r="U20" s="876"/>
      <c r="V20" s="875">
        <v>1</v>
      </c>
      <c r="W20" s="875"/>
      <c r="X20" s="150">
        <f t="shared" si="5"/>
        <v>18.66</v>
      </c>
      <c r="Y20" s="217">
        <f t="shared" si="7"/>
        <v>103811.69</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255</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37.049999999999997</v>
      </c>
      <c r="D28" s="720">
        <f>SUM(D12:D27)</f>
        <v>36.549999999999997</v>
      </c>
      <c r="E28" s="817">
        <f>SUM(E12:E27)</f>
        <v>73.599999999999994</v>
      </c>
      <c r="F28" s="817"/>
      <c r="G28" s="812"/>
      <c r="H28" s="812"/>
      <c r="I28" s="23">
        <f>SUM(I12:I27)</f>
        <v>120.7456</v>
      </c>
      <c r="J28" s="121">
        <f>SUM(J12:J27)</f>
        <v>671747.3</v>
      </c>
      <c r="M28" s="2"/>
      <c r="R28" s="878" t="s">
        <v>36</v>
      </c>
      <c r="S28" s="878"/>
      <c r="T28" s="879">
        <f>SUM(T12:T27)</f>
        <v>73.599999999999994</v>
      </c>
      <c r="U28" s="879"/>
      <c r="V28" s="880"/>
      <c r="W28" s="880"/>
      <c r="X28" s="152">
        <f>SUM(X12:X27)</f>
        <v>73.599999999999994</v>
      </c>
      <c r="Y28" s="217">
        <f>SUM(Y12:Y27)</f>
        <v>409460.89</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120.7456</v>
      </c>
      <c r="H33" s="812" t="s">
        <v>45</v>
      </c>
      <c r="I33" s="812"/>
      <c r="J33" s="32">
        <f>SUM(J32,J28)</f>
        <v>671747.3</v>
      </c>
      <c r="M33" s="2"/>
      <c r="R33" s="833" t="s">
        <v>44</v>
      </c>
      <c r="S33" s="833"/>
      <c r="T33" s="833"/>
      <c r="U33" s="833"/>
      <c r="V33" s="158">
        <f>V32+X28</f>
        <v>73.599999999999994</v>
      </c>
      <c r="W33" s="880" t="s">
        <v>45</v>
      </c>
      <c r="X33" s="880"/>
      <c r="Y33" s="159">
        <f>SUM(Y32,Y28)</f>
        <v>409460.89</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707050.5</v>
      </c>
      <c r="H36" s="37" t="s">
        <v>49</v>
      </c>
      <c r="I36" s="38">
        <v>6.6699999999999995E-2</v>
      </c>
      <c r="J36" s="125">
        <f>ROUND(G36*I36,2)</f>
        <v>47160.27</v>
      </c>
      <c r="K36" s="39"/>
      <c r="L36" s="33"/>
      <c r="M36" s="33"/>
      <c r="N36" s="33"/>
      <c r="O36" s="31"/>
      <c r="P36" s="34"/>
      <c r="Q36" s="34"/>
      <c r="R36" s="737" t="s">
        <v>47</v>
      </c>
      <c r="S36" s="737"/>
      <c r="T36" s="737"/>
      <c r="U36" s="163"/>
      <c r="V36" s="166">
        <v>412576.36</v>
      </c>
      <c r="W36" s="167" t="s">
        <v>49</v>
      </c>
      <c r="X36" s="168">
        <v>6.6699999999999995E-2</v>
      </c>
      <c r="Y36" s="217">
        <f>J36</f>
        <v>47160.27</v>
      </c>
    </row>
    <row r="37" spans="1:25" ht="20.25" customHeight="1" x14ac:dyDescent="0.25">
      <c r="A37" s="738" t="s">
        <v>50</v>
      </c>
      <c r="B37" s="738"/>
      <c r="C37" s="738"/>
      <c r="D37" s="738"/>
      <c r="E37" s="738"/>
      <c r="F37" s="36" t="s">
        <v>48</v>
      </c>
      <c r="G37" s="126">
        <v>707050.5</v>
      </c>
      <c r="H37" s="37" t="s">
        <v>49</v>
      </c>
      <c r="I37" s="38">
        <v>5.4000000000000003E-3</v>
      </c>
      <c r="J37" s="125">
        <f>ROUND(G37*I37,2)</f>
        <v>3818.07</v>
      </c>
      <c r="K37" s="39"/>
      <c r="L37" s="33"/>
      <c r="M37" s="33"/>
      <c r="N37" s="33"/>
      <c r="O37" s="31"/>
      <c r="P37" s="34"/>
      <c r="Q37" s="34"/>
      <c r="R37" s="737" t="s">
        <v>50</v>
      </c>
      <c r="S37" s="737"/>
      <c r="T37" s="737"/>
      <c r="U37" s="163"/>
      <c r="V37" s="166">
        <v>412576.36</v>
      </c>
      <c r="W37" s="167" t="s">
        <v>49</v>
      </c>
      <c r="X37" s="168">
        <v>5.4000000000000003E-3</v>
      </c>
      <c r="Y37" s="217">
        <f>J37</f>
        <v>3818.07</v>
      </c>
    </row>
    <row r="38" spans="1:25" ht="20.25" customHeight="1" x14ac:dyDescent="0.25">
      <c r="A38" s="820" t="s">
        <v>51</v>
      </c>
      <c r="B38" s="820"/>
      <c r="C38" s="820"/>
      <c r="D38" s="820"/>
      <c r="E38" s="820"/>
      <c r="F38" s="36" t="s">
        <v>52</v>
      </c>
      <c r="G38" s="40"/>
      <c r="H38" s="37"/>
      <c r="I38" s="41"/>
      <c r="J38" s="125">
        <f>SUM(J36:J37)</f>
        <v>50978.34</v>
      </c>
      <c r="K38" s="39"/>
      <c r="L38" s="33"/>
      <c r="M38" s="33"/>
      <c r="N38" s="33"/>
      <c r="O38" s="31"/>
      <c r="P38" s="34"/>
      <c r="Q38" s="34"/>
      <c r="R38" s="739" t="s">
        <v>51</v>
      </c>
      <c r="S38" s="739"/>
      <c r="T38" s="739"/>
      <c r="U38" s="163" t="s">
        <v>52</v>
      </c>
      <c r="V38" s="169"/>
      <c r="W38" s="167"/>
      <c r="X38" s="170"/>
      <c r="Y38" s="217">
        <f>Y36+Y37</f>
        <v>50978.34</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46">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46">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ht="20.25" customHeight="1" x14ac:dyDescent="0.25">
      <c r="A44" s="825"/>
      <c r="B44" s="825"/>
      <c r="C44" s="357">
        <v>0</v>
      </c>
      <c r="D44" s="357">
        <v>0</v>
      </c>
      <c r="E44" s="826">
        <f t="shared" si="8"/>
        <v>0</v>
      </c>
      <c r="F44" s="826"/>
      <c r="G44" s="47" t="s">
        <v>60</v>
      </c>
      <c r="H44" s="37">
        <v>251</v>
      </c>
      <c r="I44" s="130">
        <f>Consolidated!$H62</f>
        <v>1173</v>
      </c>
      <c r="J44" s="131">
        <f t="shared" si="9"/>
        <v>0</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46">
        <f t="shared" si="9"/>
        <v>0</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46">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0.51</v>
      </c>
      <c r="D48" s="357">
        <v>0</v>
      </c>
      <c r="E48" s="826">
        <f t="shared" si="8"/>
        <v>1.02</v>
      </c>
      <c r="F48" s="826"/>
      <c r="G48" s="47" t="s">
        <v>61</v>
      </c>
      <c r="H48" s="37">
        <v>252</v>
      </c>
      <c r="I48" s="130">
        <f>Consolidated!$H66</f>
        <v>3168</v>
      </c>
      <c r="J48" s="131">
        <f t="shared" si="9"/>
        <v>3231.36</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27.28</v>
      </c>
      <c r="D49" s="357">
        <v>0</v>
      </c>
      <c r="E49" s="831">
        <f t="shared" si="8"/>
        <v>54.56</v>
      </c>
      <c r="F49" s="831"/>
      <c r="G49" s="47" t="s">
        <v>61</v>
      </c>
      <c r="H49" s="37">
        <v>253</v>
      </c>
      <c r="I49" s="130">
        <f>Consolidated!$H67</f>
        <v>6685</v>
      </c>
      <c r="J49" s="131">
        <f t="shared" si="9"/>
        <v>364733.6</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33">
        <f>SUM(C41:C49)</f>
        <v>27.790000000000003</v>
      </c>
      <c r="D50" s="33">
        <f>SUM(D41:D49)</f>
        <v>0</v>
      </c>
      <c r="E50" s="832">
        <f>SUM(E41:E49)</f>
        <v>55.580000000000005</v>
      </c>
      <c r="F50" s="832"/>
      <c r="G50" s="818" t="s">
        <v>63</v>
      </c>
      <c r="H50" s="818"/>
      <c r="I50" s="818"/>
      <c r="J50" s="225">
        <f>SUM(J41:J49)</f>
        <v>367964.95999999996</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73.599999999999994</v>
      </c>
      <c r="U52" s="178" t="s">
        <v>66</v>
      </c>
      <c r="V52" s="179"/>
      <c r="W52" s="180" t="s">
        <v>67</v>
      </c>
      <c r="X52" s="863">
        <f>I53</f>
        <v>207782.75</v>
      </c>
      <c r="Y52" s="863"/>
    </row>
    <row r="53" spans="1:25" ht="16.5" customHeight="1" x14ac:dyDescent="0.25">
      <c r="A53" s="827" t="s">
        <v>65</v>
      </c>
      <c r="B53" s="827"/>
      <c r="C53" s="51"/>
      <c r="D53" s="51"/>
      <c r="E53" s="48">
        <f>E28</f>
        <v>73.599999999999994</v>
      </c>
      <c r="F53" s="49" t="s">
        <v>66</v>
      </c>
      <c r="G53" s="3"/>
      <c r="H53" s="50" t="s">
        <v>67</v>
      </c>
      <c r="I53" s="634">
        <f>Consolidated!H$71</f>
        <v>207782.75</v>
      </c>
      <c r="J53" s="633"/>
      <c r="M53" s="2"/>
      <c r="R53" s="181"/>
      <c r="S53" s="182"/>
      <c r="T53" s="164"/>
      <c r="U53" s="164"/>
      <c r="V53" s="164"/>
      <c r="W53" s="183" t="s">
        <v>68</v>
      </c>
      <c r="X53" s="864">
        <f>ROUND(T52/X52,6)</f>
        <v>3.5399999999999999E-4</v>
      </c>
      <c r="Y53" s="864"/>
    </row>
    <row r="54" spans="1:25" ht="22.5" customHeight="1" x14ac:dyDescent="0.25">
      <c r="A54" s="51"/>
      <c r="B54" s="52"/>
      <c r="C54" s="52"/>
      <c r="D54" s="52"/>
      <c r="H54" s="53" t="s">
        <v>68</v>
      </c>
      <c r="I54" s="828">
        <f>IFERROR(ROUND(E53/I53,6),0)</f>
        <v>3.5399999999999999E-4</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73.599999999999994</v>
      </c>
      <c r="U55" s="178" t="s">
        <v>66</v>
      </c>
      <c r="V55" s="179"/>
      <c r="W55" s="180" t="s">
        <v>71</v>
      </c>
      <c r="X55" s="863">
        <f>I56</f>
        <v>221179.83999999997</v>
      </c>
      <c r="Y55" s="863"/>
    </row>
    <row r="56" spans="1:25" ht="16.5" customHeight="1" x14ac:dyDescent="0.25">
      <c r="A56" s="827" t="s">
        <v>70</v>
      </c>
      <c r="B56" s="827"/>
      <c r="C56" s="51"/>
      <c r="D56" s="51"/>
      <c r="E56" s="48">
        <f>G33</f>
        <v>120.7456</v>
      </c>
      <c r="F56" s="49" t="s">
        <v>66</v>
      </c>
      <c r="G56" s="3"/>
      <c r="H56" s="50" t="s">
        <v>71</v>
      </c>
      <c r="I56" s="634">
        <f>Consolidated!H$74</f>
        <v>221179.83999999997</v>
      </c>
      <c r="J56" s="633"/>
      <c r="M56" s="2"/>
      <c r="R56" s="181"/>
      <c r="S56" s="164"/>
      <c r="T56" s="164"/>
      <c r="U56" s="164"/>
      <c r="V56" s="164"/>
      <c r="W56" s="183" t="s">
        <v>68</v>
      </c>
      <c r="X56" s="864">
        <f>ROUND(T55/X55,6)</f>
        <v>3.3300000000000002E-4</v>
      </c>
      <c r="Y56" s="864"/>
    </row>
    <row r="57" spans="1:25" ht="18.75" customHeight="1" x14ac:dyDescent="0.25">
      <c r="A57" s="51"/>
      <c r="H57" s="53" t="s">
        <v>68</v>
      </c>
      <c r="I57" s="828">
        <f>IFERROR(ROUND(E56/I56,6),0)</f>
        <v>5.4600000000000004E-4</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73.599999999999994</v>
      </c>
      <c r="U58" s="178" t="s">
        <v>66</v>
      </c>
      <c r="V58" s="862" t="s">
        <v>74</v>
      </c>
      <c r="W58" s="862"/>
      <c r="X58" s="863">
        <f>I59</f>
        <v>178931.75</v>
      </c>
      <c r="Y58" s="863"/>
    </row>
    <row r="59" spans="1:25" ht="18.75" customHeight="1" x14ac:dyDescent="0.25">
      <c r="A59" s="827" t="s">
        <v>73</v>
      </c>
      <c r="B59" s="827"/>
      <c r="C59" s="51"/>
      <c r="D59" s="51"/>
      <c r="E59" s="48">
        <f>E28</f>
        <v>73.599999999999994</v>
      </c>
      <c r="F59" s="49" t="s">
        <v>66</v>
      </c>
      <c r="G59" s="911" t="s">
        <v>74</v>
      </c>
      <c r="H59" s="911"/>
      <c r="I59" s="634">
        <f>Consolidated!H$77</f>
        <v>178931.75</v>
      </c>
      <c r="J59" s="633"/>
      <c r="M59" s="2"/>
      <c r="R59" s="181"/>
      <c r="S59" s="164"/>
      <c r="T59" s="164"/>
      <c r="U59" s="164"/>
      <c r="V59" s="164"/>
      <c r="W59" s="183" t="s">
        <v>68</v>
      </c>
      <c r="X59" s="864">
        <f>ROUND(T58/X58,6)</f>
        <v>4.1100000000000002E-4</v>
      </c>
      <c r="Y59" s="864"/>
    </row>
    <row r="60" spans="1:25" ht="18" customHeight="1" x14ac:dyDescent="0.25">
      <c r="A60" s="51"/>
      <c r="H60" s="53" t="s">
        <v>68</v>
      </c>
      <c r="I60" s="828">
        <f>IFERROR(ROUND(E59/I59,6),0)</f>
        <v>4.1100000000000002E-4</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73.599999999999994</v>
      </c>
      <c r="U61" s="178" t="s">
        <v>66</v>
      </c>
      <c r="V61" s="862" t="s">
        <v>76</v>
      </c>
      <c r="W61" s="862"/>
      <c r="X61" s="863">
        <f>I62</f>
        <v>207463.82</v>
      </c>
      <c r="Y61" s="863"/>
    </row>
    <row r="62" spans="1:25" x14ac:dyDescent="0.25">
      <c r="A62" s="827" t="s">
        <v>73</v>
      </c>
      <c r="B62" s="827"/>
      <c r="C62" s="51"/>
      <c r="D62" s="51"/>
      <c r="E62" s="48">
        <f>E28</f>
        <v>73.599999999999994</v>
      </c>
      <c r="F62" s="49" t="s">
        <v>66</v>
      </c>
      <c r="G62" s="911" t="s">
        <v>76</v>
      </c>
      <c r="H62" s="911"/>
      <c r="I62" s="634">
        <f>Consolidated!H$80</f>
        <v>207463.82</v>
      </c>
      <c r="J62" s="633"/>
      <c r="M62" s="2"/>
      <c r="R62" s="181"/>
      <c r="S62" s="164"/>
      <c r="T62" s="164"/>
      <c r="U62" s="164"/>
      <c r="V62" s="164"/>
      <c r="W62" s="183" t="s">
        <v>68</v>
      </c>
      <c r="X62" s="864">
        <f>ROUND(T61/X61,6)</f>
        <v>3.5500000000000001E-4</v>
      </c>
      <c r="Y62" s="864"/>
    </row>
    <row r="63" spans="1:25" ht="19.5" customHeight="1" x14ac:dyDescent="0.25">
      <c r="A63" s="51"/>
      <c r="H63" s="53" t="s">
        <v>68</v>
      </c>
      <c r="I63" s="828">
        <f>IFERROR(ROUND(E62/I62,6),0)</f>
        <v>3.5500000000000001E-4</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73.599999999999994</v>
      </c>
      <c r="U64" s="178" t="s">
        <v>66</v>
      </c>
      <c r="V64" s="916" t="s">
        <v>161</v>
      </c>
      <c r="W64" s="916"/>
      <c r="X64" s="863">
        <f>I65</f>
        <v>178612.82</v>
      </c>
      <c r="Y64" s="863"/>
    </row>
    <row r="65" spans="1:26" ht="49.5" customHeight="1" x14ac:dyDescent="0.25">
      <c r="A65" s="827" t="s">
        <v>73</v>
      </c>
      <c r="B65" s="827"/>
      <c r="C65" s="51"/>
      <c r="D65" s="51"/>
      <c r="E65" s="48">
        <f>E28</f>
        <v>73.599999999999994</v>
      </c>
      <c r="F65" s="49" t="s">
        <v>66</v>
      </c>
      <c r="G65" s="911" t="s">
        <v>78</v>
      </c>
      <c r="H65" s="911"/>
      <c r="I65" s="634">
        <f>Consolidated!H$83</f>
        <v>178612.82</v>
      </c>
      <c r="J65" s="633"/>
      <c r="M65" s="2"/>
      <c r="R65" s="184"/>
      <c r="S65" s="164"/>
      <c r="T65" s="164"/>
      <c r="U65" s="164"/>
      <c r="V65" s="164"/>
      <c r="W65" s="183" t="s">
        <v>68</v>
      </c>
      <c r="X65" s="864">
        <f>ROUND(T64/X64,6)</f>
        <v>4.1199999999999999E-4</v>
      </c>
      <c r="Y65" s="864"/>
    </row>
    <row r="66" spans="1:26" ht="19.5" customHeight="1" x14ac:dyDescent="0.25">
      <c r="A66" s="51"/>
      <c r="H66" s="53" t="s">
        <v>68</v>
      </c>
      <c r="I66" s="828">
        <f>IFERROR(ROUND(E65/I65,6),0)</f>
        <v>4.1199999999999999E-4</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3.5500000000000001E-4</v>
      </c>
      <c r="Y67" s="220">
        <f>ROUND(V67*X67,2)</f>
        <v>16198.51</v>
      </c>
    </row>
    <row r="68" spans="1:26" ht="30.75" customHeight="1" x14ac:dyDescent="0.25">
      <c r="A68" s="836" t="s">
        <v>79</v>
      </c>
      <c r="B68" s="836"/>
      <c r="C68" s="836"/>
      <c r="D68" s="836"/>
      <c r="E68" s="836"/>
      <c r="F68" s="36" t="s">
        <v>80</v>
      </c>
      <c r="G68" s="226">
        <f>Consolidated!F$86</f>
        <v>45629593</v>
      </c>
      <c r="H68" s="37" t="s">
        <v>81</v>
      </c>
      <c r="I68" s="41">
        <f>I63</f>
        <v>3.5500000000000001E-4</v>
      </c>
      <c r="J68" s="132">
        <f>ROUND(G68*I68,2)</f>
        <v>16198.51</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3.5399999999999999E-4</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3.5399999999999999E-4</v>
      </c>
      <c r="J70" s="132">
        <f>ROUND(G70*I70,2)</f>
        <v>0</v>
      </c>
      <c r="M70" s="2"/>
      <c r="R70" s="739" t="s">
        <v>163</v>
      </c>
      <c r="S70" s="739"/>
      <c r="T70" s="739"/>
      <c r="U70" s="163"/>
      <c r="V70" s="187">
        <f>G71</f>
        <v>18934058</v>
      </c>
      <c r="W70" s="167" t="s">
        <v>81</v>
      </c>
      <c r="X70" s="170">
        <f>X65</f>
        <v>4.1199999999999999E-4</v>
      </c>
      <c r="Y70" s="217">
        <f t="shared" si="11"/>
        <v>7800.83</v>
      </c>
    </row>
    <row r="71" spans="1:26" ht="19.5" customHeight="1" x14ac:dyDescent="0.25">
      <c r="A71" s="820" t="s">
        <v>85</v>
      </c>
      <c r="B71" s="820"/>
      <c r="C71" s="820"/>
      <c r="D71" s="820"/>
      <c r="E71" s="820"/>
      <c r="F71" s="36" t="s">
        <v>86</v>
      </c>
      <c r="G71" s="226">
        <f>Consolidated!F$91</f>
        <v>18934058</v>
      </c>
      <c r="H71" s="37" t="s">
        <v>81</v>
      </c>
      <c r="I71" s="41">
        <f>I66</f>
        <v>4.1199999999999999E-4</v>
      </c>
      <c r="J71" s="132">
        <f>ROUND(G71*I71,2)</f>
        <v>7800.83</v>
      </c>
      <c r="M71" s="2"/>
      <c r="R71" s="171" t="s">
        <v>164</v>
      </c>
      <c r="S71" s="171"/>
      <c r="T71" s="171"/>
      <c r="U71" s="163"/>
      <c r="V71" s="165">
        <f>G72</f>
        <v>11300012</v>
      </c>
      <c r="W71" s="167" t="s">
        <v>81</v>
      </c>
      <c r="X71" s="170">
        <f>X59</f>
        <v>4.1100000000000002E-4</v>
      </c>
      <c r="Y71" s="217">
        <f t="shared" si="11"/>
        <v>4644.3</v>
      </c>
    </row>
    <row r="72" spans="1:26" ht="19.5" customHeight="1" x14ac:dyDescent="0.25">
      <c r="A72" s="42" t="s">
        <v>87</v>
      </c>
      <c r="B72" s="42"/>
      <c r="C72" s="42"/>
      <c r="D72" s="42"/>
      <c r="E72" s="42"/>
      <c r="F72" s="36" t="s">
        <v>88</v>
      </c>
      <c r="G72" s="226">
        <f>Consolidated!F$93</f>
        <v>11300012</v>
      </c>
      <c r="H72" s="37" t="s">
        <v>81</v>
      </c>
      <c r="I72" s="41">
        <f>I60</f>
        <v>4.1100000000000002E-4</v>
      </c>
      <c r="J72" s="132">
        <f>ROUND(G72*I72,2)</f>
        <v>4644.3</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f>J79</f>
        <v>1</v>
      </c>
      <c r="Z78" s="72"/>
    </row>
    <row r="79" spans="1:26" ht="18.75" customHeight="1" x14ac:dyDescent="0.25">
      <c r="A79" s="743" t="s">
        <v>97</v>
      </c>
      <c r="B79" s="743"/>
      <c r="C79" s="69"/>
      <c r="D79" s="69"/>
      <c r="E79" s="65"/>
      <c r="F79" s="65"/>
      <c r="G79" s="65"/>
      <c r="H79" s="65"/>
      <c r="I79" s="65"/>
      <c r="J79" s="123">
        <v>1</v>
      </c>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1</v>
      </c>
      <c r="Z80" s="72"/>
    </row>
    <row r="81" spans="1:26" ht="17.25" customHeight="1" x14ac:dyDescent="0.25">
      <c r="A81" s="33"/>
      <c r="B81" s="33"/>
      <c r="C81" s="33"/>
      <c r="D81" s="33"/>
      <c r="E81" s="33"/>
      <c r="F81" s="33"/>
      <c r="G81" s="31"/>
      <c r="H81" s="34"/>
      <c r="I81" s="34" t="s">
        <v>99</v>
      </c>
      <c r="J81" s="74">
        <f>SUM(J75:J80)</f>
        <v>1</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7.7999999999999999E-5</v>
      </c>
      <c r="Y83" s="217">
        <f>ROUND(V83*X83,2)</f>
        <v>4563.22</v>
      </c>
      <c r="Z83" s="72"/>
    </row>
    <row r="84" spans="1:26" ht="21" customHeight="1" x14ac:dyDescent="0.25">
      <c r="A84" s="821" t="s">
        <v>101</v>
      </c>
      <c r="B84" s="821"/>
      <c r="C84" s="821"/>
      <c r="D84" s="52"/>
      <c r="G84" s="116">
        <f>Consolidated!F$106</f>
        <v>58502790</v>
      </c>
      <c r="H84" s="37" t="s">
        <v>81</v>
      </c>
      <c r="I84" s="41">
        <f>IFERROR(ROUND(J81/J82,6),0)</f>
        <v>7.7999999999999999E-5</v>
      </c>
      <c r="J84" s="132">
        <f>ROUND(G84*I84,2)</f>
        <v>4563.22</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5.4600000000000004E-4</v>
      </c>
      <c r="J85" s="132">
        <f>ROUND(G85*I85,2)</f>
        <v>146773.69</v>
      </c>
      <c r="K85" s="70"/>
      <c r="L85" s="70"/>
      <c r="M85" s="71"/>
      <c r="N85" s="70"/>
      <c r="O85" s="70"/>
      <c r="P85" s="70"/>
      <c r="Q85" s="70"/>
      <c r="R85" s="739" t="s">
        <v>168</v>
      </c>
      <c r="S85" s="739"/>
      <c r="T85" s="739"/>
      <c r="U85" s="163"/>
      <c r="V85" s="165">
        <f>G85</f>
        <v>268816278</v>
      </c>
      <c r="W85" s="167" t="s">
        <v>81</v>
      </c>
      <c r="X85" s="170">
        <f>X56</f>
        <v>3.3300000000000002E-4</v>
      </c>
      <c r="Y85" s="217">
        <f t="shared" ref="Y85:Y87" si="12">ROUND(V85*X85,2)</f>
        <v>89515.82</v>
      </c>
    </row>
    <row r="86" spans="1:26" ht="14.25" customHeight="1" x14ac:dyDescent="0.25">
      <c r="A86" s="820" t="s">
        <v>104</v>
      </c>
      <c r="B86" s="820"/>
      <c r="C86" s="820"/>
      <c r="D86" s="820"/>
      <c r="E86" s="820"/>
      <c r="F86" s="36" t="s">
        <v>103</v>
      </c>
      <c r="G86" s="133">
        <v>0</v>
      </c>
      <c r="H86" s="37" t="s">
        <v>81</v>
      </c>
      <c r="I86" s="41">
        <f>I57</f>
        <v>5.4600000000000004E-4</v>
      </c>
      <c r="J86" s="132">
        <f>ROUND(G86*I86,2)</f>
        <v>0</v>
      </c>
      <c r="K86" s="70"/>
      <c r="L86" s="71"/>
      <c r="M86" s="76"/>
      <c r="N86" s="76"/>
      <c r="O86" s="76"/>
      <c r="P86" s="76"/>
      <c r="Q86" s="70"/>
      <c r="R86" s="739" t="s">
        <v>169</v>
      </c>
      <c r="S86" s="739"/>
      <c r="T86" s="739"/>
      <c r="U86" s="163"/>
      <c r="V86" s="197">
        <f>G86</f>
        <v>0</v>
      </c>
      <c r="W86" s="167" t="s">
        <v>81</v>
      </c>
      <c r="X86" s="170">
        <f>X56</f>
        <v>3.3300000000000002E-4</v>
      </c>
      <c r="Y86" s="217">
        <f t="shared" si="12"/>
        <v>0</v>
      </c>
    </row>
    <row r="87" spans="1:26" ht="18" customHeight="1" x14ac:dyDescent="0.25">
      <c r="A87" s="820" t="s">
        <v>105</v>
      </c>
      <c r="B87" s="820"/>
      <c r="C87" s="820"/>
      <c r="D87" s="820"/>
      <c r="E87" s="820"/>
      <c r="F87" s="36" t="s">
        <v>84</v>
      </c>
      <c r="G87" s="133">
        <v>0</v>
      </c>
      <c r="H87" s="37" t="s">
        <v>81</v>
      </c>
      <c r="I87" s="41">
        <f>I54</f>
        <v>3.5399999999999999E-4</v>
      </c>
      <c r="J87" s="62">
        <f>ROUND(G87*I87,2)</f>
        <v>0</v>
      </c>
      <c r="K87" s="77"/>
      <c r="L87" s="70"/>
      <c r="M87" s="71"/>
      <c r="N87" s="70"/>
      <c r="O87" s="70"/>
      <c r="P87" s="70"/>
      <c r="Q87" s="70"/>
      <c r="R87" s="171" t="s">
        <v>170</v>
      </c>
      <c r="S87" s="171"/>
      <c r="T87" s="171"/>
      <c r="U87" s="163"/>
      <c r="V87" s="197">
        <f>G87</f>
        <v>0</v>
      </c>
      <c r="W87" s="167" t="s">
        <v>81</v>
      </c>
      <c r="X87" s="170">
        <f>X53</f>
        <v>3.5399999999999999E-4</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13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0</v>
      </c>
      <c r="C91" s="80"/>
      <c r="D91" s="894">
        <f>I6</f>
        <v>1.0355000000000001</v>
      </c>
      <c r="E91" s="894"/>
      <c r="F91" s="894"/>
      <c r="G91" s="117">
        <f>Consolidated!F$119</f>
        <v>915.09</v>
      </c>
      <c r="H91" s="47" t="s">
        <v>68</v>
      </c>
      <c r="I91" s="134">
        <f>ROUND(B91*D91*G91,2)</f>
        <v>0</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120.7456</v>
      </c>
      <c r="C92" s="80"/>
      <c r="D92" s="894">
        <f>I6</f>
        <v>1.0355000000000001</v>
      </c>
      <c r="E92" s="894"/>
      <c r="F92" s="894"/>
      <c r="G92" s="117">
        <f>Consolidated!F$120</f>
        <v>917.3</v>
      </c>
      <c r="H92" s="47" t="s">
        <v>68</v>
      </c>
      <c r="I92" s="515">
        <f>ROUND(B92*D92*G92,2)</f>
        <v>114691.92</v>
      </c>
      <c r="K92" s="70"/>
      <c r="L92" s="70"/>
      <c r="M92" s="71"/>
      <c r="N92" s="70"/>
      <c r="O92" s="70"/>
      <c r="P92" s="70"/>
      <c r="Q92" s="70"/>
      <c r="R92" s="201" t="s">
        <v>61</v>
      </c>
      <c r="S92" s="202">
        <f>X16+X17+X20+X23+X26+X27</f>
        <v>73.599999999999994</v>
      </c>
      <c r="T92" s="849">
        <f>X6</f>
        <v>1.0355000000000001</v>
      </c>
      <c r="U92" s="849"/>
      <c r="V92" s="117">
        <f>G92</f>
        <v>917.3</v>
      </c>
      <c r="W92" s="176" t="s">
        <v>68</v>
      </c>
      <c r="X92" s="221">
        <f>ROUND(S92*T92*V92,2)</f>
        <v>69910</v>
      </c>
      <c r="Y92" s="164"/>
    </row>
    <row r="93" spans="1:26" ht="18.75" customHeight="1" thickBot="1" x14ac:dyDescent="0.3">
      <c r="A93" s="84" t="s">
        <v>111</v>
      </c>
      <c r="B93" s="80">
        <f>SUM(B90:B92)</f>
        <v>120.7456</v>
      </c>
      <c r="C93" s="80"/>
      <c r="D93" s="80"/>
      <c r="E93" s="846" t="s">
        <v>112</v>
      </c>
      <c r="F93" s="846"/>
      <c r="G93" s="846"/>
      <c r="H93" s="846"/>
      <c r="I93" s="846"/>
      <c r="J93" s="121">
        <f>IF(A1=75,0,I92+I91+I90)</f>
        <v>114691.92</v>
      </c>
      <c r="K93" s="70"/>
      <c r="L93" s="70"/>
      <c r="M93" s="71"/>
      <c r="N93" s="70"/>
      <c r="O93" s="70"/>
      <c r="P93" s="70"/>
      <c r="Q93" s="70"/>
      <c r="R93" s="203" t="s">
        <v>111</v>
      </c>
      <c r="S93" s="204">
        <f>SUM(S90:S92)</f>
        <v>73.599999999999994</v>
      </c>
      <c r="T93" s="853" t="s">
        <v>112</v>
      </c>
      <c r="U93" s="854"/>
      <c r="V93" s="854"/>
      <c r="W93" s="854"/>
      <c r="X93" s="854"/>
      <c r="Y93" s="217">
        <f>IF(R1=75,0,X92+X91+X90)</f>
        <v>69910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47</v>
      </c>
      <c r="U96" s="851"/>
      <c r="V96" s="851"/>
      <c r="W96" s="205" t="s">
        <v>117</v>
      </c>
      <c r="X96" s="206">
        <f>I97</f>
        <v>586</v>
      </c>
      <c r="Y96" s="217">
        <f>ROUND(X96*T96,2)</f>
        <v>27542</v>
      </c>
    </row>
    <row r="97" spans="1:25" ht="17.25" customHeight="1" x14ac:dyDescent="0.25">
      <c r="A97" s="818" t="s">
        <v>116</v>
      </c>
      <c r="B97" s="818"/>
      <c r="C97" s="228">
        <v>47</v>
      </c>
      <c r="D97" s="228">
        <v>0</v>
      </c>
      <c r="E97" s="913">
        <f>(C97+D97)</f>
        <v>47</v>
      </c>
      <c r="F97" s="850"/>
      <c r="G97" s="850"/>
      <c r="H97" s="85" t="s">
        <v>117</v>
      </c>
      <c r="I97" s="124">
        <f>Consolidated!G$127</f>
        <v>586</v>
      </c>
      <c r="J97" s="132">
        <f>ROUND(I97*E97,2)</f>
        <v>27542</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c r="E98" s="852">
        <f>(C98+D98)/2</f>
        <v>0</v>
      </c>
      <c r="F98" s="852"/>
      <c r="G98" s="852"/>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818" t="s">
        <v>125</v>
      </c>
      <c r="B107" s="818"/>
      <c r="C107" s="818"/>
      <c r="D107" s="818"/>
      <c r="E107" s="818"/>
      <c r="F107" s="818"/>
      <c r="G107" s="818"/>
      <c r="H107" s="818"/>
      <c r="I107" s="818"/>
      <c r="J107" s="95">
        <f>SUM(J106,J105,J98,J97,J93,J86,J85,J71,J70,J68,J33,J72,J50,J87,J84)</f>
        <v>1361926.73</v>
      </c>
      <c r="L107" s="516"/>
      <c r="R107" s="739" t="s">
        <v>125</v>
      </c>
      <c r="S107" s="739"/>
      <c r="T107" s="739"/>
      <c r="U107" s="739"/>
      <c r="V107" s="739"/>
      <c r="W107" s="739"/>
      <c r="X107" s="739"/>
      <c r="Y107" s="213">
        <f>SUM(Y106,Y105,Y97,Y96,Y93,Y86,Y85,Y84,Y70,Y69,Y67,Y33,Y71,Y50,Y87,Y83)</f>
        <v>629635.57000000007</v>
      </c>
    </row>
    <row r="108" spans="1:25" ht="15.75" customHeight="1" thickTop="1" x14ac:dyDescent="0.25">
      <c r="A108" s="821"/>
      <c r="B108" s="821"/>
      <c r="C108" s="821"/>
      <c r="D108" s="821"/>
      <c r="E108" s="821"/>
      <c r="F108" s="821"/>
      <c r="G108" s="821"/>
      <c r="H108" s="821"/>
      <c r="I108" s="821"/>
      <c r="J108" s="821"/>
      <c r="R108" s="834"/>
      <c r="S108" s="834"/>
      <c r="T108" s="834"/>
      <c r="U108" s="834"/>
      <c r="V108" s="834"/>
      <c r="W108" s="834"/>
      <c r="X108" s="834"/>
      <c r="Y108" s="834"/>
    </row>
    <row r="109" spans="1:25" ht="17.25" customHeight="1" thickBot="1" x14ac:dyDescent="0.3">
      <c r="A109" s="820" t="s">
        <v>131</v>
      </c>
      <c r="B109" s="820"/>
      <c r="C109" s="820"/>
      <c r="D109" s="820"/>
      <c r="E109" s="820"/>
      <c r="F109" s="821"/>
      <c r="G109" s="821"/>
      <c r="H109" s="821"/>
      <c r="I109" s="2" t="s">
        <v>132</v>
      </c>
      <c r="J109" s="96">
        <f>J107-J38</f>
        <v>1310948.3899999999</v>
      </c>
      <c r="R109" s="164" t="s">
        <v>176</v>
      </c>
      <c r="S109" s="164"/>
      <c r="T109" s="164"/>
      <c r="U109" s="164"/>
      <c r="V109" s="164"/>
      <c r="W109" s="164"/>
      <c r="X109" s="164"/>
      <c r="Y109" s="214">
        <f>Y107-Y38</f>
        <v>578657.2300000001</v>
      </c>
    </row>
    <row r="110" spans="1:25" ht="18.75" customHeight="1" thickTop="1" x14ac:dyDescent="0.25">
      <c r="A110" s="820" t="s">
        <v>133</v>
      </c>
      <c r="B110" s="820"/>
      <c r="C110" s="820"/>
      <c r="D110" s="820"/>
      <c r="E110" s="820"/>
      <c r="F110" s="820"/>
      <c r="G110" s="820"/>
      <c r="H110" s="820"/>
      <c r="I110" s="42" t="s">
        <v>134</v>
      </c>
      <c r="J110" s="72"/>
      <c r="R110" s="830" t="s">
        <v>136</v>
      </c>
      <c r="S110" s="830"/>
      <c r="T110" s="830"/>
      <c r="U110" s="830"/>
      <c r="V110" s="830"/>
      <c r="W110" s="830"/>
      <c r="X110" s="830"/>
      <c r="Y110" s="830"/>
    </row>
    <row r="111" spans="1:25" ht="15.75" customHeight="1" x14ac:dyDescent="0.25">
      <c r="A111" s="827" t="s">
        <v>135</v>
      </c>
      <c r="B111" s="827"/>
      <c r="C111" s="827"/>
      <c r="D111" s="827"/>
      <c r="E111" s="827"/>
      <c r="F111" s="827"/>
      <c r="G111" s="827"/>
      <c r="H111" s="827"/>
      <c r="I111" s="229">
        <v>1</v>
      </c>
      <c r="J111" s="46">
        <f>Y109</f>
        <v>578657.2300000001</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638"/>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I114" s="639">
        <f>IF(I111=1,J111,J109)</f>
        <v>578657.2300000001</v>
      </c>
      <c r="J114" s="640">
        <f>ROUND(IF(E28=0,0,IF(E28&gt;250,-(((250/E28)*I114)*IF(H113="H",0.02,0.05)),IF(H113="H",-0.02*I114,-0.05*I114))),2)</f>
        <v>-28932.86</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1332993.8699999999</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6"/>
      <c r="F118" s="235"/>
      <c r="G118" s="236"/>
      <c r="H118" s="641"/>
      <c r="I118" s="642"/>
      <c r="J118" s="647">
        <f>-'Cumulative Payments'!R77</f>
        <v>-1113655.08</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219338.7899999998</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109669.4</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ROUND(IF(H113="H",(I114*0.02)+J114,(I114*0.05)+J114),2)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642"/>
      <c r="I127" s="651"/>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G59:H59"/>
    <mergeCell ref="X59:Y59"/>
    <mergeCell ref="I60:J60"/>
    <mergeCell ref="R60:Y60"/>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G62:H62"/>
    <mergeCell ref="X62:Y62"/>
    <mergeCell ref="A68:E68"/>
    <mergeCell ref="R68:S68"/>
    <mergeCell ref="A69:B69"/>
    <mergeCell ref="R69:T69"/>
    <mergeCell ref="A70:E70"/>
    <mergeCell ref="R70:T70"/>
    <mergeCell ref="A65:B65"/>
    <mergeCell ref="G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80017-8300-4415-9334-B0335F4A03A8}">
  <dimension ref="A1:Z207"/>
  <sheetViews>
    <sheetView topLeftCell="A107" workbookViewId="0">
      <selection activeCell="A113" sqref="A113"/>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436</v>
      </c>
      <c r="B2" s="101"/>
      <c r="C2" s="101"/>
      <c r="D2" s="101"/>
      <c r="E2" s="6"/>
      <c r="F2" s="6"/>
      <c r="G2" s="6"/>
      <c r="H2" s="6"/>
      <c r="I2" s="686" t="str">
        <f>RIGHT(A2,4)</f>
        <v>2531</v>
      </c>
      <c r="J2" s="6"/>
      <c r="K2" s="6"/>
      <c r="L2" s="6"/>
      <c r="M2" s="6"/>
      <c r="N2" s="6"/>
      <c r="O2" s="6"/>
      <c r="P2" s="6"/>
      <c r="Q2" s="6"/>
      <c r="R2" s="898" t="str">
        <f>Revenue_Estimate_Worksheet_for___________Charter_School</f>
        <v>Revenue Estimate Worksheet: Bodwell Academy - 2531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0</v>
      </c>
      <c r="D14" s="357">
        <f>SUMIFS(CountData!J:J,CountData!H:H,$I$2,CountData!I:I,$O14)</f>
        <v>0</v>
      </c>
      <c r="E14" s="812">
        <f t="shared" si="0"/>
        <v>0</v>
      </c>
      <c r="F14" s="812"/>
      <c r="G14" s="813">
        <f>Consolidated!$F16</f>
        <v>1</v>
      </c>
      <c r="H14" s="813">
        <f>Consolidated!$H$9</f>
        <v>1</v>
      </c>
      <c r="I14" s="517">
        <f t="shared" si="3"/>
        <v>0</v>
      </c>
      <c r="J14" s="518">
        <f>ROUND(ROUND(ROUND(I14*$E$6,4)*($I$6),2)*(MAX($I$7,1)),2)</f>
        <v>0</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0</v>
      </c>
      <c r="D15" s="357">
        <f>SUMIFS(CountData!J:J,CountData!H:H,$I$2,CountData!I:I,$O15)</f>
        <v>0.5</v>
      </c>
      <c r="E15" s="812">
        <f t="shared" si="0"/>
        <v>0.5</v>
      </c>
      <c r="F15" s="812"/>
      <c r="G15" s="813">
        <f>Consolidated!$F17</f>
        <v>1</v>
      </c>
      <c r="H15" s="813">
        <f>Consolidated!$H$9</f>
        <v>1</v>
      </c>
      <c r="I15" s="517">
        <f t="shared" si="3"/>
        <v>0.5</v>
      </c>
      <c r="J15" s="518">
        <f t="shared" si="1"/>
        <v>2781.66</v>
      </c>
      <c r="M15" s="2"/>
      <c r="O15" s="2" t="str">
        <f t="shared" si="2"/>
        <v>112</v>
      </c>
      <c r="R15" s="737" t="s">
        <v>23</v>
      </c>
      <c r="S15" s="737"/>
      <c r="T15" s="876">
        <f t="shared" si="4"/>
        <v>0.5</v>
      </c>
      <c r="U15" s="876"/>
      <c r="V15" s="875">
        <v>1</v>
      </c>
      <c r="W15" s="875"/>
      <c r="X15" s="150">
        <f t="shared" si="5"/>
        <v>0.5</v>
      </c>
      <c r="Y15" s="217">
        <f t="shared" ref="Y15:Y27" si="7">ROUND(ROUND(ROUND(X15*$E$6,4)*($I$6),2)*(MAX($I$7,1)),2)</f>
        <v>2781.66</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11.52</v>
      </c>
      <c r="D17" s="357">
        <f>SUMIFS(CountData!J:J,CountData!H:H,$I$2,CountData!I:I,$O17)</f>
        <v>10.98</v>
      </c>
      <c r="E17" s="812">
        <f t="shared" si="0"/>
        <v>22.5</v>
      </c>
      <c r="F17" s="812"/>
      <c r="G17" s="813">
        <f>Consolidated!$F19</f>
        <v>0.97199999999999998</v>
      </c>
      <c r="H17" s="813">
        <f>Consolidated!$H$9</f>
        <v>1</v>
      </c>
      <c r="I17" s="517">
        <f t="shared" si="3"/>
        <v>21.87</v>
      </c>
      <c r="J17" s="518">
        <f t="shared" si="1"/>
        <v>121669.97</v>
      </c>
      <c r="M17" s="2"/>
      <c r="O17" s="2" t="str">
        <f t="shared" si="2"/>
        <v>113</v>
      </c>
      <c r="R17" s="737" t="s">
        <v>25</v>
      </c>
      <c r="S17" s="737"/>
      <c r="T17" s="876">
        <f t="shared" si="4"/>
        <v>22.5</v>
      </c>
      <c r="U17" s="876"/>
      <c r="V17" s="875">
        <v>1</v>
      </c>
      <c r="W17" s="875"/>
      <c r="X17" s="150">
        <f t="shared" si="5"/>
        <v>22.5</v>
      </c>
      <c r="Y17" s="217">
        <f t="shared" si="7"/>
        <v>125174.86</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2</v>
      </c>
      <c r="D20" s="357">
        <f>SUMIFS(CountData!J:J,CountData!H:H,$I$2,CountData!I:I,$O20)</f>
        <v>2.52</v>
      </c>
      <c r="E20" s="812">
        <f t="shared" si="0"/>
        <v>4.5199999999999996</v>
      </c>
      <c r="F20" s="812"/>
      <c r="G20" s="813">
        <f>Consolidated!$F22</f>
        <v>3.609</v>
      </c>
      <c r="H20" s="813">
        <f>Consolidated!$H$9</f>
        <v>1</v>
      </c>
      <c r="I20" s="517">
        <f t="shared" si="3"/>
        <v>16.3127</v>
      </c>
      <c r="J20" s="518">
        <f t="shared" si="1"/>
        <v>90752.89</v>
      </c>
      <c r="M20" s="2"/>
      <c r="O20" s="2" t="str">
        <f>IF(O$9="H",LEFT(R$20,3),"")</f>
        <v>254</v>
      </c>
      <c r="R20" s="737" t="s">
        <v>28</v>
      </c>
      <c r="S20" s="737"/>
      <c r="T20" s="876">
        <f t="shared" si="4"/>
        <v>4.5199999999999996</v>
      </c>
      <c r="U20" s="876"/>
      <c r="V20" s="875">
        <v>1</v>
      </c>
      <c r="W20" s="875"/>
      <c r="X20" s="150">
        <f t="shared" si="5"/>
        <v>4.5199999999999996</v>
      </c>
      <c r="Y20" s="217">
        <f t="shared" si="7"/>
        <v>25146.240000000002</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10.44</v>
      </c>
      <c r="D23" s="357">
        <f>SUMIFS(CountData!J:J,CountData!H:H,$I$2,CountData!I:I,$O23)</f>
        <v>10.54</v>
      </c>
      <c r="E23" s="812">
        <f t="shared" si="0"/>
        <v>20.979999999999997</v>
      </c>
      <c r="F23" s="812"/>
      <c r="G23" s="813">
        <f>Consolidated!$F25</f>
        <v>6.0640000000000001</v>
      </c>
      <c r="H23" s="813">
        <f>Consolidated!$H$9</f>
        <v>1</v>
      </c>
      <c r="I23" s="517">
        <f t="shared" si="3"/>
        <v>127.2227</v>
      </c>
      <c r="J23" s="518">
        <f t="shared" si="1"/>
        <v>707781.52</v>
      </c>
      <c r="M23" s="2"/>
      <c r="O23" s="2" t="str">
        <f>IF(O$9="H",LEFT(R$23,3),"")</f>
        <v>255</v>
      </c>
      <c r="R23" s="737" t="s">
        <v>31</v>
      </c>
      <c r="S23" s="737"/>
      <c r="T23" s="876">
        <f t="shared" si="4"/>
        <v>20.979999999999997</v>
      </c>
      <c r="U23" s="876"/>
      <c r="V23" s="875">
        <v>1</v>
      </c>
      <c r="W23" s="875"/>
      <c r="X23" s="150">
        <f t="shared" si="5"/>
        <v>20.98</v>
      </c>
      <c r="Y23" s="217">
        <f t="shared" si="7"/>
        <v>116718.61</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23.96</v>
      </c>
      <c r="D28" s="720">
        <f>SUM(D12:D27)</f>
        <v>24.54</v>
      </c>
      <c r="E28" s="817">
        <f>SUM(E12:E27)</f>
        <v>48.5</v>
      </c>
      <c r="F28" s="817"/>
      <c r="G28" s="812"/>
      <c r="H28" s="812"/>
      <c r="I28" s="23">
        <f>SUM(I12:I27)</f>
        <v>165.90539999999999</v>
      </c>
      <c r="J28" s="121">
        <f>SUM(J12:J27)</f>
        <v>922986.04</v>
      </c>
      <c r="M28" s="2"/>
      <c r="R28" s="878" t="s">
        <v>36</v>
      </c>
      <c r="S28" s="878"/>
      <c r="T28" s="879">
        <f>SUM(T12:T27)</f>
        <v>48.5</v>
      </c>
      <c r="U28" s="879"/>
      <c r="V28" s="880"/>
      <c r="W28" s="880"/>
      <c r="X28" s="152">
        <f>SUM(X12:X27)</f>
        <v>48.5</v>
      </c>
      <c r="Y28" s="217">
        <f>SUM(Y12:Y27)</f>
        <v>269821.37</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165.90539999999999</v>
      </c>
      <c r="H33" s="812" t="s">
        <v>45</v>
      </c>
      <c r="I33" s="812"/>
      <c r="J33" s="32">
        <f>SUM(J32,J28)</f>
        <v>922986.04</v>
      </c>
      <c r="M33" s="2"/>
      <c r="R33" s="833" t="s">
        <v>44</v>
      </c>
      <c r="S33" s="833"/>
      <c r="T33" s="833"/>
      <c r="U33" s="833"/>
      <c r="V33" s="158">
        <f>V32+X28</f>
        <v>48.5</v>
      </c>
      <c r="W33" s="880" t="s">
        <v>45</v>
      </c>
      <c r="X33" s="880"/>
      <c r="Y33" s="159">
        <f>SUM(Y32,Y28)</f>
        <v>269821.37</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1046534.2</v>
      </c>
      <c r="H36" s="37" t="s">
        <v>49</v>
      </c>
      <c r="I36" s="38">
        <v>6.6699999999999995E-2</v>
      </c>
      <c r="J36" s="125">
        <f>ROUND(G36*I36,2)</f>
        <v>69803.83</v>
      </c>
      <c r="K36" s="39"/>
      <c r="L36" s="33"/>
      <c r="M36" s="33"/>
      <c r="N36" s="33"/>
      <c r="O36" s="31"/>
      <c r="P36" s="34"/>
      <c r="Q36" s="34"/>
      <c r="R36" s="737" t="s">
        <v>47</v>
      </c>
      <c r="S36" s="737"/>
      <c r="T36" s="737"/>
      <c r="U36" s="163"/>
      <c r="V36" s="166">
        <v>272603.03000000003</v>
      </c>
      <c r="W36" s="167" t="s">
        <v>49</v>
      </c>
      <c r="X36" s="168">
        <v>6.6699999999999995E-2</v>
      </c>
      <c r="Y36" s="217">
        <f>J36</f>
        <v>69803.83</v>
      </c>
    </row>
    <row r="37" spans="1:25" ht="20.25" customHeight="1" x14ac:dyDescent="0.25">
      <c r="A37" s="738" t="s">
        <v>50</v>
      </c>
      <c r="B37" s="738"/>
      <c r="C37" s="738"/>
      <c r="D37" s="738"/>
      <c r="E37" s="738"/>
      <c r="F37" s="36" t="s">
        <v>48</v>
      </c>
      <c r="G37" s="126">
        <v>1046534.2</v>
      </c>
      <c r="H37" s="37" t="s">
        <v>49</v>
      </c>
      <c r="I37" s="38">
        <v>5.4000000000000003E-3</v>
      </c>
      <c r="J37" s="125">
        <f>ROUND(G37*I37,2)</f>
        <v>5651.28</v>
      </c>
      <c r="K37" s="39"/>
      <c r="L37" s="33"/>
      <c r="M37" s="33"/>
      <c r="N37" s="33"/>
      <c r="O37" s="31"/>
      <c r="P37" s="34"/>
      <c r="Q37" s="34"/>
      <c r="R37" s="737" t="s">
        <v>50</v>
      </c>
      <c r="S37" s="737"/>
      <c r="T37" s="737"/>
      <c r="U37" s="163"/>
      <c r="V37" s="166">
        <v>272603.03000000003</v>
      </c>
      <c r="W37" s="167" t="s">
        <v>49</v>
      </c>
      <c r="X37" s="168">
        <v>5.4000000000000003E-3</v>
      </c>
      <c r="Y37" s="217">
        <f>J37</f>
        <v>5651.28</v>
      </c>
    </row>
    <row r="38" spans="1:25" ht="20.25" customHeight="1" x14ac:dyDescent="0.25">
      <c r="A38" s="820" t="s">
        <v>51</v>
      </c>
      <c r="B38" s="820"/>
      <c r="C38" s="820"/>
      <c r="D38" s="820"/>
      <c r="E38" s="820"/>
      <c r="F38" s="36" t="s">
        <v>52</v>
      </c>
      <c r="G38" s="40"/>
      <c r="H38" s="37"/>
      <c r="I38" s="41"/>
      <c r="J38" s="125">
        <f>SUM(J36:J37)</f>
        <v>75455.11</v>
      </c>
      <c r="K38" s="39"/>
      <c r="L38" s="33"/>
      <c r="M38" s="33"/>
      <c r="N38" s="33"/>
      <c r="O38" s="31"/>
      <c r="P38" s="34"/>
      <c r="Q38" s="34"/>
      <c r="R38" s="739" t="s">
        <v>51</v>
      </c>
      <c r="S38" s="739"/>
      <c r="T38" s="739"/>
      <c r="U38" s="163" t="s">
        <v>52</v>
      </c>
      <c r="V38" s="169"/>
      <c r="W38" s="167"/>
      <c r="X38" s="170"/>
      <c r="Y38" s="151">
        <f>Y36+Y37</f>
        <v>75455.11</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46">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46">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ht="20.25" customHeight="1" x14ac:dyDescent="0.25">
      <c r="A44" s="825"/>
      <c r="B44" s="825"/>
      <c r="C44" s="357">
        <v>0</v>
      </c>
      <c r="D44" s="357">
        <v>0</v>
      </c>
      <c r="E44" s="826">
        <f t="shared" si="8"/>
        <v>0</v>
      </c>
      <c r="F44" s="826"/>
      <c r="G44" s="47" t="s">
        <v>60</v>
      </c>
      <c r="H44" s="37">
        <v>251</v>
      </c>
      <c r="I44" s="130">
        <f>Consolidated!$H62</f>
        <v>1173</v>
      </c>
      <c r="J44" s="131">
        <f t="shared" si="9"/>
        <v>0</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46">
        <f t="shared" si="9"/>
        <v>0</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46">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0.5</v>
      </c>
      <c r="D48" s="357">
        <v>0</v>
      </c>
      <c r="E48" s="826">
        <f t="shared" si="8"/>
        <v>1</v>
      </c>
      <c r="F48" s="826"/>
      <c r="G48" s="47" t="s">
        <v>61</v>
      </c>
      <c r="H48" s="37">
        <v>252</v>
      </c>
      <c r="I48" s="130">
        <f>Consolidated!$H66</f>
        <v>3168</v>
      </c>
      <c r="J48" s="46">
        <f t="shared" si="9"/>
        <v>3168</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11</v>
      </c>
      <c r="D49" s="357">
        <v>0</v>
      </c>
      <c r="E49" s="831">
        <f t="shared" si="8"/>
        <v>22</v>
      </c>
      <c r="F49" s="831"/>
      <c r="G49" s="47" t="s">
        <v>61</v>
      </c>
      <c r="H49" s="37">
        <v>253</v>
      </c>
      <c r="I49" s="130">
        <f>Consolidated!$H67</f>
        <v>6685</v>
      </c>
      <c r="J49" s="46">
        <f t="shared" si="9"/>
        <v>147070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11.5</v>
      </c>
      <c r="D50" s="33">
        <f>SUM(D41:D49)</f>
        <v>0</v>
      </c>
      <c r="E50" s="832">
        <f>SUM(E41:E49)</f>
        <v>23</v>
      </c>
      <c r="F50" s="832"/>
      <c r="G50" s="818" t="s">
        <v>63</v>
      </c>
      <c r="H50" s="818"/>
      <c r="I50" s="818"/>
      <c r="J50" s="225">
        <f>SUM(J41:J49)</f>
        <v>150238</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48.5</v>
      </c>
      <c r="U52" s="178" t="s">
        <v>66</v>
      </c>
      <c r="V52" s="179"/>
      <c r="W52" s="180" t="s">
        <v>67</v>
      </c>
      <c r="X52" s="863">
        <f>I53</f>
        <v>207782.75</v>
      </c>
      <c r="Y52" s="863"/>
    </row>
    <row r="53" spans="1:25" ht="16.5" customHeight="1" x14ac:dyDescent="0.25">
      <c r="A53" s="827" t="s">
        <v>65</v>
      </c>
      <c r="B53" s="827"/>
      <c r="C53" s="51"/>
      <c r="D53" s="51"/>
      <c r="E53" s="48">
        <f>E28</f>
        <v>48.5</v>
      </c>
      <c r="F53" s="49" t="s">
        <v>66</v>
      </c>
      <c r="G53" s="3"/>
      <c r="H53" s="50" t="s">
        <v>67</v>
      </c>
      <c r="I53" s="918">
        <f>Consolidated!H$71</f>
        <v>207782.75</v>
      </c>
      <c r="J53" s="918"/>
      <c r="M53" s="2"/>
      <c r="R53" s="181"/>
      <c r="S53" s="182"/>
      <c r="T53" s="164"/>
      <c r="U53" s="164"/>
      <c r="V53" s="164"/>
      <c r="W53" s="183" t="s">
        <v>68</v>
      </c>
      <c r="X53" s="864">
        <f>ROUND(T52/X52,6)</f>
        <v>2.33E-4</v>
      </c>
      <c r="Y53" s="864"/>
    </row>
    <row r="54" spans="1:25" ht="22.5" customHeight="1" x14ac:dyDescent="0.25">
      <c r="A54" s="51"/>
      <c r="B54" s="52"/>
      <c r="C54" s="52"/>
      <c r="D54" s="52"/>
      <c r="H54" s="53" t="s">
        <v>68</v>
      </c>
      <c r="I54" s="828">
        <f>IFERROR(ROUND(E53/I53,6),0)</f>
        <v>2.33E-4</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48.5</v>
      </c>
      <c r="U55" s="178" t="s">
        <v>66</v>
      </c>
      <c r="V55" s="179"/>
      <c r="W55" s="180" t="s">
        <v>71</v>
      </c>
      <c r="X55" s="863">
        <f>I56</f>
        <v>221179.83999999997</v>
      </c>
      <c r="Y55" s="863"/>
    </row>
    <row r="56" spans="1:25" ht="16.5" customHeight="1" x14ac:dyDescent="0.25">
      <c r="A56" s="827" t="s">
        <v>70</v>
      </c>
      <c r="B56" s="827"/>
      <c r="C56" s="51"/>
      <c r="D56" s="51"/>
      <c r="E56" s="48">
        <f>G33</f>
        <v>165.90539999999999</v>
      </c>
      <c r="F56" s="49" t="s">
        <v>66</v>
      </c>
      <c r="G56" s="3"/>
      <c r="H56" s="50" t="s">
        <v>71</v>
      </c>
      <c r="I56" s="918">
        <f>Consolidated!H$74</f>
        <v>221179.83999999997</v>
      </c>
      <c r="J56" s="918"/>
      <c r="M56" s="2"/>
      <c r="R56" s="181"/>
      <c r="S56" s="164"/>
      <c r="T56" s="164"/>
      <c r="U56" s="164"/>
      <c r="V56" s="164"/>
      <c r="W56" s="183" t="s">
        <v>68</v>
      </c>
      <c r="X56" s="864">
        <f>ROUND(T55/X55,6)</f>
        <v>2.1900000000000001E-4</v>
      </c>
      <c r="Y56" s="864"/>
    </row>
    <row r="57" spans="1:25" ht="18.75" customHeight="1" x14ac:dyDescent="0.25">
      <c r="A57" s="51"/>
      <c r="H57" s="53" t="s">
        <v>68</v>
      </c>
      <c r="I57" s="828">
        <f>IFERROR(ROUND(E56/I56,6),0)</f>
        <v>7.5000000000000002E-4</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48.5</v>
      </c>
      <c r="U58" s="178" t="s">
        <v>66</v>
      </c>
      <c r="V58" s="862" t="s">
        <v>74</v>
      </c>
      <c r="W58" s="862"/>
      <c r="X58" s="863">
        <f>I59</f>
        <v>178931.75</v>
      </c>
      <c r="Y58" s="863"/>
    </row>
    <row r="59" spans="1:25" ht="18.75" customHeight="1" x14ac:dyDescent="0.25">
      <c r="A59" s="827" t="s">
        <v>73</v>
      </c>
      <c r="B59" s="827"/>
      <c r="C59" s="51"/>
      <c r="D59" s="51"/>
      <c r="E59" s="48">
        <f>E28</f>
        <v>48.5</v>
      </c>
      <c r="F59" s="49" t="s">
        <v>66</v>
      </c>
      <c r="G59" s="911" t="s">
        <v>74</v>
      </c>
      <c r="H59" s="911"/>
      <c r="I59" s="918">
        <f>Consolidated!H$77</f>
        <v>178931.75</v>
      </c>
      <c r="J59" s="918"/>
      <c r="M59" s="2"/>
      <c r="R59" s="181"/>
      <c r="S59" s="164"/>
      <c r="T59" s="164"/>
      <c r="U59" s="164"/>
      <c r="V59" s="164"/>
      <c r="W59" s="183" t="s">
        <v>68</v>
      </c>
      <c r="X59" s="864">
        <f>ROUND(T58/X58,6)</f>
        <v>2.7099999999999997E-4</v>
      </c>
      <c r="Y59" s="864"/>
    </row>
    <row r="60" spans="1:25" ht="18" customHeight="1" x14ac:dyDescent="0.25">
      <c r="A60" s="51"/>
      <c r="H60" s="53" t="s">
        <v>68</v>
      </c>
      <c r="I60" s="828">
        <f>IFERROR(ROUND(E59/I59,6),0)</f>
        <v>2.7099999999999997E-4</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48.5</v>
      </c>
      <c r="U61" s="178" t="s">
        <v>66</v>
      </c>
      <c r="V61" s="862" t="s">
        <v>76</v>
      </c>
      <c r="W61" s="862"/>
      <c r="X61" s="863">
        <f>I62</f>
        <v>207463.82</v>
      </c>
      <c r="Y61" s="863"/>
    </row>
    <row r="62" spans="1:25" ht="30.75" customHeight="1" x14ac:dyDescent="0.25">
      <c r="A62" s="827" t="s">
        <v>73</v>
      </c>
      <c r="B62" s="827"/>
      <c r="C62" s="51"/>
      <c r="D62" s="51"/>
      <c r="E62" s="48">
        <f>E28</f>
        <v>48.5</v>
      </c>
      <c r="F62" s="49" t="s">
        <v>66</v>
      </c>
      <c r="G62" s="911" t="s">
        <v>76</v>
      </c>
      <c r="H62" s="911"/>
      <c r="I62" s="918">
        <f>Consolidated!H$80</f>
        <v>207463.82</v>
      </c>
      <c r="J62" s="918"/>
      <c r="M62" s="2"/>
      <c r="R62" s="181"/>
      <c r="S62" s="164"/>
      <c r="T62" s="164"/>
      <c r="U62" s="164"/>
      <c r="V62" s="164"/>
      <c r="W62" s="183" t="s">
        <v>68</v>
      </c>
      <c r="X62" s="864">
        <f>ROUND(T61/X61,6)</f>
        <v>2.34E-4</v>
      </c>
      <c r="Y62" s="864"/>
    </row>
    <row r="63" spans="1:25" ht="19.5" customHeight="1" x14ac:dyDescent="0.25">
      <c r="A63" s="51"/>
      <c r="H63" s="53" t="s">
        <v>68</v>
      </c>
      <c r="I63" s="828">
        <f>IFERROR(ROUND(E62/I62,6),0)</f>
        <v>2.34E-4</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48.5</v>
      </c>
      <c r="U64" s="178" t="s">
        <v>66</v>
      </c>
      <c r="V64" s="862" t="s">
        <v>161</v>
      </c>
      <c r="W64" s="862"/>
      <c r="X64" s="863">
        <f>I65</f>
        <v>178612.82</v>
      </c>
      <c r="Y64" s="863"/>
    </row>
    <row r="65" spans="1:26" ht="49.5" customHeight="1" x14ac:dyDescent="0.25">
      <c r="A65" s="827" t="s">
        <v>73</v>
      </c>
      <c r="B65" s="827"/>
      <c r="C65" s="51"/>
      <c r="D65" s="51"/>
      <c r="E65" s="48">
        <f>E28</f>
        <v>48.5</v>
      </c>
      <c r="F65" s="49" t="s">
        <v>66</v>
      </c>
      <c r="G65" s="911" t="s">
        <v>78</v>
      </c>
      <c r="H65" s="911"/>
      <c r="I65" s="918">
        <f>Consolidated!H$83</f>
        <v>178612.82</v>
      </c>
      <c r="J65" s="918"/>
      <c r="M65" s="2"/>
      <c r="R65" s="184"/>
      <c r="S65" s="164"/>
      <c r="T65" s="164"/>
      <c r="U65" s="164"/>
      <c r="V65" s="164"/>
      <c r="W65" s="183" t="s">
        <v>68</v>
      </c>
      <c r="X65" s="864">
        <f>ROUND(T64/X64,6)</f>
        <v>2.72E-4</v>
      </c>
      <c r="Y65" s="864"/>
    </row>
    <row r="66" spans="1:26" ht="19.5" customHeight="1" x14ac:dyDescent="0.25">
      <c r="A66" s="51"/>
      <c r="H66" s="53" t="s">
        <v>68</v>
      </c>
      <c r="I66" s="828">
        <f>IFERROR(ROUND(E65/I65,6),0)</f>
        <v>2.72E-4</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2.34E-4</v>
      </c>
      <c r="Y67" s="220">
        <f>ROUND(V67*X67,2)</f>
        <v>10677.32</v>
      </c>
    </row>
    <row r="68" spans="1:26" ht="30.75" customHeight="1" x14ac:dyDescent="0.25">
      <c r="A68" s="836" t="s">
        <v>79</v>
      </c>
      <c r="B68" s="836"/>
      <c r="C68" s="836"/>
      <c r="D68" s="836"/>
      <c r="E68" s="836"/>
      <c r="F68" s="36" t="s">
        <v>80</v>
      </c>
      <c r="G68" s="226">
        <f>Consolidated!F$86</f>
        <v>45629593</v>
      </c>
      <c r="H68" s="37" t="s">
        <v>81</v>
      </c>
      <c r="I68" s="41">
        <f>I63</f>
        <v>2.34E-4</v>
      </c>
      <c r="J68" s="132">
        <f>ROUND(G68*I68,2)</f>
        <v>10677.32</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2.33E-4</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2.33E-4</v>
      </c>
      <c r="J70" s="132">
        <f>ROUND(G70*I70,2)</f>
        <v>0</v>
      </c>
      <c r="M70" s="2"/>
      <c r="R70" s="739" t="s">
        <v>163</v>
      </c>
      <c r="S70" s="739"/>
      <c r="T70" s="739"/>
      <c r="U70" s="163"/>
      <c r="V70" s="187">
        <f>G71</f>
        <v>18934058</v>
      </c>
      <c r="W70" s="167" t="s">
        <v>81</v>
      </c>
      <c r="X70" s="170">
        <f>X65</f>
        <v>2.72E-4</v>
      </c>
      <c r="Y70" s="217">
        <f t="shared" si="11"/>
        <v>5150.0600000000004</v>
      </c>
    </row>
    <row r="71" spans="1:26" ht="19.5" customHeight="1" x14ac:dyDescent="0.25">
      <c r="A71" s="820" t="s">
        <v>85</v>
      </c>
      <c r="B71" s="820"/>
      <c r="C71" s="820"/>
      <c r="D71" s="820"/>
      <c r="E71" s="820"/>
      <c r="F71" s="36" t="s">
        <v>86</v>
      </c>
      <c r="G71" s="226">
        <f>Consolidated!F$91</f>
        <v>18934058</v>
      </c>
      <c r="H71" s="37" t="s">
        <v>81</v>
      </c>
      <c r="I71" s="41">
        <f>I66</f>
        <v>2.72E-4</v>
      </c>
      <c r="J71" s="132">
        <f>ROUND(G71*I71,2)</f>
        <v>5150.0600000000004</v>
      </c>
      <c r="M71" s="2"/>
      <c r="R71" s="171" t="s">
        <v>164</v>
      </c>
      <c r="S71" s="171"/>
      <c r="T71" s="171"/>
      <c r="U71" s="163"/>
      <c r="V71" s="165">
        <f>G72</f>
        <v>11300012</v>
      </c>
      <c r="W71" s="167" t="s">
        <v>81</v>
      </c>
      <c r="X71" s="170">
        <f>X59</f>
        <v>2.7099999999999997E-4</v>
      </c>
      <c r="Y71" s="217">
        <f t="shared" si="11"/>
        <v>3062.3</v>
      </c>
    </row>
    <row r="72" spans="1:26" ht="19.5" customHeight="1" x14ac:dyDescent="0.25">
      <c r="A72" s="42" t="s">
        <v>87</v>
      </c>
      <c r="B72" s="42"/>
      <c r="C72" s="42"/>
      <c r="D72" s="42"/>
      <c r="E72" s="42"/>
      <c r="F72" s="36" t="s">
        <v>88</v>
      </c>
      <c r="G72" s="226">
        <f>Consolidated!F$93</f>
        <v>11300012</v>
      </c>
      <c r="H72" s="37" t="s">
        <v>81</v>
      </c>
      <c r="I72" s="41">
        <f>I60</f>
        <v>2.7099999999999997E-4</v>
      </c>
      <c r="J72" s="132">
        <f>ROUND(G72*I72,2)</f>
        <v>3062.3</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7.5000000000000002E-4</v>
      </c>
      <c r="J85" s="132">
        <f>ROUND(G85*I85,2)</f>
        <v>201612.21</v>
      </c>
      <c r="K85" s="70"/>
      <c r="L85" s="70"/>
      <c r="M85" s="71"/>
      <c r="N85" s="70"/>
      <c r="O85" s="70"/>
      <c r="P85" s="70"/>
      <c r="Q85" s="70"/>
      <c r="R85" s="739" t="s">
        <v>168</v>
      </c>
      <c r="S85" s="739"/>
      <c r="T85" s="739"/>
      <c r="U85" s="163"/>
      <c r="V85" s="165">
        <f>G85</f>
        <v>268816278</v>
      </c>
      <c r="W85" s="167" t="s">
        <v>81</v>
      </c>
      <c r="X85" s="170">
        <f>X56</f>
        <v>2.1900000000000001E-4</v>
      </c>
      <c r="Y85" s="217">
        <f t="shared" ref="Y85:Y87" si="12">ROUND(V85*X85,2)</f>
        <v>58870.76</v>
      </c>
    </row>
    <row r="86" spans="1:26" ht="14.25" customHeight="1" x14ac:dyDescent="0.25">
      <c r="A86" s="820" t="s">
        <v>104</v>
      </c>
      <c r="B86" s="820"/>
      <c r="C86" s="820"/>
      <c r="D86" s="820"/>
      <c r="E86" s="820"/>
      <c r="F86" s="36" t="s">
        <v>103</v>
      </c>
      <c r="G86" s="133">
        <v>0</v>
      </c>
      <c r="H86" s="37" t="s">
        <v>81</v>
      </c>
      <c r="I86" s="41">
        <f>I57</f>
        <v>7.5000000000000002E-4</v>
      </c>
      <c r="J86" s="132">
        <f>ROUND(G86*I86,2)</f>
        <v>0</v>
      </c>
      <c r="K86" s="70"/>
      <c r="L86" s="71"/>
      <c r="M86" s="76"/>
      <c r="N86" s="76"/>
      <c r="O86" s="76"/>
      <c r="P86" s="76"/>
      <c r="Q86" s="70"/>
      <c r="R86" s="739" t="s">
        <v>169</v>
      </c>
      <c r="S86" s="739"/>
      <c r="T86" s="739"/>
      <c r="U86" s="163"/>
      <c r="V86" s="197">
        <f>G86</f>
        <v>0</v>
      </c>
      <c r="W86" s="167" t="s">
        <v>81</v>
      </c>
      <c r="X86" s="170">
        <f>X56</f>
        <v>2.1900000000000001E-4</v>
      </c>
      <c r="Y86" s="217">
        <f t="shared" si="12"/>
        <v>0</v>
      </c>
    </row>
    <row r="87" spans="1:26" ht="18" customHeight="1" x14ac:dyDescent="0.25">
      <c r="A87" s="820" t="s">
        <v>105</v>
      </c>
      <c r="B87" s="820"/>
      <c r="C87" s="820"/>
      <c r="D87" s="820"/>
      <c r="E87" s="820"/>
      <c r="F87" s="36" t="s">
        <v>84</v>
      </c>
      <c r="G87" s="133">
        <v>0</v>
      </c>
      <c r="H87" s="37" t="s">
        <v>81</v>
      </c>
      <c r="I87" s="41">
        <f>I54</f>
        <v>2.33E-4</v>
      </c>
      <c r="J87" s="62">
        <f>ROUND(G87*I87,2)</f>
        <v>0</v>
      </c>
      <c r="K87" s="77"/>
      <c r="L87" s="70"/>
      <c r="M87" s="71"/>
      <c r="N87" s="70"/>
      <c r="O87" s="70"/>
      <c r="P87" s="70"/>
      <c r="Q87" s="70"/>
      <c r="R87" s="171" t="s">
        <v>170</v>
      </c>
      <c r="S87" s="171"/>
      <c r="T87" s="171"/>
      <c r="U87" s="163"/>
      <c r="V87" s="197">
        <f>G87</f>
        <v>0</v>
      </c>
      <c r="W87" s="167" t="s">
        <v>81</v>
      </c>
      <c r="X87" s="170">
        <f>X53</f>
        <v>2.33E-4</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13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0.5</v>
      </c>
      <c r="C91" s="80"/>
      <c r="D91" s="894">
        <f>I6</f>
        <v>1.0355000000000001</v>
      </c>
      <c r="E91" s="894"/>
      <c r="F91" s="894"/>
      <c r="G91" s="117">
        <f>Consolidated!F$119</f>
        <v>915.09</v>
      </c>
      <c r="H91" s="47" t="s">
        <v>68</v>
      </c>
      <c r="I91" s="134">
        <f>ROUND(B91*D91*G91,2)</f>
        <v>473.79</v>
      </c>
      <c r="K91" s="70"/>
      <c r="L91" s="70"/>
      <c r="M91" s="71"/>
      <c r="N91" s="70"/>
      <c r="O91" s="70"/>
      <c r="P91" s="70"/>
      <c r="Q91" s="70"/>
      <c r="R91" s="200" t="s">
        <v>60</v>
      </c>
      <c r="S91" s="198">
        <f>X14+X15+X19+X22+X25</f>
        <v>0.5</v>
      </c>
      <c r="T91" s="849">
        <f>X6</f>
        <v>1.0355000000000001</v>
      </c>
      <c r="U91" s="849"/>
      <c r="V91" s="117">
        <f>G91</f>
        <v>915.09</v>
      </c>
      <c r="W91" s="176" t="s">
        <v>68</v>
      </c>
      <c r="X91" s="221">
        <f>ROUND(S91*T91*V91,2)</f>
        <v>473.79</v>
      </c>
      <c r="Y91" s="164"/>
    </row>
    <row r="92" spans="1:26" ht="19.5" customHeight="1" thickBot="1" x14ac:dyDescent="0.3">
      <c r="A92" s="83" t="s">
        <v>61</v>
      </c>
      <c r="B92" s="80">
        <f>I16+I17+I20+I23+I26+I27</f>
        <v>165.40539999999999</v>
      </c>
      <c r="C92" s="80"/>
      <c r="D92" s="894">
        <f>I6</f>
        <v>1.0355000000000001</v>
      </c>
      <c r="E92" s="894"/>
      <c r="F92" s="894"/>
      <c r="G92" s="117">
        <f>Consolidated!F$120</f>
        <v>917.3</v>
      </c>
      <c r="H92" s="47" t="s">
        <v>68</v>
      </c>
      <c r="I92" s="515">
        <f>ROUND(B92*D92*G92,2)</f>
        <v>157112.66</v>
      </c>
      <c r="K92" s="70"/>
      <c r="L92" s="70"/>
      <c r="M92" s="71"/>
      <c r="N92" s="70"/>
      <c r="O92" s="70"/>
      <c r="P92" s="70"/>
      <c r="Q92" s="70"/>
      <c r="R92" s="201" t="s">
        <v>61</v>
      </c>
      <c r="S92" s="202">
        <f>X16+X17+X20+X23+X26+X27</f>
        <v>48</v>
      </c>
      <c r="T92" s="849">
        <f>X6</f>
        <v>1.0355000000000001</v>
      </c>
      <c r="U92" s="849"/>
      <c r="V92" s="117">
        <f>G92</f>
        <v>917.3</v>
      </c>
      <c r="W92" s="176" t="s">
        <v>68</v>
      </c>
      <c r="X92" s="221">
        <f>ROUND(S92*T92*V92,2)</f>
        <v>45593.48</v>
      </c>
      <c r="Y92" s="164"/>
    </row>
    <row r="93" spans="1:26" ht="18.75" customHeight="1" thickBot="1" x14ac:dyDescent="0.3">
      <c r="A93" s="84" t="s">
        <v>111</v>
      </c>
      <c r="B93" s="80">
        <f>SUM(B90:B92)</f>
        <v>165.90539999999999</v>
      </c>
      <c r="C93" s="80"/>
      <c r="D93" s="80"/>
      <c r="E93" s="846" t="s">
        <v>112</v>
      </c>
      <c r="F93" s="846"/>
      <c r="G93" s="846"/>
      <c r="H93" s="846"/>
      <c r="I93" s="846"/>
      <c r="J93" s="121">
        <f>IF(A1=75,0,I92+I91+I90)</f>
        <v>157586.45000000001</v>
      </c>
      <c r="K93" s="70"/>
      <c r="L93" s="70"/>
      <c r="M93" s="71"/>
      <c r="N93" s="70"/>
      <c r="O93" s="70"/>
      <c r="P93" s="70"/>
      <c r="Q93" s="70"/>
      <c r="R93" s="203" t="s">
        <v>111</v>
      </c>
      <c r="S93" s="204">
        <f>SUM(S90:S92)</f>
        <v>48.5</v>
      </c>
      <c r="T93" s="853" t="s">
        <v>112</v>
      </c>
      <c r="U93" s="854"/>
      <c r="V93" s="854"/>
      <c r="W93" s="854"/>
      <c r="X93" s="854"/>
      <c r="Y93" s="217">
        <f>IF(R1=75,0,X92+X91+X90)</f>
        <v>46067.270000000004</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26</v>
      </c>
      <c r="U96" s="851"/>
      <c r="V96" s="851"/>
      <c r="W96" s="205" t="s">
        <v>117</v>
      </c>
      <c r="X96" s="206">
        <f>I97</f>
        <v>586</v>
      </c>
      <c r="Y96" s="217">
        <f>ROUND(X96*T96,2)</f>
        <v>15236</v>
      </c>
    </row>
    <row r="97" spans="1:25" ht="17.25" customHeight="1" x14ac:dyDescent="0.25">
      <c r="A97" s="818" t="s">
        <v>116</v>
      </c>
      <c r="B97" s="818"/>
      <c r="C97" s="228">
        <v>26</v>
      </c>
      <c r="D97" s="228">
        <v>0</v>
      </c>
      <c r="E97" s="754">
        <f>(C97+D97)</f>
        <v>26</v>
      </c>
      <c r="F97" s="754"/>
      <c r="G97" s="754"/>
      <c r="H97" s="85" t="s">
        <v>117</v>
      </c>
      <c r="I97" s="124">
        <f>Consolidated!G$127</f>
        <v>586</v>
      </c>
      <c r="J97" s="132">
        <f>ROUND(I97*E97,2)</f>
        <v>15236</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7">
        <f>(C98+D98)/2</f>
        <v>0</v>
      </c>
      <c r="F98" s="917"/>
      <c r="G98" s="917"/>
      <c r="H98" s="85" t="s">
        <v>117</v>
      </c>
      <c r="I98" s="124">
        <f>Consolidated!G$128</f>
        <v>1811</v>
      </c>
      <c r="J98" s="13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818" t="s">
        <v>125</v>
      </c>
      <c r="B107" s="818"/>
      <c r="C107" s="818"/>
      <c r="D107" s="818"/>
      <c r="E107" s="818"/>
      <c r="F107" s="818"/>
      <c r="G107" s="818"/>
      <c r="H107" s="818"/>
      <c r="I107" s="818"/>
      <c r="J107" s="95">
        <f>SUM(J106,J105,J98,J97,J93,J86,J85,J71,J70,J68,J33,J72,J50,J87,J84)</f>
        <v>1466548.3800000001</v>
      </c>
      <c r="L107" s="516"/>
      <c r="R107" s="739" t="s">
        <v>125</v>
      </c>
      <c r="S107" s="739"/>
      <c r="T107" s="739"/>
      <c r="U107" s="739"/>
      <c r="V107" s="739"/>
      <c r="W107" s="739"/>
      <c r="X107" s="739"/>
      <c r="Y107" s="213">
        <f>SUM(Y106,Y105,Y97,Y96,Y93,Y86,Y85,Y84,Y70,Y69,Y67,Y33,Y71,Y50,Y87,Y83)</f>
        <v>408885.08</v>
      </c>
    </row>
    <row r="108" spans="1:25" ht="15.75" customHeight="1" thickTop="1" x14ac:dyDescent="0.25">
      <c r="A108" s="821"/>
      <c r="B108" s="821"/>
      <c r="C108" s="821"/>
      <c r="D108" s="821"/>
      <c r="E108" s="821"/>
      <c r="F108" s="821"/>
      <c r="G108" s="821"/>
      <c r="H108" s="821"/>
      <c r="I108" s="821"/>
      <c r="J108" s="821"/>
      <c r="R108" s="834"/>
      <c r="S108" s="834"/>
      <c r="T108" s="834"/>
      <c r="U108" s="834"/>
      <c r="V108" s="834"/>
      <c r="W108" s="834"/>
      <c r="X108" s="834"/>
      <c r="Y108" s="834"/>
    </row>
    <row r="109" spans="1:25" ht="17.25" customHeight="1" thickBot="1" x14ac:dyDescent="0.3">
      <c r="A109" s="820" t="s">
        <v>131</v>
      </c>
      <c r="B109" s="820"/>
      <c r="C109" s="820"/>
      <c r="D109" s="820"/>
      <c r="E109" s="820"/>
      <c r="F109" s="821"/>
      <c r="G109" s="821"/>
      <c r="H109" s="821"/>
      <c r="I109" s="2" t="s">
        <v>132</v>
      </c>
      <c r="J109" s="96">
        <f>J107-J38</f>
        <v>1391093.27</v>
      </c>
      <c r="R109" s="164" t="s">
        <v>176</v>
      </c>
      <c r="S109" s="164"/>
      <c r="T109" s="164"/>
      <c r="U109" s="164"/>
      <c r="V109" s="164"/>
      <c r="W109" s="164"/>
      <c r="X109" s="164"/>
      <c r="Y109" s="214">
        <f>Y107-Y38</f>
        <v>333429.97000000003</v>
      </c>
    </row>
    <row r="110" spans="1:25" ht="18.75" customHeight="1" thickTop="1" x14ac:dyDescent="0.25">
      <c r="A110" s="820" t="s">
        <v>133</v>
      </c>
      <c r="B110" s="820"/>
      <c r="C110" s="820"/>
      <c r="D110" s="820"/>
      <c r="E110" s="820"/>
      <c r="F110" s="820"/>
      <c r="G110" s="820"/>
      <c r="H110" s="820"/>
      <c r="I110" s="42" t="s">
        <v>134</v>
      </c>
      <c r="J110" s="72"/>
      <c r="R110" s="830" t="s">
        <v>136</v>
      </c>
      <c r="S110" s="830"/>
      <c r="T110" s="830"/>
      <c r="U110" s="830"/>
      <c r="V110" s="830"/>
      <c r="W110" s="830"/>
      <c r="X110" s="830"/>
      <c r="Y110" s="830"/>
    </row>
    <row r="111" spans="1:25" ht="15.75" customHeight="1" x14ac:dyDescent="0.25">
      <c r="A111" s="827" t="s">
        <v>135</v>
      </c>
      <c r="B111" s="827"/>
      <c r="C111" s="827"/>
      <c r="D111" s="827"/>
      <c r="E111" s="827"/>
      <c r="F111" s="827"/>
      <c r="G111" s="827"/>
      <c r="H111" s="827"/>
      <c r="I111" s="229">
        <v>1</v>
      </c>
      <c r="J111" s="46">
        <f>Y109</f>
        <v>333429.97000000003</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638"/>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I114" s="639">
        <f>IF(I111=1,J111,J109)</f>
        <v>333429.97000000003</v>
      </c>
      <c r="J114" s="640">
        <f>ROUND(IF(E28=0,0,IF(E28&gt;250,-(((250/E28)*I114)*IF(H113="H",0.02,0.05)),IF(H113="H",-0.02*I114,-0.05*I114))),2)</f>
        <v>-16671.5</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1449876.8800000001</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641"/>
      <c r="I118" s="642"/>
      <c r="J118" s="647">
        <f>-'Cumulative Payments'!R78</f>
        <v>-1238986.48</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210890.40000000014</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105445.2</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ROUND(IF(H113="H",(I114*0.02)+J114,(I114*0.05)+J114),2)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642"/>
      <c r="I127" s="651"/>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6D6ED-DD5B-4F78-875E-84523061658F}">
  <dimension ref="A1:Z207"/>
  <sheetViews>
    <sheetView topLeftCell="A106" workbookViewId="0">
      <selection activeCell="A109" sqref="A109:E109"/>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437</v>
      </c>
      <c r="B2" s="101"/>
      <c r="C2" s="101"/>
      <c r="D2" s="101"/>
      <c r="E2" s="6"/>
      <c r="F2" s="6"/>
      <c r="G2" s="6"/>
      <c r="H2" s="6"/>
      <c r="I2" s="686" t="str">
        <f>RIGHT(A2,4)</f>
        <v>2791</v>
      </c>
      <c r="J2" s="6"/>
      <c r="K2" s="6"/>
      <c r="L2" s="6"/>
      <c r="M2" s="6"/>
      <c r="N2" s="6"/>
      <c r="O2" s="6"/>
      <c r="P2" s="6"/>
      <c r="Q2" s="6"/>
      <c r="R2" s="898" t="str">
        <f>Revenue_Estimate_Worksheet_for___________Charter_School</f>
        <v>Revenue Estimate Worksheet: The Learning Center at The Els Center of Excellence - 2791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3</v>
      </c>
      <c r="D13" s="357">
        <f>SUMIFS(CountData!J:J,CountData!H:H,$I$2,CountData!I:I,$O13)</f>
        <v>1.04</v>
      </c>
      <c r="E13" s="812">
        <f t="shared" si="0"/>
        <v>4.04</v>
      </c>
      <c r="F13" s="812"/>
      <c r="G13" s="813">
        <f>Consolidated!$F15</f>
        <v>1.1080000000000001</v>
      </c>
      <c r="H13" s="813">
        <f>Consolidated!$H$9</f>
        <v>1</v>
      </c>
      <c r="I13" s="517">
        <f t="shared" ref="I13:I27" si="3">ROUND(E13*G13,4)</f>
        <v>4.4763000000000002</v>
      </c>
      <c r="J13" s="518">
        <f t="shared" si="1"/>
        <v>24903.119999999999</v>
      </c>
      <c r="L13" s="21"/>
      <c r="M13" s="2"/>
      <c r="O13" s="2" t="str">
        <f t="shared" si="2"/>
        <v>111</v>
      </c>
      <c r="R13" s="737" t="s">
        <v>21</v>
      </c>
      <c r="S13" s="737"/>
      <c r="T13" s="876">
        <f t="shared" ref="T13:T27" si="4">IF($I$111=1,E13,0)</f>
        <v>4.04</v>
      </c>
      <c r="U13" s="876"/>
      <c r="V13" s="875">
        <v>1</v>
      </c>
      <c r="W13" s="875"/>
      <c r="X13" s="150">
        <f t="shared" ref="X13:X27" si="5">ROUND(T13*V13,4)</f>
        <v>4.04</v>
      </c>
      <c r="Y13" s="217">
        <f t="shared" ref="Y13" si="6">ROUND(ROUND(ROUND(X13*$E$6,4)*($I$6),2)*(MAX($I$7,1)),2)</f>
        <v>22475.84</v>
      </c>
    </row>
    <row r="14" spans="1:25" x14ac:dyDescent="0.25">
      <c r="A14" s="738" t="s">
        <v>22</v>
      </c>
      <c r="B14" s="738"/>
      <c r="C14" s="357">
        <f>SUMIFS(CountData!D:D,CountData!B:B,$I$2,CountData!C:C,$O14)</f>
        <v>0</v>
      </c>
      <c r="D14" s="357">
        <f>SUMIFS(CountData!J:J,CountData!H:H,$I$2,CountData!I:I,$O14)</f>
        <v>0</v>
      </c>
      <c r="E14" s="812">
        <f t="shared" si="0"/>
        <v>0</v>
      </c>
      <c r="F14" s="812"/>
      <c r="G14" s="813">
        <f>Consolidated!$F16</f>
        <v>1</v>
      </c>
      <c r="H14" s="813">
        <f>Consolidated!$H$9</f>
        <v>1</v>
      </c>
      <c r="I14" s="517">
        <f t="shared" si="3"/>
        <v>0</v>
      </c>
      <c r="J14" s="518">
        <f>ROUND(ROUND(ROUND(I14*$E$6,4)*($I$6),2)*(MAX($I$7,1)),2)</f>
        <v>0</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1</v>
      </c>
      <c r="D15" s="357">
        <f>SUMIFS(CountData!J:J,CountData!H:H,$I$2,CountData!I:I,$O15)</f>
        <v>0</v>
      </c>
      <c r="E15" s="812">
        <f t="shared" si="0"/>
        <v>1</v>
      </c>
      <c r="F15" s="812"/>
      <c r="G15" s="813">
        <f>Consolidated!$F17</f>
        <v>1</v>
      </c>
      <c r="H15" s="813">
        <f>Consolidated!$H$9</f>
        <v>1</v>
      </c>
      <c r="I15" s="517">
        <f t="shared" si="3"/>
        <v>1</v>
      </c>
      <c r="J15" s="518">
        <f t="shared" si="1"/>
        <v>5563.33</v>
      </c>
      <c r="M15" s="2"/>
      <c r="O15" s="2" t="str">
        <f t="shared" si="2"/>
        <v>112</v>
      </c>
      <c r="R15" s="737" t="s">
        <v>23</v>
      </c>
      <c r="S15" s="737"/>
      <c r="T15" s="876">
        <f t="shared" si="4"/>
        <v>1</v>
      </c>
      <c r="U15" s="876"/>
      <c r="V15" s="875">
        <v>1</v>
      </c>
      <c r="W15" s="875"/>
      <c r="X15" s="150">
        <f t="shared" si="5"/>
        <v>1</v>
      </c>
      <c r="Y15" s="217">
        <f t="shared" ref="Y15:Y27" si="7">ROUND(ROUND(ROUND(X15*$E$6,4)*($I$6),2)*(MAX($I$7,1)),2)</f>
        <v>5563.33</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60.5</v>
      </c>
      <c r="D18" s="357">
        <f>SUMIFS(CountData!J:J,CountData!H:H,$I$2,CountData!I:I,$O18)</f>
        <v>48.02</v>
      </c>
      <c r="E18" s="812">
        <f t="shared" si="0"/>
        <v>108.52000000000001</v>
      </c>
      <c r="F18" s="812"/>
      <c r="G18" s="813">
        <f>Consolidated!$F20</f>
        <v>3.609</v>
      </c>
      <c r="H18" s="813">
        <f>Consolidated!$H$9</f>
        <v>1</v>
      </c>
      <c r="I18" s="517">
        <f t="shared" si="3"/>
        <v>391.64870000000002</v>
      </c>
      <c r="J18" s="518">
        <f t="shared" si="1"/>
        <v>2178869.9</v>
      </c>
      <c r="M18" s="2"/>
      <c r="O18" s="2" t="str">
        <f>IF(O$7="E",LEFT(R$18,3),"")</f>
        <v>254</v>
      </c>
      <c r="R18" s="737" t="s">
        <v>26</v>
      </c>
      <c r="S18" s="737"/>
      <c r="T18" s="876">
        <f t="shared" si="4"/>
        <v>108.52000000000001</v>
      </c>
      <c r="U18" s="876"/>
      <c r="V18" s="875">
        <v>1</v>
      </c>
      <c r="W18" s="875"/>
      <c r="X18" s="150">
        <f t="shared" si="5"/>
        <v>108.52</v>
      </c>
      <c r="Y18" s="217">
        <f t="shared" si="7"/>
        <v>603732.28</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22</v>
      </c>
      <c r="D21" s="357">
        <f>SUMIFS(CountData!J:J,CountData!H:H,$I$2,CountData!I:I,$O21)</f>
        <v>37.5</v>
      </c>
      <c r="E21" s="812">
        <f t="shared" si="0"/>
        <v>59.5</v>
      </c>
      <c r="F21" s="812"/>
      <c r="G21" s="813">
        <f>Consolidated!$F23</f>
        <v>6.0640000000000001</v>
      </c>
      <c r="H21" s="813">
        <f>Consolidated!$H$9</f>
        <v>1</v>
      </c>
      <c r="I21" s="517">
        <f t="shared" si="3"/>
        <v>360.80799999999999</v>
      </c>
      <c r="J21" s="518">
        <f t="shared" si="1"/>
        <v>2007293</v>
      </c>
      <c r="M21" s="2"/>
      <c r="O21" s="2" t="str">
        <f>IF(O$7="E",LEFT(R$21,3),"")</f>
        <v>255</v>
      </c>
      <c r="R21" s="737" t="s">
        <v>29</v>
      </c>
      <c r="S21" s="737"/>
      <c r="T21" s="876">
        <f t="shared" si="4"/>
        <v>59.5</v>
      </c>
      <c r="U21" s="876"/>
      <c r="V21" s="875">
        <v>1</v>
      </c>
      <c r="W21" s="875"/>
      <c r="X21" s="150">
        <f t="shared" si="5"/>
        <v>59.5</v>
      </c>
      <c r="Y21" s="217">
        <f t="shared" si="7"/>
        <v>331017.96999999997</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130</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86.5</v>
      </c>
      <c r="D28" s="720">
        <f>SUM(D12:D27)</f>
        <v>86.56</v>
      </c>
      <c r="E28" s="817">
        <f>SUM(E12:E27)</f>
        <v>173.06</v>
      </c>
      <c r="F28" s="817"/>
      <c r="G28" s="812"/>
      <c r="H28" s="812"/>
      <c r="I28" s="23">
        <f>SUM(I12:I27)</f>
        <v>757.93299999999999</v>
      </c>
      <c r="J28" s="121">
        <f>SUM(J12:J27)</f>
        <v>4216629.3499999996</v>
      </c>
      <c r="M28" s="2"/>
      <c r="R28" s="878" t="s">
        <v>36</v>
      </c>
      <c r="S28" s="878"/>
      <c r="T28" s="879">
        <f>SUM(T12:T27)</f>
        <v>173.06</v>
      </c>
      <c r="U28" s="879"/>
      <c r="V28" s="880"/>
      <c r="W28" s="880"/>
      <c r="X28" s="152">
        <f>SUM(X12:X27)</f>
        <v>173.06</v>
      </c>
      <c r="Y28" s="217">
        <f>SUM(Y12:Y27)</f>
        <v>962789.42</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757.93299999999999</v>
      </c>
      <c r="H33" s="812" t="s">
        <v>45</v>
      </c>
      <c r="I33" s="812"/>
      <c r="J33" s="32">
        <f>SUM(J32,J28)</f>
        <v>4216629.3499999996</v>
      </c>
      <c r="M33" s="2"/>
      <c r="R33" s="833" t="s">
        <v>44</v>
      </c>
      <c r="S33" s="833"/>
      <c r="T33" s="833"/>
      <c r="U33" s="833"/>
      <c r="V33" s="158">
        <f>V32+X28</f>
        <v>173.06</v>
      </c>
      <c r="W33" s="880" t="s">
        <v>45</v>
      </c>
      <c r="X33" s="880"/>
      <c r="Y33" s="159">
        <f>SUM(Y32,Y28)</f>
        <v>962789.42</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3851663.96</v>
      </c>
      <c r="H36" s="37" t="s">
        <v>49</v>
      </c>
      <c r="I36" s="38">
        <v>6.6699999999999995E-2</v>
      </c>
      <c r="J36" s="125">
        <f>ROUND(G36*I36,2)</f>
        <v>256905.99</v>
      </c>
      <c r="K36" s="39"/>
      <c r="L36" s="33"/>
      <c r="M36" s="33"/>
      <c r="N36" s="33"/>
      <c r="O36" s="31"/>
      <c r="P36" s="34"/>
      <c r="Q36" s="34"/>
      <c r="R36" s="737" t="s">
        <v>47</v>
      </c>
      <c r="S36" s="737"/>
      <c r="T36" s="737"/>
      <c r="U36" s="163"/>
      <c r="V36" s="166">
        <v>912385.68</v>
      </c>
      <c r="W36" s="167" t="s">
        <v>49</v>
      </c>
      <c r="X36" s="168">
        <v>6.6699999999999995E-2</v>
      </c>
      <c r="Y36" s="217">
        <f>J36</f>
        <v>256905.99</v>
      </c>
    </row>
    <row r="37" spans="1:25" ht="20.25" customHeight="1" x14ac:dyDescent="0.25">
      <c r="A37" s="738" t="s">
        <v>50</v>
      </c>
      <c r="B37" s="738"/>
      <c r="C37" s="738"/>
      <c r="D37" s="738"/>
      <c r="E37" s="738"/>
      <c r="F37" s="36" t="s">
        <v>48</v>
      </c>
      <c r="G37" s="126">
        <v>3851663.96</v>
      </c>
      <c r="H37" s="37" t="s">
        <v>49</v>
      </c>
      <c r="I37" s="38">
        <v>5.4000000000000003E-3</v>
      </c>
      <c r="J37" s="125">
        <f>ROUND(G37*I37,2)</f>
        <v>20798.990000000002</v>
      </c>
      <c r="K37" s="39"/>
      <c r="L37" s="33"/>
      <c r="M37" s="33"/>
      <c r="N37" s="33"/>
      <c r="O37" s="31"/>
      <c r="P37" s="34"/>
      <c r="Q37" s="34"/>
      <c r="R37" s="737" t="s">
        <v>50</v>
      </c>
      <c r="S37" s="737"/>
      <c r="T37" s="737"/>
      <c r="U37" s="163"/>
      <c r="V37" s="166">
        <v>912385.68</v>
      </c>
      <c r="W37" s="167" t="s">
        <v>49</v>
      </c>
      <c r="X37" s="168">
        <v>5.4000000000000003E-3</v>
      </c>
      <c r="Y37" s="217">
        <f>J37</f>
        <v>20798.990000000002</v>
      </c>
    </row>
    <row r="38" spans="1:25" ht="20.25" customHeight="1" x14ac:dyDescent="0.25">
      <c r="A38" s="820" t="s">
        <v>51</v>
      </c>
      <c r="B38" s="820"/>
      <c r="C38" s="820"/>
      <c r="D38" s="820"/>
      <c r="E38" s="820"/>
      <c r="F38" s="36" t="s">
        <v>52</v>
      </c>
      <c r="G38" s="40"/>
      <c r="H38" s="37"/>
      <c r="I38" s="41"/>
      <c r="J38" s="125">
        <f>SUM(J36:J37)</f>
        <v>277704.98</v>
      </c>
      <c r="K38" s="39"/>
      <c r="L38" s="33"/>
      <c r="M38" s="33"/>
      <c r="N38" s="33"/>
      <c r="O38" s="31"/>
      <c r="P38" s="34"/>
      <c r="Q38" s="34"/>
      <c r="R38" s="739" t="s">
        <v>51</v>
      </c>
      <c r="S38" s="739"/>
      <c r="T38" s="739"/>
      <c r="U38" s="163" t="s">
        <v>52</v>
      </c>
      <c r="V38" s="169"/>
      <c r="W38" s="167"/>
      <c r="X38" s="170"/>
      <c r="Y38" s="151">
        <f>Y36+Y37</f>
        <v>277704.98</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3</v>
      </c>
      <c r="D41" s="357">
        <v>0</v>
      </c>
      <c r="E41" s="826">
        <f t="shared" ref="E41:E49" si="8">IF($D$50=0,C41*2,C41+D41)</f>
        <v>6</v>
      </c>
      <c r="F41" s="826"/>
      <c r="G41" s="37" t="s">
        <v>59</v>
      </c>
      <c r="H41" s="37">
        <v>251</v>
      </c>
      <c r="I41" s="130">
        <f>Consolidated!$H59</f>
        <v>1047</v>
      </c>
      <c r="J41" s="46">
        <f t="shared" ref="J41:J49" si="9">ROUND(E41*I41,2)</f>
        <v>6282</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46">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131">
        <f t="shared" si="9"/>
        <v>0</v>
      </c>
      <c r="M43" s="2"/>
      <c r="R43" s="885"/>
      <c r="S43" s="885"/>
      <c r="T43" s="867"/>
      <c r="U43" s="867"/>
      <c r="V43" s="167" t="s">
        <v>59</v>
      </c>
      <c r="W43" s="167">
        <v>253</v>
      </c>
      <c r="X43" s="128">
        <f>Consolidated!$H61</f>
        <v>6896</v>
      </c>
      <c r="Y43" s="218">
        <f t="shared" si="10"/>
        <v>0</v>
      </c>
    </row>
    <row r="44" spans="1:25" ht="20.25" customHeight="1" x14ac:dyDescent="0.25">
      <c r="A44" s="825"/>
      <c r="B44" s="825"/>
      <c r="C44" s="357">
        <v>1</v>
      </c>
      <c r="D44" s="357">
        <v>0</v>
      </c>
      <c r="E44" s="826">
        <f t="shared" si="8"/>
        <v>2</v>
      </c>
      <c r="F44" s="826"/>
      <c r="G44" s="47" t="s">
        <v>60</v>
      </c>
      <c r="H44" s="37">
        <v>251</v>
      </c>
      <c r="I44" s="130">
        <f>Consolidated!$H62</f>
        <v>1173</v>
      </c>
      <c r="J44" s="131">
        <f t="shared" si="9"/>
        <v>2346</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131">
        <f t="shared" si="9"/>
        <v>0</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46">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654">
        <v>0</v>
      </c>
      <c r="D49" s="654">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655">
        <f>SUM(C41:C49)</f>
        <v>4</v>
      </c>
      <c r="D50" s="655">
        <f>SUM(D41:D49)</f>
        <v>0</v>
      </c>
      <c r="E50" s="832">
        <f>SUM(E41:E49)</f>
        <v>8</v>
      </c>
      <c r="F50" s="832"/>
      <c r="G50" s="818" t="s">
        <v>63</v>
      </c>
      <c r="H50" s="818"/>
      <c r="I50" s="818"/>
      <c r="J50" s="225">
        <f>SUM(J41:J49)</f>
        <v>8628</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173.06</v>
      </c>
      <c r="U52" s="178" t="s">
        <v>66</v>
      </c>
      <c r="V52" s="179"/>
      <c r="W52" s="180" t="s">
        <v>67</v>
      </c>
      <c r="X52" s="863">
        <f>I53</f>
        <v>207782.75</v>
      </c>
      <c r="Y52" s="863"/>
    </row>
    <row r="53" spans="1:25" ht="16.5" customHeight="1" x14ac:dyDescent="0.25">
      <c r="A53" s="827" t="s">
        <v>65</v>
      </c>
      <c r="B53" s="827"/>
      <c r="C53" s="51"/>
      <c r="D53" s="51"/>
      <c r="E53" s="48">
        <f>E28</f>
        <v>173.06</v>
      </c>
      <c r="F53" s="49" t="s">
        <v>66</v>
      </c>
      <c r="G53" s="3"/>
      <c r="H53" s="50" t="s">
        <v>67</v>
      </c>
      <c r="I53" s="918">
        <f>Consolidated!H$71</f>
        <v>207782.75</v>
      </c>
      <c r="J53" s="918"/>
      <c r="M53" s="2"/>
      <c r="R53" s="181"/>
      <c r="S53" s="182"/>
      <c r="T53" s="164"/>
      <c r="U53" s="164"/>
      <c r="V53" s="164"/>
      <c r="W53" s="183" t="s">
        <v>68</v>
      </c>
      <c r="X53" s="864">
        <f>ROUND(T52/X52,6)</f>
        <v>8.3299999999999997E-4</v>
      </c>
      <c r="Y53" s="864"/>
    </row>
    <row r="54" spans="1:25" ht="22.5" customHeight="1" x14ac:dyDescent="0.25">
      <c r="A54" s="51"/>
      <c r="B54" s="52"/>
      <c r="C54" s="52"/>
      <c r="D54" s="52"/>
      <c r="H54" s="53" t="s">
        <v>68</v>
      </c>
      <c r="I54" s="828">
        <f>IFERROR(ROUND(E53/I53,6),0)</f>
        <v>8.3299999999999997E-4</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173.06</v>
      </c>
      <c r="U55" s="178" t="s">
        <v>66</v>
      </c>
      <c r="V55" s="179"/>
      <c r="W55" s="180" t="s">
        <v>71</v>
      </c>
      <c r="X55" s="863">
        <f>I56</f>
        <v>221179.83999999997</v>
      </c>
      <c r="Y55" s="863"/>
    </row>
    <row r="56" spans="1:25" ht="16.5" customHeight="1" x14ac:dyDescent="0.25">
      <c r="A56" s="827" t="s">
        <v>70</v>
      </c>
      <c r="B56" s="827"/>
      <c r="C56" s="51"/>
      <c r="D56" s="51"/>
      <c r="E56" s="48">
        <f>G33</f>
        <v>757.93299999999999</v>
      </c>
      <c r="F56" s="49" t="s">
        <v>66</v>
      </c>
      <c r="G56" s="3"/>
      <c r="H56" s="50" t="s">
        <v>71</v>
      </c>
      <c r="I56" s="918">
        <f>Consolidated!H$74</f>
        <v>221179.83999999997</v>
      </c>
      <c r="J56" s="918"/>
      <c r="M56" s="2"/>
      <c r="R56" s="181"/>
      <c r="S56" s="164"/>
      <c r="T56" s="164"/>
      <c r="U56" s="164"/>
      <c r="V56" s="164"/>
      <c r="W56" s="183" t="s">
        <v>68</v>
      </c>
      <c r="X56" s="864">
        <f>ROUND(T55/X55,6)</f>
        <v>7.8200000000000003E-4</v>
      </c>
      <c r="Y56" s="864"/>
    </row>
    <row r="57" spans="1:25" ht="18.75" customHeight="1" x14ac:dyDescent="0.25">
      <c r="A57" s="51"/>
      <c r="H57" s="53" t="s">
        <v>68</v>
      </c>
      <c r="I57" s="828">
        <f>IFERROR(ROUND(E56/I56,6),0)</f>
        <v>3.4269999999999999E-3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173.06</v>
      </c>
      <c r="U58" s="178" t="s">
        <v>66</v>
      </c>
      <c r="V58" s="862" t="s">
        <v>74</v>
      </c>
      <c r="W58" s="862"/>
      <c r="X58" s="863">
        <f>I59</f>
        <v>178931.75</v>
      </c>
      <c r="Y58" s="863"/>
    </row>
    <row r="59" spans="1:25" ht="18.75" customHeight="1" x14ac:dyDescent="0.25">
      <c r="A59" s="827" t="s">
        <v>73</v>
      </c>
      <c r="B59" s="827"/>
      <c r="C59" s="51"/>
      <c r="D59" s="51"/>
      <c r="E59" s="48">
        <f>E28</f>
        <v>173.06</v>
      </c>
      <c r="F59" s="49" t="s">
        <v>66</v>
      </c>
      <c r="G59" s="911" t="s">
        <v>74</v>
      </c>
      <c r="H59" s="911"/>
      <c r="I59" s="918">
        <f>Consolidated!H$77</f>
        <v>178931.75</v>
      </c>
      <c r="J59" s="918"/>
      <c r="M59" s="2"/>
      <c r="R59" s="181"/>
      <c r="S59" s="164"/>
      <c r="T59" s="164"/>
      <c r="U59" s="164"/>
      <c r="V59" s="164"/>
      <c r="W59" s="183" t="s">
        <v>68</v>
      </c>
      <c r="X59" s="864">
        <f>ROUND(T58/X58,6)</f>
        <v>9.6699999999999998E-4</v>
      </c>
      <c r="Y59" s="864"/>
    </row>
    <row r="60" spans="1:25" ht="18" customHeight="1" x14ac:dyDescent="0.25">
      <c r="A60" s="51"/>
      <c r="H60" s="53" t="s">
        <v>68</v>
      </c>
      <c r="I60" s="828">
        <f>IFERROR(ROUND(E59/I59,6),0)</f>
        <v>9.6699999999999998E-4</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173.06</v>
      </c>
      <c r="U61" s="178" t="s">
        <v>66</v>
      </c>
      <c r="V61" s="862" t="s">
        <v>76</v>
      </c>
      <c r="W61" s="862"/>
      <c r="X61" s="863">
        <f>I62</f>
        <v>207463.82</v>
      </c>
      <c r="Y61" s="863"/>
    </row>
    <row r="62" spans="1:25" ht="30.75" customHeight="1" x14ac:dyDescent="0.25">
      <c r="A62" s="827" t="s">
        <v>73</v>
      </c>
      <c r="B62" s="827"/>
      <c r="C62" s="51"/>
      <c r="D62" s="51"/>
      <c r="E62" s="48">
        <f>E28</f>
        <v>173.06</v>
      </c>
      <c r="F62" s="49" t="s">
        <v>66</v>
      </c>
      <c r="G62" s="911" t="s">
        <v>76</v>
      </c>
      <c r="H62" s="911"/>
      <c r="I62" s="918">
        <f>Consolidated!H$80</f>
        <v>207463.82</v>
      </c>
      <c r="J62" s="918"/>
      <c r="M62" s="2"/>
      <c r="R62" s="181"/>
      <c r="S62" s="164"/>
      <c r="T62" s="164"/>
      <c r="U62" s="164"/>
      <c r="V62" s="164"/>
      <c r="W62" s="183" t="s">
        <v>68</v>
      </c>
      <c r="X62" s="864">
        <f>ROUND(T61/X61,6)</f>
        <v>8.34E-4</v>
      </c>
      <c r="Y62" s="864"/>
    </row>
    <row r="63" spans="1:25" ht="19.5" customHeight="1" x14ac:dyDescent="0.25">
      <c r="A63" s="51"/>
      <c r="H63" s="53" t="s">
        <v>68</v>
      </c>
      <c r="I63" s="828">
        <f>IFERROR(ROUND(E62/I62,6),0)</f>
        <v>8.34E-4</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173.06</v>
      </c>
      <c r="U64" s="178" t="s">
        <v>66</v>
      </c>
      <c r="V64" s="862" t="s">
        <v>161</v>
      </c>
      <c r="W64" s="862"/>
      <c r="X64" s="863">
        <f>I65</f>
        <v>178612.82</v>
      </c>
      <c r="Y64" s="863"/>
    </row>
    <row r="65" spans="1:26" ht="49.5" customHeight="1" x14ac:dyDescent="0.25">
      <c r="A65" s="827" t="s">
        <v>73</v>
      </c>
      <c r="B65" s="827"/>
      <c r="C65" s="51"/>
      <c r="D65" s="51"/>
      <c r="E65" s="48">
        <f>E28</f>
        <v>173.06</v>
      </c>
      <c r="F65" s="49" t="s">
        <v>66</v>
      </c>
      <c r="G65" s="911" t="s">
        <v>78</v>
      </c>
      <c r="H65" s="911"/>
      <c r="I65" s="918">
        <f>Consolidated!H$83</f>
        <v>178612.82</v>
      </c>
      <c r="J65" s="918"/>
      <c r="M65" s="2"/>
      <c r="R65" s="184"/>
      <c r="S65" s="164"/>
      <c r="T65" s="164"/>
      <c r="U65" s="164"/>
      <c r="V65" s="164"/>
      <c r="W65" s="183" t="s">
        <v>68</v>
      </c>
      <c r="X65" s="864">
        <f>ROUND(T64/X64,6)</f>
        <v>9.6900000000000003E-4</v>
      </c>
      <c r="Y65" s="864"/>
    </row>
    <row r="66" spans="1:26" ht="19.5" customHeight="1" x14ac:dyDescent="0.25">
      <c r="A66" s="51"/>
      <c r="H66" s="53" t="s">
        <v>68</v>
      </c>
      <c r="I66" s="828">
        <f>IFERROR(ROUND(E65/I65,6),0)</f>
        <v>9.6900000000000003E-4</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8.34E-4</v>
      </c>
      <c r="Y67" s="220">
        <f>ROUND(V67*X67,2)</f>
        <v>38055.08</v>
      </c>
    </row>
    <row r="68" spans="1:26" ht="30.75" customHeight="1" x14ac:dyDescent="0.25">
      <c r="A68" s="836" t="s">
        <v>79</v>
      </c>
      <c r="B68" s="836"/>
      <c r="C68" s="836"/>
      <c r="D68" s="836"/>
      <c r="E68" s="836"/>
      <c r="F68" s="36" t="s">
        <v>80</v>
      </c>
      <c r="G68" s="226">
        <f>Consolidated!F$86</f>
        <v>45629593</v>
      </c>
      <c r="H68" s="37" t="s">
        <v>81</v>
      </c>
      <c r="I68" s="41">
        <f>I63</f>
        <v>8.34E-4</v>
      </c>
      <c r="J68" s="132">
        <f>ROUND(G68*I68,2)</f>
        <v>38055.08</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8.3299999999999997E-4</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8.3299999999999997E-4</v>
      </c>
      <c r="J70" s="132">
        <f>ROUND(G70*I70,2)</f>
        <v>0</v>
      </c>
      <c r="M70" s="2"/>
      <c r="R70" s="739" t="s">
        <v>163</v>
      </c>
      <c r="S70" s="739"/>
      <c r="T70" s="739"/>
      <c r="U70" s="163"/>
      <c r="V70" s="187">
        <f>G71</f>
        <v>18934058</v>
      </c>
      <c r="W70" s="167" t="s">
        <v>81</v>
      </c>
      <c r="X70" s="170">
        <f>X65</f>
        <v>9.6900000000000003E-4</v>
      </c>
      <c r="Y70" s="217">
        <f t="shared" si="11"/>
        <v>18347.099999999999</v>
      </c>
    </row>
    <row r="71" spans="1:26" ht="19.5" customHeight="1" x14ac:dyDescent="0.25">
      <c r="A71" s="820" t="s">
        <v>85</v>
      </c>
      <c r="B71" s="820"/>
      <c r="C71" s="820"/>
      <c r="D71" s="820"/>
      <c r="E71" s="820"/>
      <c r="F71" s="36" t="s">
        <v>86</v>
      </c>
      <c r="G71" s="226">
        <f>Consolidated!F$91</f>
        <v>18934058</v>
      </c>
      <c r="H71" s="37" t="s">
        <v>81</v>
      </c>
      <c r="I71" s="41">
        <f>I66</f>
        <v>9.6900000000000003E-4</v>
      </c>
      <c r="J71" s="132">
        <f>ROUND(G71*I71,2)</f>
        <v>18347.099999999999</v>
      </c>
      <c r="M71" s="2"/>
      <c r="R71" s="171" t="s">
        <v>164</v>
      </c>
      <c r="S71" s="171"/>
      <c r="T71" s="171"/>
      <c r="U71" s="163"/>
      <c r="V71" s="165">
        <f>G72</f>
        <v>11300012</v>
      </c>
      <c r="W71" s="167" t="s">
        <v>81</v>
      </c>
      <c r="X71" s="170">
        <f>X59</f>
        <v>9.6699999999999998E-4</v>
      </c>
      <c r="Y71" s="217">
        <f t="shared" si="11"/>
        <v>10927.11</v>
      </c>
    </row>
    <row r="72" spans="1:26" ht="19.5" customHeight="1" x14ac:dyDescent="0.25">
      <c r="A72" s="42" t="s">
        <v>87</v>
      </c>
      <c r="B72" s="42"/>
      <c r="C72" s="42"/>
      <c r="D72" s="42"/>
      <c r="E72" s="42"/>
      <c r="F72" s="36" t="s">
        <v>88</v>
      </c>
      <c r="G72" s="226">
        <f>Consolidated!F$93</f>
        <v>11300012</v>
      </c>
      <c r="H72" s="37" t="s">
        <v>81</v>
      </c>
      <c r="I72" s="41">
        <f>I60</f>
        <v>9.6699999999999998E-4</v>
      </c>
      <c r="J72" s="132">
        <f>ROUND(G72*I72,2)</f>
        <v>10927.11</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3.4269999999999999E-3</v>
      </c>
      <c r="J85" s="132">
        <f>ROUND(G85*I85,2)</f>
        <v>921233.38</v>
      </c>
      <c r="K85" s="70"/>
      <c r="L85" s="70"/>
      <c r="M85" s="71"/>
      <c r="N85" s="70"/>
      <c r="O85" s="70"/>
      <c r="P85" s="70"/>
      <c r="Q85" s="70"/>
      <c r="R85" s="739" t="s">
        <v>168</v>
      </c>
      <c r="S85" s="739"/>
      <c r="T85" s="739"/>
      <c r="U85" s="163"/>
      <c r="V85" s="165">
        <f>G85</f>
        <v>268816278</v>
      </c>
      <c r="W85" s="167" t="s">
        <v>81</v>
      </c>
      <c r="X85" s="170">
        <f>X56</f>
        <v>7.8200000000000003E-4</v>
      </c>
      <c r="Y85" s="217">
        <f t="shared" ref="Y85:Y87" si="12">ROUND(V85*X85,2)</f>
        <v>210214.33</v>
      </c>
    </row>
    <row r="86" spans="1:26" ht="14.25" customHeight="1" x14ac:dyDescent="0.25">
      <c r="A86" s="820" t="s">
        <v>104</v>
      </c>
      <c r="B86" s="820"/>
      <c r="C86" s="820"/>
      <c r="D86" s="820"/>
      <c r="E86" s="820"/>
      <c r="F86" s="36" t="s">
        <v>103</v>
      </c>
      <c r="G86" s="133">
        <v>0</v>
      </c>
      <c r="H86" s="37" t="s">
        <v>81</v>
      </c>
      <c r="I86" s="41">
        <f>I57</f>
        <v>3.4269999999999999E-3</v>
      </c>
      <c r="J86" s="132">
        <f>ROUND(G86*I86,2)</f>
        <v>0</v>
      </c>
      <c r="K86" s="70"/>
      <c r="L86" s="71"/>
      <c r="M86" s="76"/>
      <c r="N86" s="76"/>
      <c r="O86" s="76"/>
      <c r="P86" s="76"/>
      <c r="Q86" s="70"/>
      <c r="R86" s="739" t="s">
        <v>169</v>
      </c>
      <c r="S86" s="739"/>
      <c r="T86" s="739"/>
      <c r="U86" s="163"/>
      <c r="V86" s="197">
        <v>0</v>
      </c>
      <c r="W86" s="167" t="s">
        <v>81</v>
      </c>
      <c r="X86" s="170">
        <f>X56</f>
        <v>7.8200000000000003E-4</v>
      </c>
      <c r="Y86" s="217">
        <f t="shared" si="12"/>
        <v>0</v>
      </c>
    </row>
    <row r="87" spans="1:26" ht="18" customHeight="1" x14ac:dyDescent="0.25">
      <c r="A87" s="820" t="s">
        <v>105</v>
      </c>
      <c r="B87" s="820"/>
      <c r="C87" s="820"/>
      <c r="D87" s="820"/>
      <c r="E87" s="820"/>
      <c r="F87" s="36" t="s">
        <v>84</v>
      </c>
      <c r="G87" s="133">
        <v>0</v>
      </c>
      <c r="H87" s="37" t="s">
        <v>81</v>
      </c>
      <c r="I87" s="41">
        <f>I54</f>
        <v>8.3299999999999997E-4</v>
      </c>
      <c r="J87" s="62">
        <f>ROUND(G87*I87,2)</f>
        <v>0</v>
      </c>
      <c r="K87" s="77"/>
      <c r="L87" s="70"/>
      <c r="M87" s="71"/>
      <c r="N87" s="70"/>
      <c r="O87" s="70"/>
      <c r="P87" s="70"/>
      <c r="Q87" s="70"/>
      <c r="R87" s="171" t="s">
        <v>170</v>
      </c>
      <c r="S87" s="171"/>
      <c r="T87" s="171"/>
      <c r="U87" s="163"/>
      <c r="V87" s="197">
        <v>0</v>
      </c>
      <c r="W87" s="167" t="s">
        <v>81</v>
      </c>
      <c r="X87" s="170">
        <f>X53</f>
        <v>8.3299999999999997E-4</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756.93299999999999</v>
      </c>
      <c r="C90" s="80"/>
      <c r="D90" s="894">
        <f>I6</f>
        <v>1.0355000000000001</v>
      </c>
      <c r="E90" s="894"/>
      <c r="F90" s="894"/>
      <c r="G90" s="117">
        <f>Consolidated!F$118</f>
        <v>958.42</v>
      </c>
      <c r="H90" s="47" t="s">
        <v>68</v>
      </c>
      <c r="I90" s="135">
        <f>ROUND(B90*D90*G90,2)</f>
        <v>751213.55</v>
      </c>
      <c r="J90" s="81"/>
      <c r="K90" s="70"/>
      <c r="L90" s="70"/>
      <c r="M90" s="71"/>
      <c r="N90" s="70"/>
      <c r="O90" s="70"/>
      <c r="P90" s="70"/>
      <c r="Q90" s="70"/>
      <c r="R90" s="160" t="s">
        <v>110</v>
      </c>
      <c r="S90" s="198">
        <f>X12+X13+X18+X21+X24</f>
        <v>172.06</v>
      </c>
      <c r="T90" s="849">
        <f>X6</f>
        <v>1.0355000000000001</v>
      </c>
      <c r="U90" s="849"/>
      <c r="V90" s="117">
        <f>G90</f>
        <v>958.42</v>
      </c>
      <c r="W90" s="176" t="s">
        <v>68</v>
      </c>
      <c r="X90" s="221">
        <f>ROUND(S90*T90*V90,2)</f>
        <v>170759.9</v>
      </c>
      <c r="Y90" s="199"/>
    </row>
    <row r="91" spans="1:26" ht="21" customHeight="1" x14ac:dyDescent="0.25">
      <c r="A91" s="82" t="s">
        <v>60</v>
      </c>
      <c r="B91" s="80">
        <f>I14+I15+I19+I22+I25</f>
        <v>1</v>
      </c>
      <c r="C91" s="80"/>
      <c r="D91" s="894">
        <f>I6</f>
        <v>1.0355000000000001</v>
      </c>
      <c r="E91" s="894"/>
      <c r="F91" s="894"/>
      <c r="G91" s="117">
        <f>Consolidated!F$119</f>
        <v>915.09</v>
      </c>
      <c r="H91" s="47" t="s">
        <v>68</v>
      </c>
      <c r="I91" s="134">
        <f>ROUND(B91*D91*G91,2)</f>
        <v>947.58</v>
      </c>
      <c r="K91" s="70"/>
      <c r="L91" s="70"/>
      <c r="M91" s="71"/>
      <c r="N91" s="70"/>
      <c r="O91" s="70"/>
      <c r="P91" s="70"/>
      <c r="Q91" s="70"/>
      <c r="R91" s="200" t="s">
        <v>60</v>
      </c>
      <c r="S91" s="198">
        <f>X14+X15+X19+X22+X25</f>
        <v>1</v>
      </c>
      <c r="T91" s="849">
        <f>X6</f>
        <v>1.0355000000000001</v>
      </c>
      <c r="U91" s="849"/>
      <c r="V91" s="117">
        <f>G91</f>
        <v>915.09</v>
      </c>
      <c r="W91" s="176" t="s">
        <v>68</v>
      </c>
      <c r="X91" s="221">
        <f>ROUND(S91*T91*V91,2)</f>
        <v>947.58</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757.93299999999999</v>
      </c>
      <c r="C93" s="80"/>
      <c r="D93" s="80"/>
      <c r="E93" s="846" t="s">
        <v>112</v>
      </c>
      <c r="F93" s="846"/>
      <c r="G93" s="846"/>
      <c r="H93" s="846"/>
      <c r="I93" s="846"/>
      <c r="J93" s="121">
        <f>IF(A1=75,0,I92+I91+I90)</f>
        <v>752161.13</v>
      </c>
      <c r="K93" s="70"/>
      <c r="L93" s="70"/>
      <c r="M93" s="71"/>
      <c r="N93" s="70"/>
      <c r="O93" s="70"/>
      <c r="P93" s="70"/>
      <c r="Q93" s="70"/>
      <c r="R93" s="203" t="s">
        <v>111</v>
      </c>
      <c r="S93" s="204">
        <f>SUM(S90:S92)</f>
        <v>173.06</v>
      </c>
      <c r="T93" s="853" t="s">
        <v>112</v>
      </c>
      <c r="U93" s="854"/>
      <c r="V93" s="854"/>
      <c r="W93" s="854"/>
      <c r="X93" s="854"/>
      <c r="Y93" s="217">
        <f>IF(R1=75,0,X92+X91+X90)</f>
        <v>171707.47999999998</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0</v>
      </c>
      <c r="D97" s="228">
        <v>0</v>
      </c>
      <c r="E97" s="919">
        <f>(C97+D97)/2</f>
        <v>0</v>
      </c>
      <c r="F97" s="919"/>
      <c r="G97" s="919"/>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9">
        <f>(C98+D98)/2</f>
        <v>0</v>
      </c>
      <c r="F98" s="919"/>
      <c r="G98" s="919"/>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818" t="s">
        <v>125</v>
      </c>
      <c r="B107" s="818"/>
      <c r="C107" s="818"/>
      <c r="D107" s="818"/>
      <c r="E107" s="818"/>
      <c r="F107" s="818"/>
      <c r="G107" s="818"/>
      <c r="H107" s="818"/>
      <c r="I107" s="818"/>
      <c r="J107" s="95">
        <f>SUM(J106,J105,J98,J97,J93,J86,J85,J71,J70,J68,J33,J72,J50,J87,J84)</f>
        <v>5965981.1500000004</v>
      </c>
      <c r="L107" s="516"/>
      <c r="R107" s="739" t="s">
        <v>125</v>
      </c>
      <c r="S107" s="739"/>
      <c r="T107" s="739"/>
      <c r="U107" s="739"/>
      <c r="V107" s="739"/>
      <c r="W107" s="739"/>
      <c r="X107" s="739"/>
      <c r="Y107" s="213">
        <f>SUM(Y106,Y105,Y97,Y96,Y93,Y86,Y85,Y84,Y70,Y69,Y67,Y33,Y71,Y50,Y87,Y83)</f>
        <v>1412040.52</v>
      </c>
    </row>
    <row r="108" spans="1:25" ht="15.75" customHeight="1" thickTop="1" x14ac:dyDescent="0.25">
      <c r="A108" s="821"/>
      <c r="B108" s="821"/>
      <c r="C108" s="821"/>
      <c r="D108" s="821"/>
      <c r="E108" s="821"/>
      <c r="F108" s="821"/>
      <c r="G108" s="821"/>
      <c r="H108" s="821"/>
      <c r="I108" s="821"/>
      <c r="J108" s="821"/>
      <c r="R108" s="834"/>
      <c r="S108" s="834"/>
      <c r="T108" s="834"/>
      <c r="U108" s="834"/>
      <c r="V108" s="834"/>
      <c r="W108" s="834"/>
      <c r="X108" s="834"/>
      <c r="Y108" s="834"/>
    </row>
    <row r="109" spans="1:25" ht="17.25" customHeight="1" thickBot="1" x14ac:dyDescent="0.3">
      <c r="A109" s="820" t="s">
        <v>131</v>
      </c>
      <c r="B109" s="820"/>
      <c r="C109" s="820"/>
      <c r="D109" s="820"/>
      <c r="E109" s="820"/>
      <c r="F109" s="821"/>
      <c r="G109" s="821"/>
      <c r="H109" s="821"/>
      <c r="I109" s="2" t="s">
        <v>132</v>
      </c>
      <c r="J109" s="521">
        <f>J107-J38</f>
        <v>5688276.1699999999</v>
      </c>
      <c r="R109" s="164" t="s">
        <v>176</v>
      </c>
      <c r="S109" s="164"/>
      <c r="T109" s="164"/>
      <c r="U109" s="164"/>
      <c r="V109" s="164"/>
      <c r="W109" s="164"/>
      <c r="X109" s="164"/>
      <c r="Y109" s="214">
        <f>Y107-Y38</f>
        <v>1134335.54</v>
      </c>
    </row>
    <row r="110" spans="1:25" ht="18.75" customHeight="1" thickTop="1" x14ac:dyDescent="0.25">
      <c r="A110" s="820" t="s">
        <v>133</v>
      </c>
      <c r="B110" s="820"/>
      <c r="C110" s="820"/>
      <c r="D110" s="820"/>
      <c r="E110" s="820"/>
      <c r="F110" s="820"/>
      <c r="G110" s="820"/>
      <c r="H110" s="820"/>
      <c r="I110" s="42" t="s">
        <v>134</v>
      </c>
      <c r="J110" s="72"/>
      <c r="R110" s="830" t="s">
        <v>136</v>
      </c>
      <c r="S110" s="830"/>
      <c r="T110" s="830"/>
      <c r="U110" s="830"/>
      <c r="V110" s="830"/>
      <c r="W110" s="830"/>
      <c r="X110" s="830"/>
      <c r="Y110" s="830"/>
    </row>
    <row r="111" spans="1:25" ht="15.75" customHeight="1" x14ac:dyDescent="0.25">
      <c r="A111" s="827" t="s">
        <v>135</v>
      </c>
      <c r="B111" s="827"/>
      <c r="C111" s="827"/>
      <c r="D111" s="827"/>
      <c r="E111" s="827"/>
      <c r="F111" s="827"/>
      <c r="G111" s="827"/>
      <c r="H111" s="827"/>
      <c r="I111" s="229">
        <v>1</v>
      </c>
      <c r="J111" s="131">
        <f>Y109</f>
        <v>1134335.54</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638"/>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I114" s="639">
        <f>IF(I111=1,J111,J109)</f>
        <v>1134335.54</v>
      </c>
      <c r="J114" s="640">
        <f>ROUND(IF(E28=0,0,IF(E28&gt;250,-(((250/E28)*I114)*IF(H113="H",0.02,0.05)),IF(H113="H",-0.02*I114,-0.05*I114))),2)</f>
        <v>-56716.78</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5909264.3700000001</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6"/>
      <c r="F118" s="235"/>
      <c r="G118" s="236"/>
      <c r="H118" s="641"/>
      <c r="I118" s="642"/>
      <c r="J118" s="647">
        <f>-'Cumulative Payments'!R79</f>
        <v>-4585707.67</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1323556.7000000002</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661778.35</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ROUND(IF(H113="H",(I114*0.02)+J114,(I114*0.05)+J114),2)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642"/>
      <c r="I127" s="651"/>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A217D-A104-449F-ADF7-38AE2D62508B}">
  <dimension ref="A1:Z207"/>
  <sheetViews>
    <sheetView topLeftCell="A106" workbookViewId="0">
      <selection activeCell="A143" sqref="A143:J143"/>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438</v>
      </c>
      <c r="B2" s="101"/>
      <c r="C2" s="101"/>
      <c r="D2" s="101"/>
      <c r="E2" s="6"/>
      <c r="F2" s="6"/>
      <c r="G2" s="6"/>
      <c r="H2" s="6"/>
      <c r="I2" s="686" t="str">
        <f>RIGHT(A2,4)</f>
        <v>2801</v>
      </c>
      <c r="J2" s="6"/>
      <c r="K2" s="6"/>
      <c r="L2" s="6"/>
      <c r="M2" s="6"/>
      <c r="N2" s="6"/>
      <c r="O2" s="6"/>
      <c r="P2" s="6"/>
      <c r="Q2" s="6"/>
      <c r="R2" s="898" t="str">
        <f>Revenue_Estimate_Worksheet_for___________Charter_School</f>
        <v>Revenue Estimate Worksheet: Palm Beach Maritime Academy Elementary - 2801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111.49</v>
      </c>
      <c r="D12" s="719">
        <f>SUMIFS(CountData!J:J,CountData!H:H,$I$2,CountData!I:I,$O12)</f>
        <v>105.01</v>
      </c>
      <c r="E12" s="804">
        <f t="shared" ref="E12:E27" si="0">IF($D$28=0,C12*2,C12+D12)</f>
        <v>216.5</v>
      </c>
      <c r="F12" s="804"/>
      <c r="G12" s="805">
        <f>Consolidated!$F14</f>
        <v>1.1080000000000001</v>
      </c>
      <c r="H12" s="805">
        <f>Consolidated!$H$9</f>
        <v>1</v>
      </c>
      <c r="I12" s="517">
        <f>ROUND(E12*G12,4)</f>
        <v>239.88200000000001</v>
      </c>
      <c r="J12" s="518">
        <f t="shared" ref="J12:J27" si="1">ROUND(ROUND(ROUND(I12*$E$6,4)*($I$6),2)*(MAX($I$7,1)),2)</f>
        <v>1334542.08</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25</v>
      </c>
      <c r="D13" s="357">
        <f>SUMIFS(CountData!J:J,CountData!H:H,$I$2,CountData!I:I,$O13)</f>
        <v>29.51</v>
      </c>
      <c r="E13" s="812">
        <f t="shared" si="0"/>
        <v>54.510000000000005</v>
      </c>
      <c r="F13" s="812"/>
      <c r="G13" s="813">
        <f>Consolidated!$F15</f>
        <v>1.1080000000000001</v>
      </c>
      <c r="H13" s="813">
        <f>Consolidated!$H$9</f>
        <v>1</v>
      </c>
      <c r="I13" s="517">
        <f t="shared" ref="I13:I27" si="3">ROUND(E13*G13,4)</f>
        <v>60.397100000000002</v>
      </c>
      <c r="J13" s="518">
        <f t="shared" si="1"/>
        <v>336008.84</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59.89</v>
      </c>
      <c r="D14" s="357">
        <f>SUMIFS(CountData!J:J,CountData!H:H,$I$2,CountData!I:I,$O14)</f>
        <v>57.85</v>
      </c>
      <c r="E14" s="812">
        <f t="shared" si="0"/>
        <v>117.74000000000001</v>
      </c>
      <c r="F14" s="812"/>
      <c r="G14" s="813">
        <f>Consolidated!$F16</f>
        <v>1</v>
      </c>
      <c r="H14" s="813">
        <f>Consolidated!$H$9</f>
        <v>1</v>
      </c>
      <c r="I14" s="517">
        <f t="shared" si="3"/>
        <v>117.74</v>
      </c>
      <c r="J14" s="518">
        <f>ROUND(ROUND(ROUND(I14*$E$6,4)*($I$6),2)*(MAX($I$7,1)),2)</f>
        <v>655026.16</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14</v>
      </c>
      <c r="D15" s="357">
        <f>SUMIFS(CountData!J:J,CountData!H:H,$I$2,CountData!I:I,$O15)</f>
        <v>14.98</v>
      </c>
      <c r="E15" s="812">
        <f t="shared" si="0"/>
        <v>28.98</v>
      </c>
      <c r="F15" s="812"/>
      <c r="G15" s="813">
        <f>Consolidated!$F17</f>
        <v>1</v>
      </c>
      <c r="H15" s="813">
        <f>Consolidated!$H$9</f>
        <v>1</v>
      </c>
      <c r="I15" s="517">
        <f t="shared" si="3"/>
        <v>28.98</v>
      </c>
      <c r="J15" s="518">
        <f t="shared" si="1"/>
        <v>161225.23000000001</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254</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255</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69.739999999999995</v>
      </c>
      <c r="D24" s="357">
        <f>SUMIFS(CountData!J:J,CountData!H:H,$I$2,CountData!I:I,$O24)</f>
        <v>68.02</v>
      </c>
      <c r="E24" s="812">
        <f t="shared" si="0"/>
        <v>137.76</v>
      </c>
      <c r="F24" s="812"/>
      <c r="G24" s="813">
        <f>Consolidated!$F26</f>
        <v>1.165</v>
      </c>
      <c r="H24" s="813">
        <f>Consolidated!$H$9</f>
        <v>1</v>
      </c>
      <c r="I24" s="517">
        <f t="shared" si="3"/>
        <v>160.49039999999999</v>
      </c>
      <c r="J24" s="518">
        <f t="shared" si="1"/>
        <v>892860.62</v>
      </c>
      <c r="M24" s="2"/>
      <c r="O24" s="2" t="str">
        <f>IF(O$7="E",LEFT(R$24,3),"")</f>
        <v>130</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280.12</v>
      </c>
      <c r="D28" s="720">
        <f>SUM(D12:D27)</f>
        <v>275.37</v>
      </c>
      <c r="E28" s="817">
        <f>SUM(E12:E27)</f>
        <v>555.49</v>
      </c>
      <c r="F28" s="817"/>
      <c r="G28" s="812"/>
      <c r="H28" s="812"/>
      <c r="I28" s="23">
        <f>SUM(I12:I27)</f>
        <v>607.48950000000002</v>
      </c>
      <c r="J28" s="121">
        <f>SUM(J12:J27)</f>
        <v>3379662.93</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607.48950000000002</v>
      </c>
      <c r="H33" s="812" t="s">
        <v>45</v>
      </c>
      <c r="I33" s="812"/>
      <c r="J33" s="32">
        <f>SUM(J32,J28)</f>
        <v>3379662.93</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3528287.76</v>
      </c>
      <c r="H36" s="37" t="s">
        <v>49</v>
      </c>
      <c r="I36" s="38">
        <v>6.6699999999999995E-2</v>
      </c>
      <c r="J36" s="125">
        <f>ROUND(G36*I36,2)</f>
        <v>235336.79</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3528287.76</v>
      </c>
      <c r="H37" s="37" t="s">
        <v>49</v>
      </c>
      <c r="I37" s="38">
        <v>5.4000000000000003E-3</v>
      </c>
      <c r="J37" s="125">
        <f>ROUND(G37*I37,2)</f>
        <v>19052.75</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254389.54</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24</v>
      </c>
      <c r="D41" s="357">
        <v>0</v>
      </c>
      <c r="E41" s="826">
        <f t="shared" ref="E41:E49" si="8">IF($D$50=0,C41*2,C41+D41)</f>
        <v>48</v>
      </c>
      <c r="F41" s="826"/>
      <c r="G41" s="37" t="s">
        <v>59</v>
      </c>
      <c r="H41" s="37">
        <v>251</v>
      </c>
      <c r="I41" s="130">
        <f>Consolidated!$H59</f>
        <v>1047</v>
      </c>
      <c r="J41" s="131">
        <f t="shared" ref="J41:J49" si="9">ROUND(E41*I41,2)</f>
        <v>50256</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1</v>
      </c>
      <c r="D42" s="357">
        <v>0</v>
      </c>
      <c r="E42" s="826">
        <f t="shared" si="8"/>
        <v>2</v>
      </c>
      <c r="F42" s="826"/>
      <c r="G42" s="37" t="s">
        <v>59</v>
      </c>
      <c r="H42" s="37">
        <v>252</v>
      </c>
      <c r="I42" s="130">
        <f>Consolidated!$H60</f>
        <v>3380</v>
      </c>
      <c r="J42" s="131">
        <f t="shared" si="9"/>
        <v>6760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131">
        <f t="shared" si="9"/>
        <v>0</v>
      </c>
      <c r="M43" s="2"/>
      <c r="R43" s="885"/>
      <c r="S43" s="885"/>
      <c r="T43" s="867"/>
      <c r="U43" s="867"/>
      <c r="V43" s="167" t="s">
        <v>59</v>
      </c>
      <c r="W43" s="167">
        <v>253</v>
      </c>
      <c r="X43" s="128">
        <f>Consolidated!$H61</f>
        <v>6896</v>
      </c>
      <c r="Y43" s="218">
        <f t="shared" si="10"/>
        <v>0</v>
      </c>
    </row>
    <row r="44" spans="1:25" x14ac:dyDescent="0.25">
      <c r="A44" s="825"/>
      <c r="B44" s="825"/>
      <c r="C44" s="357">
        <v>13.5</v>
      </c>
      <c r="D44" s="357">
        <v>0</v>
      </c>
      <c r="E44" s="826">
        <f t="shared" si="8"/>
        <v>27</v>
      </c>
      <c r="F44" s="826"/>
      <c r="G44" s="47" t="s">
        <v>60</v>
      </c>
      <c r="H44" s="37">
        <v>251</v>
      </c>
      <c r="I44" s="130">
        <f>Consolidated!$H62</f>
        <v>1173</v>
      </c>
      <c r="J44" s="131">
        <f t="shared" si="9"/>
        <v>31671</v>
      </c>
      <c r="L44" s="3"/>
      <c r="M44" s="2"/>
      <c r="Q44" s="4"/>
      <c r="R44" s="885"/>
      <c r="S44" s="885"/>
      <c r="T44" s="867"/>
      <c r="U44" s="867"/>
      <c r="V44" s="176" t="s">
        <v>60</v>
      </c>
      <c r="W44" s="167">
        <v>251</v>
      </c>
      <c r="X44" s="128">
        <f>Consolidated!$H62</f>
        <v>1173</v>
      </c>
      <c r="Y44" s="218">
        <f t="shared" si="10"/>
        <v>0</v>
      </c>
    </row>
    <row r="45" spans="1:25" x14ac:dyDescent="0.25">
      <c r="A45" s="825"/>
      <c r="B45" s="825"/>
      <c r="C45" s="357">
        <v>0.5</v>
      </c>
      <c r="D45" s="357">
        <v>0</v>
      </c>
      <c r="E45" s="826">
        <f t="shared" si="8"/>
        <v>1</v>
      </c>
      <c r="F45" s="826"/>
      <c r="G45" s="47" t="s">
        <v>60</v>
      </c>
      <c r="H45" s="37">
        <v>252</v>
      </c>
      <c r="I45" s="130">
        <f>Consolidated!$H63</f>
        <v>3506</v>
      </c>
      <c r="J45" s="46">
        <f t="shared" si="9"/>
        <v>3506</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46">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631">
        <f>SUM(C41:C49)</f>
        <v>39</v>
      </c>
      <c r="D50" s="631">
        <f>SUM(D41:D49)</f>
        <v>0</v>
      </c>
      <c r="E50" s="832">
        <f>SUM(E41:E49)</f>
        <v>78</v>
      </c>
      <c r="F50" s="832"/>
      <c r="G50" s="818" t="s">
        <v>63</v>
      </c>
      <c r="H50" s="818"/>
      <c r="I50" s="818"/>
      <c r="J50" s="225">
        <f>SUM(J41:J49)</f>
        <v>92193</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555.49</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2.673E-3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607.48950000000002</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2.7469999999999999E-3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555.49</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3.104E-3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555.49</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2.6779999999999998E-3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555.49</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3.1099999999999999E-3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2.6779999999999998E-3</v>
      </c>
      <c r="J68" s="132">
        <f>ROUND(G68*I68,2)</f>
        <v>122196.05</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2.673E-3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3.1099999999999999E-3</v>
      </c>
      <c r="J71" s="132">
        <f>ROUND(G71*I71,2)</f>
        <v>58884.92</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3.104E-3</v>
      </c>
      <c r="J72" s="132">
        <f>ROUND(G72*I72,2)</f>
        <v>35075.24</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2.7469999999999999E-3</v>
      </c>
      <c r="J85" s="132">
        <f>ROUND(G85*I85,2)</f>
        <v>738438.32</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2.7469999999999999E-3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2.673E-3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460.76949999999999</v>
      </c>
      <c r="C90" s="80"/>
      <c r="D90" s="894">
        <f>I6</f>
        <v>1.0355000000000001</v>
      </c>
      <c r="E90" s="894"/>
      <c r="F90" s="894"/>
      <c r="G90" s="117">
        <f>Consolidated!F$118</f>
        <v>958.42</v>
      </c>
      <c r="H90" s="47" t="s">
        <v>68</v>
      </c>
      <c r="I90" s="135">
        <f>ROUND(B90*D90*G90,2)</f>
        <v>457287.88</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146.72</v>
      </c>
      <c r="C91" s="80"/>
      <c r="D91" s="894">
        <f>I6</f>
        <v>1.0355000000000001</v>
      </c>
      <c r="E91" s="894"/>
      <c r="F91" s="894"/>
      <c r="G91" s="117">
        <f>Consolidated!F$119</f>
        <v>915.09</v>
      </c>
      <c r="H91" s="47" t="s">
        <v>68</v>
      </c>
      <c r="I91" s="134">
        <f>ROUND(B91*D91*G91,2)</f>
        <v>139028.31</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607.48950000000002</v>
      </c>
      <c r="C93" s="80"/>
      <c r="D93" s="80"/>
      <c r="E93" s="846" t="s">
        <v>112</v>
      </c>
      <c r="F93" s="846"/>
      <c r="G93" s="846"/>
      <c r="H93" s="846"/>
      <c r="I93" s="846"/>
      <c r="J93" s="121">
        <f>IF(A1=75,0,I92+I91+I90)</f>
        <v>596316.18999999994</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224</v>
      </c>
      <c r="D97" s="228">
        <v>0</v>
      </c>
      <c r="E97" s="919">
        <f>(C97+D97)</f>
        <v>224</v>
      </c>
      <c r="F97" s="919"/>
      <c r="G97" s="919"/>
      <c r="H97" s="85" t="s">
        <v>117</v>
      </c>
      <c r="I97" s="124">
        <f>Consolidated!G$127</f>
        <v>586</v>
      </c>
      <c r="J97" s="132">
        <f>ROUND(I97*E97,2)</f>
        <v>131264</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9">
        <f>(C98+D98)/2</f>
        <v>0</v>
      </c>
      <c r="F98" s="919"/>
      <c r="G98" s="919"/>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818" t="s">
        <v>125</v>
      </c>
      <c r="B107" s="818"/>
      <c r="C107" s="818"/>
      <c r="D107" s="818"/>
      <c r="E107" s="818"/>
      <c r="F107" s="818"/>
      <c r="G107" s="818"/>
      <c r="H107" s="818"/>
      <c r="I107" s="818"/>
      <c r="J107" s="519">
        <f>SUM(J106,J105,J98,J97,J93,J86,J85,J71,J70,J68,J33,J72,J50,J87,J84)</f>
        <v>5154030.6500000004</v>
      </c>
      <c r="L107" s="516"/>
      <c r="R107" s="739" t="s">
        <v>125</v>
      </c>
      <c r="S107" s="739"/>
      <c r="T107" s="739"/>
      <c r="U107" s="739"/>
      <c r="V107" s="739"/>
      <c r="W107" s="739"/>
      <c r="X107" s="739"/>
      <c r="Y107" s="213">
        <f>SUM(Y106,Y105,Y97,Y96,Y93,Y86,Y85,Y84,Y70,Y69,Y67,Y33,Y71,Y50,Y87,Y83)</f>
        <v>0</v>
      </c>
    </row>
    <row r="108" spans="1:25" ht="15.75" customHeight="1" thickTop="1" x14ac:dyDescent="0.25">
      <c r="A108" s="821"/>
      <c r="B108" s="821"/>
      <c r="C108" s="821"/>
      <c r="D108" s="821"/>
      <c r="E108" s="821"/>
      <c r="F108" s="821"/>
      <c r="G108" s="821"/>
      <c r="H108" s="821"/>
      <c r="I108" s="821"/>
      <c r="J108" s="821"/>
      <c r="R108" s="834"/>
      <c r="S108" s="834"/>
      <c r="T108" s="834"/>
      <c r="U108" s="834"/>
      <c r="V108" s="834"/>
      <c r="W108" s="834"/>
      <c r="X108" s="834"/>
      <c r="Y108" s="834"/>
    </row>
    <row r="109" spans="1:25" ht="17.25" customHeight="1" thickBot="1" x14ac:dyDescent="0.3">
      <c r="A109" s="820" t="s">
        <v>131</v>
      </c>
      <c r="B109" s="820"/>
      <c r="C109" s="820"/>
      <c r="D109" s="820"/>
      <c r="E109" s="820"/>
      <c r="F109" s="821"/>
      <c r="G109" s="821"/>
      <c r="H109" s="821"/>
      <c r="I109" s="2" t="s">
        <v>132</v>
      </c>
      <c r="J109" s="521">
        <f>J107-J38</f>
        <v>4899641.1100000003</v>
      </c>
      <c r="R109" s="164" t="s">
        <v>176</v>
      </c>
      <c r="S109" s="164"/>
      <c r="T109" s="164"/>
      <c r="U109" s="164"/>
      <c r="V109" s="164"/>
      <c r="W109" s="164"/>
      <c r="X109" s="164"/>
      <c r="Y109" s="214">
        <f>Y107-Y38</f>
        <v>0</v>
      </c>
    </row>
    <row r="110" spans="1:25" ht="18.75" customHeight="1" thickTop="1" x14ac:dyDescent="0.25">
      <c r="A110" s="820" t="s">
        <v>133</v>
      </c>
      <c r="B110" s="820"/>
      <c r="C110" s="820"/>
      <c r="D110" s="820"/>
      <c r="E110" s="820"/>
      <c r="F110" s="820"/>
      <c r="G110" s="820"/>
      <c r="H110" s="820"/>
      <c r="I110" s="42" t="s">
        <v>134</v>
      </c>
      <c r="J110" s="72"/>
      <c r="R110" s="830" t="s">
        <v>136</v>
      </c>
      <c r="S110" s="830"/>
      <c r="T110" s="830"/>
      <c r="U110" s="830"/>
      <c r="V110" s="830"/>
      <c r="W110" s="830"/>
      <c r="X110" s="830"/>
      <c r="Y110" s="830"/>
    </row>
    <row r="111" spans="1:25" ht="15.75" customHeight="1" x14ac:dyDescent="0.25">
      <c r="A111" s="827" t="s">
        <v>135</v>
      </c>
      <c r="B111" s="827"/>
      <c r="C111" s="827"/>
      <c r="D111" s="827"/>
      <c r="E111" s="827"/>
      <c r="F111" s="827"/>
      <c r="G111" s="827"/>
      <c r="H111" s="827"/>
      <c r="I111" s="229"/>
      <c r="J111" s="46">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638"/>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I114" s="639">
        <f>IF(I111=1,J111,J109)</f>
        <v>4899641.1100000003</v>
      </c>
      <c r="J114" s="640">
        <f>ROUND(IF(E28=0,0,IF(E28&gt;250,-(((250/E28)*I114)*IF(H113="H",0.02,0.05)),IF(H113="H",-0.02*I114,-0.05*I114))),2)</f>
        <v>-110254.94</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5043775.71</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641"/>
      <c r="I118" s="642"/>
      <c r="J118" s="647">
        <f>-'Cumulative Payments'!R80</f>
        <v>-4279929.3400000008</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763846.36999999918</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381923.19</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ROUND(IF(H113="H",(I114*0.02)+J114,(I114*0.05)+J114),2)</f>
        <v>134727.12</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E7AE6-C6F5-4909-B26E-8392DA3E0EDD}">
  <dimension ref="A1:Z207"/>
  <sheetViews>
    <sheetView topLeftCell="A113" workbookViewId="0">
      <selection activeCell="J120" sqref="J120"/>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439</v>
      </c>
      <c r="B2" s="101"/>
      <c r="C2" s="101"/>
      <c r="D2" s="101"/>
      <c r="E2" s="6"/>
      <c r="F2" s="6"/>
      <c r="G2" s="6"/>
      <c r="H2" s="6"/>
      <c r="I2" s="686" t="str">
        <f>RIGHT(A2,4)</f>
        <v>2911</v>
      </c>
      <c r="J2" s="6"/>
      <c r="K2" s="6"/>
      <c r="L2" s="6"/>
      <c r="M2" s="6"/>
      <c r="N2" s="6"/>
      <c r="O2" s="6"/>
      <c r="P2" s="6"/>
      <c r="Q2" s="6"/>
      <c r="R2" s="898" t="str">
        <f>Revenue_Estimate_Worksheet_for___________Charter_School</f>
        <v>Revenue Estimate Worksheet: Western Academy Charter School - 2911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129.36000000000001</v>
      </c>
      <c r="D12" s="719">
        <f>SUMIFS(CountData!J:J,CountData!H:H,$I$2,CountData!I:I,$O12)</f>
        <v>128.4</v>
      </c>
      <c r="E12" s="804">
        <f t="shared" ref="E12:E27" si="0">IF($D$28=0,C12*2,C12+D12)</f>
        <v>257.76</v>
      </c>
      <c r="F12" s="804"/>
      <c r="G12" s="805">
        <f>Consolidated!$F14</f>
        <v>1.1080000000000001</v>
      </c>
      <c r="H12" s="805">
        <f>Consolidated!$H$9</f>
        <v>1</v>
      </c>
      <c r="I12" s="517">
        <f>ROUND(E12*G12,4)</f>
        <v>285.59809999999999</v>
      </c>
      <c r="J12" s="518">
        <f t="shared" ref="J12:J27" si="1">ROUND(ROUND(ROUND(I12*$E$6,4)*($I$6),2)*(MAX($I$7,1)),2)</f>
        <v>1588875.71</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30.54</v>
      </c>
      <c r="D13" s="357">
        <f>SUMIFS(CountData!J:J,CountData!H:H,$I$2,CountData!I:I,$O13)</f>
        <v>31.53</v>
      </c>
      <c r="E13" s="812">
        <f t="shared" si="0"/>
        <v>62.07</v>
      </c>
      <c r="F13" s="812"/>
      <c r="G13" s="813">
        <f>Consolidated!$F15</f>
        <v>1.1080000000000001</v>
      </c>
      <c r="H13" s="813">
        <f>Consolidated!$H$9</f>
        <v>1</v>
      </c>
      <c r="I13" s="517">
        <f t="shared" ref="I13:I27" si="3">ROUND(E13*G13,4)</f>
        <v>68.773600000000002</v>
      </c>
      <c r="J13" s="518">
        <f t="shared" si="1"/>
        <v>382610.05</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171.22</v>
      </c>
      <c r="D14" s="357">
        <f>SUMIFS(CountData!J:J,CountData!H:H,$I$2,CountData!I:I,$O14)</f>
        <v>167.87</v>
      </c>
      <c r="E14" s="812">
        <f t="shared" si="0"/>
        <v>339.09000000000003</v>
      </c>
      <c r="F14" s="812"/>
      <c r="G14" s="813">
        <f>Consolidated!$F16</f>
        <v>1</v>
      </c>
      <c r="H14" s="813">
        <f>Consolidated!$H$9</f>
        <v>1</v>
      </c>
      <c r="I14" s="517">
        <f t="shared" si="3"/>
        <v>339.09</v>
      </c>
      <c r="J14" s="518">
        <f>ROUND(ROUND(ROUND(I14*$E$6,4)*($I$6),2)*(MAX($I$7,1)),2)</f>
        <v>1886468.65</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53.71</v>
      </c>
      <c r="D15" s="357">
        <f>SUMIFS(CountData!J:J,CountData!H:H,$I$2,CountData!I:I,$O15)</f>
        <v>53.45</v>
      </c>
      <c r="E15" s="812">
        <f t="shared" si="0"/>
        <v>107.16</v>
      </c>
      <c r="F15" s="812"/>
      <c r="G15" s="813">
        <f>Consolidated!$F17</f>
        <v>1</v>
      </c>
      <c r="H15" s="813">
        <f>Consolidated!$H$9</f>
        <v>1</v>
      </c>
      <c r="I15" s="517">
        <f t="shared" si="3"/>
        <v>107.16</v>
      </c>
      <c r="J15" s="518">
        <f t="shared" si="1"/>
        <v>596166.15</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5.76</v>
      </c>
      <c r="D25" s="357">
        <f>SUMIFS(CountData!J:J,CountData!H:H,$I$2,CountData!I:I,$O25)</f>
        <v>6.69</v>
      </c>
      <c r="E25" s="812">
        <f t="shared" si="0"/>
        <v>12.45</v>
      </c>
      <c r="F25" s="812"/>
      <c r="G25" s="813">
        <f>Consolidated!$F27</f>
        <v>1.165</v>
      </c>
      <c r="H25" s="813">
        <f>Consolidated!$H$9</f>
        <v>1</v>
      </c>
      <c r="I25" s="517">
        <f t="shared" si="3"/>
        <v>14.504300000000001</v>
      </c>
      <c r="J25" s="518">
        <f t="shared" si="1"/>
        <v>80692.17</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390.59</v>
      </c>
      <c r="D28" s="720">
        <f>SUM(D12:D27)</f>
        <v>387.94</v>
      </c>
      <c r="E28" s="817">
        <f>SUM(E12:E27)</f>
        <v>778.53000000000009</v>
      </c>
      <c r="F28" s="817"/>
      <c r="G28" s="812"/>
      <c r="H28" s="812"/>
      <c r="I28" s="23">
        <f>SUM(I12:I27)</f>
        <v>815.12599999999998</v>
      </c>
      <c r="J28" s="121">
        <f>SUM(J12:J27)</f>
        <v>4534812.7300000004</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815.12599999999998</v>
      </c>
      <c r="H33" s="812" t="s">
        <v>45</v>
      </c>
      <c r="I33" s="812"/>
      <c r="J33" s="32">
        <f>SUM(J32,J28)</f>
        <v>4534812.7300000004</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4130359.4</v>
      </c>
      <c r="H36" s="37" t="s">
        <v>49</v>
      </c>
      <c r="I36" s="38">
        <v>6.6699999999999995E-2</v>
      </c>
      <c r="J36" s="125">
        <f>ROUND(G36*I36,2)</f>
        <v>275494.96999999997</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4130359.4</v>
      </c>
      <c r="H37" s="37" t="s">
        <v>49</v>
      </c>
      <c r="I37" s="38">
        <v>5.4000000000000003E-3</v>
      </c>
      <c r="J37" s="125">
        <f>ROUND(G37*I37,2)</f>
        <v>22303.94</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297798.90999999997</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25.5</v>
      </c>
      <c r="D41" s="357">
        <v>0</v>
      </c>
      <c r="E41" s="826">
        <f t="shared" ref="E41:E49" si="8">IF($D$50=0,C41*2,C41+D41)</f>
        <v>51</v>
      </c>
      <c r="F41" s="826"/>
      <c r="G41" s="37" t="s">
        <v>59</v>
      </c>
      <c r="H41" s="37">
        <v>251</v>
      </c>
      <c r="I41" s="130">
        <f>Consolidated!$H59</f>
        <v>1047</v>
      </c>
      <c r="J41" s="46">
        <f t="shared" ref="J41:J49" si="9">ROUND(E41*I41,2)</f>
        <v>53397</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5</v>
      </c>
      <c r="D42" s="357">
        <v>0</v>
      </c>
      <c r="E42" s="826">
        <f t="shared" si="8"/>
        <v>10</v>
      </c>
      <c r="F42" s="826"/>
      <c r="G42" s="37" t="s">
        <v>59</v>
      </c>
      <c r="H42" s="37">
        <v>252</v>
      </c>
      <c r="I42" s="130">
        <f>Consolidated!$H60</f>
        <v>3380</v>
      </c>
      <c r="J42" s="46">
        <f t="shared" si="9"/>
        <v>33800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x14ac:dyDescent="0.25">
      <c r="A44" s="825"/>
      <c r="B44" s="825"/>
      <c r="C44" s="357">
        <v>46.18</v>
      </c>
      <c r="D44" s="357">
        <v>0</v>
      </c>
      <c r="E44" s="826">
        <f t="shared" si="8"/>
        <v>92.36</v>
      </c>
      <c r="F44" s="826"/>
      <c r="G44" s="47" t="s">
        <v>60</v>
      </c>
      <c r="H44" s="37">
        <v>251</v>
      </c>
      <c r="I44" s="130">
        <f>Consolidated!$H62</f>
        <v>1173</v>
      </c>
      <c r="J44" s="131">
        <f t="shared" si="9"/>
        <v>108338.28</v>
      </c>
      <c r="L44" s="3"/>
      <c r="M44" s="2"/>
      <c r="Q44" s="4"/>
      <c r="R44" s="885"/>
      <c r="S44" s="885"/>
      <c r="T44" s="867"/>
      <c r="U44" s="867"/>
      <c r="V44" s="176" t="s">
        <v>60</v>
      </c>
      <c r="W44" s="167">
        <v>251</v>
      </c>
      <c r="X44" s="128">
        <f>Consolidated!$H62</f>
        <v>1173</v>
      </c>
      <c r="Y44" s="218">
        <f t="shared" si="10"/>
        <v>0</v>
      </c>
    </row>
    <row r="45" spans="1:25" x14ac:dyDescent="0.25">
      <c r="A45" s="825"/>
      <c r="B45" s="825"/>
      <c r="C45" s="357">
        <v>7.14</v>
      </c>
      <c r="D45" s="357">
        <v>0</v>
      </c>
      <c r="E45" s="826">
        <f t="shared" si="8"/>
        <v>14.28</v>
      </c>
      <c r="F45" s="826"/>
      <c r="G45" s="47" t="s">
        <v>60</v>
      </c>
      <c r="H45" s="37">
        <v>252</v>
      </c>
      <c r="I45" s="130">
        <f>Consolidated!$H63</f>
        <v>3506</v>
      </c>
      <c r="J45" s="46">
        <f t="shared" si="9"/>
        <v>50065.68</v>
      </c>
      <c r="M45" s="2"/>
      <c r="R45" s="885"/>
      <c r="S45" s="885"/>
      <c r="T45" s="867"/>
      <c r="U45" s="867"/>
      <c r="V45" s="176" t="s">
        <v>60</v>
      </c>
      <c r="W45" s="167">
        <v>252</v>
      </c>
      <c r="X45" s="128">
        <f>Consolidated!$H63</f>
        <v>3506</v>
      </c>
      <c r="Y45" s="218">
        <f t="shared" si="10"/>
        <v>0</v>
      </c>
    </row>
    <row r="46" spans="1:25" x14ac:dyDescent="0.25">
      <c r="A46" s="825"/>
      <c r="B46" s="825"/>
      <c r="C46" s="357">
        <v>0.51</v>
      </c>
      <c r="D46" s="357">
        <v>0</v>
      </c>
      <c r="E46" s="826">
        <f t="shared" si="8"/>
        <v>1.02</v>
      </c>
      <c r="F46" s="826"/>
      <c r="G46" s="47" t="s">
        <v>60</v>
      </c>
      <c r="H46" s="37">
        <v>253</v>
      </c>
      <c r="I46" s="130">
        <f>Consolidated!$H64</f>
        <v>7023</v>
      </c>
      <c r="J46" s="46">
        <f t="shared" si="9"/>
        <v>7163.46</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46">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33">
        <f>SUM(C41:C49)</f>
        <v>84.330000000000013</v>
      </c>
      <c r="D50" s="33">
        <f>SUM(D41:D49)</f>
        <v>0</v>
      </c>
      <c r="E50" s="832">
        <f>SUM(E41:E49)</f>
        <v>168.66000000000003</v>
      </c>
      <c r="F50" s="832"/>
      <c r="G50" s="818" t="s">
        <v>63</v>
      </c>
      <c r="H50" s="818"/>
      <c r="I50" s="818"/>
      <c r="J50" s="225">
        <f>SUM(J41:J49)</f>
        <v>252764.41999999998</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778.53000000000009</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3.7469999999999999E-3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815.12599999999998</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3.6849999999999999E-3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778.53000000000009</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4.3509999999999998E-3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778.53000000000009</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3.7529999999999998E-3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778.53000000000009</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4.359E-3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3.7529999999999998E-3</v>
      </c>
      <c r="J68" s="132">
        <f>ROUND(G68*I68,2)</f>
        <v>171247.86</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3.7469999999999999E-3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4.359E-3</v>
      </c>
      <c r="J71" s="132">
        <f>ROUND(G71*I71,2)</f>
        <v>82533.56</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4.3509999999999998E-3</v>
      </c>
      <c r="J72" s="132">
        <f>ROUND(G72*I72,2)</f>
        <v>49166.35</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3.6849999999999999E-3</v>
      </c>
      <c r="J85" s="132">
        <f>ROUND(G85*I85,2)</f>
        <v>990587.98</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3.6849999999999999E-3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3.7469999999999999E-3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354.37169999999998</v>
      </c>
      <c r="C90" s="80"/>
      <c r="D90" s="894">
        <f>I6</f>
        <v>1.0355000000000001</v>
      </c>
      <c r="E90" s="894"/>
      <c r="F90" s="894"/>
      <c r="G90" s="117">
        <f>Consolidated!F$118</f>
        <v>958.42</v>
      </c>
      <c r="H90" s="47" t="s">
        <v>68</v>
      </c>
      <c r="I90" s="135">
        <f>ROUND(B90*D90*G90,2)</f>
        <v>351694.04</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460.7543</v>
      </c>
      <c r="C91" s="80"/>
      <c r="D91" s="894">
        <f>I6</f>
        <v>1.0355000000000001</v>
      </c>
      <c r="E91" s="894"/>
      <c r="F91" s="894"/>
      <c r="G91" s="117">
        <f>Consolidated!F$119</f>
        <v>915.09</v>
      </c>
      <c r="H91" s="47" t="s">
        <v>68</v>
      </c>
      <c r="I91" s="134">
        <f>ROUND(B91*D91*G91,2)</f>
        <v>436599.58</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815.12599999999998</v>
      </c>
      <c r="C93" s="80"/>
      <c r="D93" s="80"/>
      <c r="E93" s="846" t="s">
        <v>112</v>
      </c>
      <c r="F93" s="846"/>
      <c r="G93" s="846"/>
      <c r="H93" s="846"/>
      <c r="I93" s="846"/>
      <c r="J93" s="121">
        <f>IF(A1=75,0,I92+I91+I90)</f>
        <v>788293.62</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0</v>
      </c>
      <c r="D97" s="228">
        <v>0</v>
      </c>
      <c r="E97" s="913">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818" t="s">
        <v>125</v>
      </c>
      <c r="B107" s="818"/>
      <c r="C107" s="818"/>
      <c r="D107" s="818"/>
      <c r="E107" s="818"/>
      <c r="F107" s="818"/>
      <c r="G107" s="818"/>
      <c r="H107" s="818"/>
      <c r="I107" s="818"/>
      <c r="J107" s="519">
        <f>SUM(J106,J105,J98,J97,J93,J86,J85,J71,J70,J68,J33,J72,J50,J87,J84)</f>
        <v>6869406.5199999996</v>
      </c>
      <c r="L107" s="516"/>
      <c r="R107" s="739" t="s">
        <v>125</v>
      </c>
      <c r="S107" s="739"/>
      <c r="T107" s="739"/>
      <c r="U107" s="739"/>
      <c r="V107" s="739"/>
      <c r="W107" s="739"/>
      <c r="X107" s="739"/>
      <c r="Y107" s="213">
        <f>SUM(Y106,Y105,Y97,Y96,Y93,Y86,Y85,Y84,Y70,Y69,Y67,Y33,Y71,Y50,Y87,Y83)</f>
        <v>0</v>
      </c>
    </row>
    <row r="108" spans="1:25" ht="15.75" customHeight="1" thickTop="1" x14ac:dyDescent="0.25">
      <c r="A108" s="821"/>
      <c r="B108" s="821"/>
      <c r="C108" s="821"/>
      <c r="D108" s="821"/>
      <c r="E108" s="821"/>
      <c r="F108" s="821"/>
      <c r="G108" s="821"/>
      <c r="H108" s="821"/>
      <c r="I108" s="821"/>
      <c r="J108" s="821"/>
      <c r="R108" s="834"/>
      <c r="S108" s="834"/>
      <c r="T108" s="834"/>
      <c r="U108" s="834"/>
      <c r="V108" s="834"/>
      <c r="W108" s="834"/>
      <c r="X108" s="834"/>
      <c r="Y108" s="834"/>
    </row>
    <row r="109" spans="1:25" ht="17.25" customHeight="1" thickBot="1" x14ac:dyDescent="0.3">
      <c r="A109" s="820" t="s">
        <v>131</v>
      </c>
      <c r="B109" s="820"/>
      <c r="C109" s="820"/>
      <c r="D109" s="820"/>
      <c r="E109" s="820"/>
      <c r="F109" s="821"/>
      <c r="G109" s="821"/>
      <c r="H109" s="821"/>
      <c r="I109" s="2" t="s">
        <v>132</v>
      </c>
      <c r="J109" s="521">
        <f>J107-J38</f>
        <v>6571607.6099999994</v>
      </c>
      <c r="R109" s="164" t="s">
        <v>176</v>
      </c>
      <c r="S109" s="164"/>
      <c r="T109" s="164"/>
      <c r="U109" s="164"/>
      <c r="V109" s="164"/>
      <c r="W109" s="164"/>
      <c r="X109" s="164"/>
      <c r="Y109" s="214">
        <f>Y107-Y38</f>
        <v>0</v>
      </c>
    </row>
    <row r="110" spans="1:25" ht="18.75" customHeight="1" thickTop="1" x14ac:dyDescent="0.25">
      <c r="A110" s="820" t="s">
        <v>133</v>
      </c>
      <c r="B110" s="820"/>
      <c r="C110" s="820"/>
      <c r="D110" s="820"/>
      <c r="E110" s="820"/>
      <c r="F110" s="820"/>
      <c r="G110" s="820"/>
      <c r="H110" s="820"/>
      <c r="I110" s="42" t="s">
        <v>134</v>
      </c>
      <c r="J110" s="72"/>
      <c r="R110" s="830" t="s">
        <v>136</v>
      </c>
      <c r="S110" s="830"/>
      <c r="T110" s="830"/>
      <c r="U110" s="830"/>
      <c r="V110" s="830"/>
      <c r="W110" s="830"/>
      <c r="X110" s="830"/>
      <c r="Y110" s="830"/>
    </row>
    <row r="111" spans="1:25" ht="15.75" customHeight="1" x14ac:dyDescent="0.25">
      <c r="A111" s="827" t="s">
        <v>135</v>
      </c>
      <c r="B111" s="827"/>
      <c r="C111" s="827"/>
      <c r="D111" s="827"/>
      <c r="E111" s="827"/>
      <c r="F111" s="827"/>
      <c r="G111" s="827"/>
      <c r="H111" s="827"/>
      <c r="I111" s="229"/>
      <c r="J111" s="46">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638" t="s">
        <v>431</v>
      </c>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I114" s="639">
        <f>IF(I111=1,J111,J109)</f>
        <v>6571607.6099999994</v>
      </c>
      <c r="J114" s="640">
        <f>ROUND(IF(E28=0,0,IF(E28&gt;250,-(((250/E28)*I114)*IF(H113="H",0.02,0.05)),IF(H113="H",-0.02*I114,-0.05*I114))),2)</f>
        <v>-42205.23</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6827201.2899999991</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641"/>
      <c r="I118" s="642"/>
      <c r="J118" s="647">
        <f>-'Cumulative Payments'!R81</f>
        <v>-5546346.7000000002</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1280854.5899999989</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640427.29</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ROUND(IF(H113="H",(I114*0.02)+J114,(I114*0.05)+J114),2)</f>
        <v>89226.92</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642"/>
      <c r="I127" s="651"/>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982B0-15F7-4F21-969B-FF7A76B8FA8F}">
  <dimension ref="A1:Z207"/>
  <sheetViews>
    <sheetView topLeftCell="A105" workbookViewId="0">
      <selection activeCell="A5" sqref="A5:J5"/>
    </sheetView>
  </sheetViews>
  <sheetFormatPr defaultRowHeight="15.75" x14ac:dyDescent="0.25"/>
  <cols>
    <col min="1" max="1" width="13" style="42" customWidth="1"/>
    <col min="2" max="2" width="37.7109375" style="2" bestFit="1"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440</v>
      </c>
      <c r="B2" s="101"/>
      <c r="C2" s="101"/>
      <c r="D2" s="101"/>
      <c r="E2" s="6"/>
      <c r="F2" s="6"/>
      <c r="G2" s="6"/>
      <c r="H2" s="6"/>
      <c r="I2" s="686" t="str">
        <f>RIGHT(A2,4)</f>
        <v>2941</v>
      </c>
      <c r="J2" s="6"/>
      <c r="K2" s="6"/>
      <c r="L2" s="6"/>
      <c r="M2" s="6"/>
      <c r="N2" s="6"/>
      <c r="O2" s="6"/>
      <c r="P2" s="6"/>
      <c r="Q2" s="6"/>
      <c r="R2" s="898" t="str">
        <f>Revenue_Estimate_Worksheet_for___________Charter_School</f>
        <v>Revenue Estimate Worksheet: Palm Beach School for Autism - 2941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0.5</v>
      </c>
      <c r="D12" s="719">
        <f>SUMIFS(CountData!J:J,CountData!H:H,$I$2,CountData!I:I,$O12)</f>
        <v>0</v>
      </c>
      <c r="E12" s="804">
        <f t="shared" ref="E12:E27" si="0">IF($D$28=0,C12*2,C12+D12)</f>
        <v>0.5</v>
      </c>
      <c r="F12" s="804"/>
      <c r="G12" s="805">
        <f>Consolidated!$F14</f>
        <v>1.1080000000000001</v>
      </c>
      <c r="H12" s="805">
        <f>Consolidated!$H$9</f>
        <v>1</v>
      </c>
      <c r="I12" s="517">
        <f>ROUND(E12*G12,4)</f>
        <v>0.55400000000000005</v>
      </c>
      <c r="J12" s="518">
        <f t="shared" ref="J12:J27" si="1">ROUND(ROUND(ROUND(I12*$E$6,4)*($I$6),2)*(MAX($I$7,1)),2)</f>
        <v>3082.08</v>
      </c>
      <c r="L12" s="21"/>
      <c r="M12" s="2"/>
      <c r="O12" s="2" t="str">
        <f t="shared" ref="O12:O17" si="2">LEFT(R12,3)</f>
        <v>101</v>
      </c>
      <c r="R12" s="891" t="s">
        <v>20</v>
      </c>
      <c r="S12" s="891"/>
      <c r="T12" s="876">
        <f>IF($I$111=1,E12,0)</f>
        <v>0.5</v>
      </c>
      <c r="U12" s="876"/>
      <c r="V12" s="892">
        <v>1</v>
      </c>
      <c r="W12" s="892"/>
      <c r="X12" s="150">
        <f>ROUND(T12*V12,4)</f>
        <v>0.5</v>
      </c>
      <c r="Y12" s="217">
        <f>ROUND(ROUND(ROUND(X12*$E$6,4)*($I$6),2)*(MAX($I$7,1)),2)</f>
        <v>2781.66</v>
      </c>
    </row>
    <row r="13" spans="1:25" x14ac:dyDescent="0.25">
      <c r="A13" s="738" t="s">
        <v>21</v>
      </c>
      <c r="B13" s="738"/>
      <c r="C13" s="357">
        <f>SUMIFS(CountData!D:D,CountData!B:B,$I$2,CountData!C:C,$O13)</f>
        <v>7.5</v>
      </c>
      <c r="D13" s="357">
        <f>SUMIFS(CountData!J:J,CountData!H:H,$I$2,CountData!I:I,$O13)</f>
        <v>5</v>
      </c>
      <c r="E13" s="812">
        <f t="shared" si="0"/>
        <v>12.5</v>
      </c>
      <c r="F13" s="812"/>
      <c r="G13" s="813">
        <f>Consolidated!$F15</f>
        <v>1.1080000000000001</v>
      </c>
      <c r="H13" s="813">
        <f>Consolidated!$H$9</f>
        <v>1</v>
      </c>
      <c r="I13" s="517">
        <f t="shared" ref="I13:I27" si="3">ROUND(E13*G13,4)</f>
        <v>13.85</v>
      </c>
      <c r="J13" s="518">
        <f t="shared" si="1"/>
        <v>77052.08</v>
      </c>
      <c r="L13" s="21"/>
      <c r="M13" s="2"/>
      <c r="O13" s="2" t="str">
        <f t="shared" si="2"/>
        <v>111</v>
      </c>
      <c r="R13" s="737" t="s">
        <v>21</v>
      </c>
      <c r="S13" s="737"/>
      <c r="T13" s="876">
        <f t="shared" ref="T13:T27" si="4">IF($I$111=1,E13,0)</f>
        <v>12.5</v>
      </c>
      <c r="U13" s="876"/>
      <c r="V13" s="875">
        <v>1</v>
      </c>
      <c r="W13" s="875"/>
      <c r="X13" s="150">
        <f t="shared" ref="X13:X27" si="5">ROUND(T13*V13,4)</f>
        <v>12.5</v>
      </c>
      <c r="Y13" s="217">
        <f t="shared" ref="Y13" si="6">ROUND(ROUND(ROUND(X13*$E$6,4)*($I$6),2)*(MAX($I$7,1)),2)</f>
        <v>69541.59</v>
      </c>
    </row>
    <row r="14" spans="1:25" x14ac:dyDescent="0.25">
      <c r="A14" s="738" t="s">
        <v>22</v>
      </c>
      <c r="B14" s="738"/>
      <c r="C14" s="357">
        <f>SUMIFS(CountData!D:D,CountData!B:B,$I$2,CountData!C:C,$O14)</f>
        <v>0</v>
      </c>
      <c r="D14" s="357">
        <f>SUMIFS(CountData!J:J,CountData!H:H,$I$2,CountData!I:I,$O14)</f>
        <v>0</v>
      </c>
      <c r="E14" s="812">
        <f t="shared" si="0"/>
        <v>0</v>
      </c>
      <c r="F14" s="812"/>
      <c r="G14" s="813">
        <f>Consolidated!$F16</f>
        <v>1</v>
      </c>
      <c r="H14" s="813">
        <f>Consolidated!$H$9</f>
        <v>1</v>
      </c>
      <c r="I14" s="517">
        <f t="shared" si="3"/>
        <v>0</v>
      </c>
      <c r="J14" s="518">
        <f>ROUND(ROUND(ROUND(I14*$E$6,4)*($I$6),2)*(MAX($I$7,1)),2)</f>
        <v>0</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11.02</v>
      </c>
      <c r="D15" s="357">
        <f>SUMIFS(CountData!J:J,CountData!H:H,$I$2,CountData!I:I,$O15)</f>
        <v>10.53</v>
      </c>
      <c r="E15" s="812">
        <f t="shared" si="0"/>
        <v>21.549999999999997</v>
      </c>
      <c r="F15" s="812"/>
      <c r="G15" s="813">
        <f>Consolidated!$F17</f>
        <v>1</v>
      </c>
      <c r="H15" s="813">
        <f>Consolidated!$H$9</f>
        <v>1</v>
      </c>
      <c r="I15" s="517">
        <f t="shared" si="3"/>
        <v>21.55</v>
      </c>
      <c r="J15" s="518">
        <f t="shared" si="1"/>
        <v>119889.7</v>
      </c>
      <c r="M15" s="2"/>
      <c r="O15" s="2" t="str">
        <f t="shared" si="2"/>
        <v>112</v>
      </c>
      <c r="R15" s="737" t="s">
        <v>23</v>
      </c>
      <c r="S15" s="737"/>
      <c r="T15" s="876">
        <f t="shared" si="4"/>
        <v>21.549999999999997</v>
      </c>
      <c r="U15" s="876"/>
      <c r="V15" s="875">
        <v>1</v>
      </c>
      <c r="W15" s="875"/>
      <c r="X15" s="150">
        <f t="shared" si="5"/>
        <v>21.55</v>
      </c>
      <c r="Y15" s="217">
        <f t="shared" ref="Y15:Y27" si="7">ROUND(ROUND(ROUND(X15*$E$6,4)*($I$6),2)*(MAX($I$7,1)),2)</f>
        <v>119889.7</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23.23</v>
      </c>
      <c r="D17" s="357">
        <f>SUMIFS(CountData!J:J,CountData!H:H,$I$2,CountData!I:I,$O17)</f>
        <v>23.9</v>
      </c>
      <c r="E17" s="812">
        <f t="shared" si="0"/>
        <v>47.129999999999995</v>
      </c>
      <c r="F17" s="812"/>
      <c r="G17" s="813">
        <f>Consolidated!$F19</f>
        <v>0.97199999999999998</v>
      </c>
      <c r="H17" s="813">
        <f>Consolidated!$H$9</f>
        <v>1</v>
      </c>
      <c r="I17" s="517">
        <f t="shared" si="3"/>
        <v>45.810400000000001</v>
      </c>
      <c r="J17" s="518">
        <f t="shared" si="1"/>
        <v>254858.25</v>
      </c>
      <c r="M17" s="2"/>
      <c r="O17" s="2" t="str">
        <f t="shared" si="2"/>
        <v>113</v>
      </c>
      <c r="R17" s="737" t="s">
        <v>25</v>
      </c>
      <c r="S17" s="737"/>
      <c r="T17" s="876">
        <f t="shared" si="4"/>
        <v>47.129999999999995</v>
      </c>
      <c r="U17" s="876"/>
      <c r="V17" s="875">
        <v>1</v>
      </c>
      <c r="W17" s="875"/>
      <c r="X17" s="150">
        <f t="shared" si="5"/>
        <v>47.13</v>
      </c>
      <c r="Y17" s="217">
        <f t="shared" si="7"/>
        <v>262199.62</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105</v>
      </c>
      <c r="D20" s="357">
        <f>SUMIFS(CountData!J:J,CountData!H:H,$I$2,CountData!I:I,$O20)</f>
        <v>102.99</v>
      </c>
      <c r="E20" s="812">
        <f t="shared" si="0"/>
        <v>207.99</v>
      </c>
      <c r="F20" s="812"/>
      <c r="G20" s="813">
        <f>Consolidated!$F22</f>
        <v>3.609</v>
      </c>
      <c r="H20" s="813">
        <f>Consolidated!$H$9</f>
        <v>1</v>
      </c>
      <c r="I20" s="517">
        <f t="shared" si="3"/>
        <v>750.63589999999999</v>
      </c>
      <c r="J20" s="518">
        <f t="shared" si="1"/>
        <v>4176033.19</v>
      </c>
      <c r="M20" s="2"/>
      <c r="O20" s="2" t="str">
        <f>IF(O$9="H",LEFT(R$20,3),"")</f>
        <v>254</v>
      </c>
      <c r="R20" s="737" t="s">
        <v>28</v>
      </c>
      <c r="S20" s="737"/>
      <c r="T20" s="876">
        <f t="shared" si="4"/>
        <v>207.99</v>
      </c>
      <c r="U20" s="876"/>
      <c r="V20" s="875">
        <v>1</v>
      </c>
      <c r="W20" s="875"/>
      <c r="X20" s="150">
        <f t="shared" si="5"/>
        <v>207.99</v>
      </c>
      <c r="Y20" s="217">
        <f t="shared" si="7"/>
        <v>1157116.45</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43.5</v>
      </c>
      <c r="D23" s="357">
        <f>SUMIFS(CountData!J:J,CountData!H:H,$I$2,CountData!I:I,$O23)</f>
        <v>47</v>
      </c>
      <c r="E23" s="812">
        <f t="shared" si="0"/>
        <v>90.5</v>
      </c>
      <c r="F23" s="812"/>
      <c r="G23" s="813">
        <f>Consolidated!$F25</f>
        <v>6.0640000000000001</v>
      </c>
      <c r="H23" s="813">
        <f>Consolidated!$H$9</f>
        <v>1</v>
      </c>
      <c r="I23" s="517">
        <f t="shared" si="3"/>
        <v>548.79200000000003</v>
      </c>
      <c r="J23" s="518">
        <f t="shared" si="1"/>
        <v>3053109.52</v>
      </c>
      <c r="M23" s="2"/>
      <c r="O23" s="2" t="str">
        <f>IF(O$9="H",LEFT(R$23,3),"")</f>
        <v>255</v>
      </c>
      <c r="R23" s="737" t="s">
        <v>31</v>
      </c>
      <c r="S23" s="737"/>
      <c r="T23" s="876">
        <f t="shared" si="4"/>
        <v>90.5</v>
      </c>
      <c r="U23" s="876"/>
      <c r="V23" s="875">
        <v>1</v>
      </c>
      <c r="W23" s="875"/>
      <c r="X23" s="150">
        <f t="shared" si="5"/>
        <v>90.5</v>
      </c>
      <c r="Y23" s="217">
        <f t="shared" si="7"/>
        <v>503481.12</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190.75</v>
      </c>
      <c r="D28" s="720">
        <f>SUM(D12:D27)</f>
        <v>189.42</v>
      </c>
      <c r="E28" s="817">
        <f>SUM(E12:E27)</f>
        <v>380.17</v>
      </c>
      <c r="F28" s="817"/>
      <c r="G28" s="812"/>
      <c r="H28" s="812"/>
      <c r="I28" s="23">
        <f>SUM(I12:I27)</f>
        <v>1381.1923000000002</v>
      </c>
      <c r="J28" s="121">
        <f>SUM(J12:J27)</f>
        <v>7684024.8200000003</v>
      </c>
      <c r="M28" s="2"/>
      <c r="R28" s="878" t="s">
        <v>36</v>
      </c>
      <c r="S28" s="878"/>
      <c r="T28" s="879">
        <f>SUM(T12:T27)</f>
        <v>380.17</v>
      </c>
      <c r="U28" s="879"/>
      <c r="V28" s="880"/>
      <c r="W28" s="880"/>
      <c r="X28" s="152">
        <f>SUM(X12:X27)</f>
        <v>380.17</v>
      </c>
      <c r="Y28" s="217">
        <f>SUM(Y12:Y27)</f>
        <v>2115010.14</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1381.1923000000002</v>
      </c>
      <c r="H33" s="812" t="s">
        <v>45</v>
      </c>
      <c r="I33" s="812"/>
      <c r="J33" s="32">
        <f>SUM(J32,J28)</f>
        <v>7684024.8200000003</v>
      </c>
      <c r="M33" s="2"/>
      <c r="R33" s="833" t="s">
        <v>44</v>
      </c>
      <c r="S33" s="833"/>
      <c r="T33" s="833"/>
      <c r="U33" s="833"/>
      <c r="V33" s="158">
        <f>V32+X28</f>
        <v>380.17</v>
      </c>
      <c r="W33" s="880" t="s">
        <v>45</v>
      </c>
      <c r="X33" s="880"/>
      <c r="Y33" s="159">
        <f>SUM(Y32,Y28)</f>
        <v>2115010.14</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6953040.9000000004</v>
      </c>
      <c r="H36" s="37" t="s">
        <v>49</v>
      </c>
      <c r="I36" s="38">
        <v>6.6699999999999995E-2</v>
      </c>
      <c r="J36" s="125">
        <f>ROUND(G36*I36,2)</f>
        <v>463767.83</v>
      </c>
      <c r="K36" s="39"/>
      <c r="L36" s="33"/>
      <c r="M36" s="33"/>
      <c r="N36" s="33"/>
      <c r="O36" s="31"/>
      <c r="P36" s="34"/>
      <c r="Q36" s="34"/>
      <c r="R36" s="737" t="s">
        <v>47</v>
      </c>
      <c r="S36" s="737"/>
      <c r="T36" s="737"/>
      <c r="U36" s="163"/>
      <c r="V36" s="166">
        <v>2119627.7000000002</v>
      </c>
      <c r="W36" s="167" t="s">
        <v>49</v>
      </c>
      <c r="X36" s="168">
        <v>6.6699999999999995E-2</v>
      </c>
      <c r="Y36" s="217">
        <f>J36</f>
        <v>463767.83</v>
      </c>
    </row>
    <row r="37" spans="1:25" ht="20.25" customHeight="1" x14ac:dyDescent="0.25">
      <c r="A37" s="738" t="s">
        <v>50</v>
      </c>
      <c r="B37" s="738"/>
      <c r="C37" s="738"/>
      <c r="D37" s="738"/>
      <c r="E37" s="738"/>
      <c r="F37" s="36" t="s">
        <v>48</v>
      </c>
      <c r="G37" s="126">
        <v>6953040.9000000004</v>
      </c>
      <c r="H37" s="37" t="s">
        <v>49</v>
      </c>
      <c r="I37" s="38">
        <v>5.4000000000000003E-3</v>
      </c>
      <c r="J37" s="125">
        <f>ROUND(G37*I37,2)</f>
        <v>37546.42</v>
      </c>
      <c r="K37" s="39"/>
      <c r="L37" s="33"/>
      <c r="M37" s="33"/>
      <c r="N37" s="33"/>
      <c r="O37" s="31"/>
      <c r="P37" s="34"/>
      <c r="Q37" s="34"/>
      <c r="R37" s="737" t="s">
        <v>50</v>
      </c>
      <c r="S37" s="737"/>
      <c r="T37" s="737"/>
      <c r="U37" s="163"/>
      <c r="V37" s="166">
        <v>2119627.7000000002</v>
      </c>
      <c r="W37" s="167" t="s">
        <v>49</v>
      </c>
      <c r="X37" s="168">
        <v>5.4000000000000003E-3</v>
      </c>
      <c r="Y37" s="217">
        <f>J37</f>
        <v>37546.42</v>
      </c>
    </row>
    <row r="38" spans="1:25" ht="20.25" customHeight="1" x14ac:dyDescent="0.25">
      <c r="A38" s="820" t="s">
        <v>51</v>
      </c>
      <c r="B38" s="820"/>
      <c r="C38" s="820"/>
      <c r="D38" s="820"/>
      <c r="E38" s="820"/>
      <c r="F38" s="36" t="s">
        <v>52</v>
      </c>
      <c r="G38" s="40"/>
      <c r="H38" s="37"/>
      <c r="I38" s="41"/>
      <c r="J38" s="125">
        <f>SUM(J36:J37)</f>
        <v>501314.25</v>
      </c>
      <c r="K38" s="39"/>
      <c r="L38" s="33"/>
      <c r="M38" s="33"/>
      <c r="N38" s="33"/>
      <c r="O38" s="31"/>
      <c r="P38" s="34"/>
      <c r="Q38" s="34"/>
      <c r="R38" s="739" t="s">
        <v>51</v>
      </c>
      <c r="S38" s="739"/>
      <c r="T38" s="739"/>
      <c r="U38" s="163" t="s">
        <v>52</v>
      </c>
      <c r="V38" s="169"/>
      <c r="W38" s="167"/>
      <c r="X38" s="170"/>
      <c r="Y38" s="217">
        <f>Y36+Y37</f>
        <v>501314.25</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0.83</v>
      </c>
      <c r="D41" s="357">
        <v>0</v>
      </c>
      <c r="E41" s="826">
        <f t="shared" ref="E41:E49" si="8">IF($D$50=0,C41*2,C41+D41)</f>
        <v>1.66</v>
      </c>
      <c r="F41" s="826"/>
      <c r="G41" s="37" t="s">
        <v>59</v>
      </c>
      <c r="H41" s="37">
        <v>251</v>
      </c>
      <c r="I41" s="130">
        <f>Consolidated!$H59</f>
        <v>1047</v>
      </c>
      <c r="J41" s="131">
        <f t="shared" ref="J41:J49" si="9">ROUND(E41*I41,2)</f>
        <v>1738.02</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131">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6.67</v>
      </c>
      <c r="D43" s="357">
        <v>0</v>
      </c>
      <c r="E43" s="826">
        <f t="shared" si="8"/>
        <v>13.34</v>
      </c>
      <c r="F43" s="826"/>
      <c r="G43" s="37" t="s">
        <v>59</v>
      </c>
      <c r="H43" s="37">
        <v>253</v>
      </c>
      <c r="I43" s="130">
        <f>Consolidated!$H61</f>
        <v>6896</v>
      </c>
      <c r="J43" s="131">
        <f t="shared" si="9"/>
        <v>91992.639999999999</v>
      </c>
      <c r="M43" s="2"/>
      <c r="R43" s="885"/>
      <c r="S43" s="885"/>
      <c r="T43" s="867"/>
      <c r="U43" s="867"/>
      <c r="V43" s="167" t="s">
        <v>59</v>
      </c>
      <c r="W43" s="167">
        <v>253</v>
      </c>
      <c r="X43" s="128">
        <f>Consolidated!$H61</f>
        <v>6896</v>
      </c>
      <c r="Y43" s="218">
        <f t="shared" si="10"/>
        <v>0</v>
      </c>
    </row>
    <row r="44" spans="1:25" x14ac:dyDescent="0.25">
      <c r="A44" s="825"/>
      <c r="B44" s="825"/>
      <c r="C44" s="357">
        <v>0</v>
      </c>
      <c r="D44" s="357">
        <v>0</v>
      </c>
      <c r="E44" s="826">
        <f t="shared" si="8"/>
        <v>0</v>
      </c>
      <c r="F44" s="826"/>
      <c r="G44" s="47" t="s">
        <v>60</v>
      </c>
      <c r="H44" s="37">
        <v>251</v>
      </c>
      <c r="I44" s="130">
        <f>Consolidated!$H62</f>
        <v>1173</v>
      </c>
      <c r="J44" s="131">
        <f t="shared" si="9"/>
        <v>0</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131">
        <f t="shared" si="9"/>
        <v>0</v>
      </c>
      <c r="M45" s="2"/>
      <c r="R45" s="885"/>
      <c r="S45" s="885"/>
      <c r="T45" s="867"/>
      <c r="U45" s="867"/>
      <c r="V45" s="176" t="s">
        <v>60</v>
      </c>
      <c r="W45" s="167">
        <v>252</v>
      </c>
      <c r="X45" s="128">
        <f>Consolidated!$H63</f>
        <v>3506</v>
      </c>
      <c r="Y45" s="218">
        <f t="shared" si="10"/>
        <v>0</v>
      </c>
    </row>
    <row r="46" spans="1:25" x14ac:dyDescent="0.25">
      <c r="A46" s="825"/>
      <c r="B46" s="825"/>
      <c r="C46" s="357">
        <v>11</v>
      </c>
      <c r="D46" s="357">
        <v>0</v>
      </c>
      <c r="E46" s="826">
        <f t="shared" si="8"/>
        <v>22</v>
      </c>
      <c r="F46" s="826"/>
      <c r="G46" s="47" t="s">
        <v>60</v>
      </c>
      <c r="H46" s="37">
        <v>253</v>
      </c>
      <c r="I46" s="130">
        <f>Consolidated!$H64</f>
        <v>7023</v>
      </c>
      <c r="J46" s="131">
        <f t="shared" si="9"/>
        <v>154506</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131">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2.99</v>
      </c>
      <c r="D48" s="357">
        <v>0</v>
      </c>
      <c r="E48" s="826">
        <f t="shared" si="8"/>
        <v>5.98</v>
      </c>
      <c r="F48" s="826"/>
      <c r="G48" s="47" t="s">
        <v>61</v>
      </c>
      <c r="H48" s="37">
        <v>252</v>
      </c>
      <c r="I48" s="130">
        <f>Consolidated!$H66</f>
        <v>3168</v>
      </c>
      <c r="J48" s="131">
        <f t="shared" si="9"/>
        <v>18944.64</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20.16</v>
      </c>
      <c r="D49" s="357">
        <v>0</v>
      </c>
      <c r="E49" s="831">
        <f t="shared" si="8"/>
        <v>40.32</v>
      </c>
      <c r="F49" s="831"/>
      <c r="G49" s="47" t="s">
        <v>61</v>
      </c>
      <c r="H49" s="37">
        <v>253</v>
      </c>
      <c r="I49" s="130">
        <f>Consolidated!$H67</f>
        <v>6685</v>
      </c>
      <c r="J49" s="131">
        <f t="shared" si="9"/>
        <v>269539.20000000001</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41.650000000000006</v>
      </c>
      <c r="D50" s="524">
        <f>SUM(D41:D49)</f>
        <v>0</v>
      </c>
      <c r="E50" s="832">
        <f>SUM(E41:E49)</f>
        <v>83.300000000000011</v>
      </c>
      <c r="F50" s="832"/>
      <c r="G50" s="818" t="s">
        <v>63</v>
      </c>
      <c r="H50" s="818"/>
      <c r="I50" s="818"/>
      <c r="J50" s="225">
        <f>SUM(J41:J49)</f>
        <v>536720.5</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380.17</v>
      </c>
      <c r="U52" s="178" t="s">
        <v>66</v>
      </c>
      <c r="V52" s="179"/>
      <c r="W52" s="180" t="s">
        <v>67</v>
      </c>
      <c r="X52" s="863">
        <f>I53</f>
        <v>207782.75</v>
      </c>
      <c r="Y52" s="863"/>
    </row>
    <row r="53" spans="1:25" ht="16.5" customHeight="1" x14ac:dyDescent="0.25">
      <c r="A53" s="827" t="s">
        <v>65</v>
      </c>
      <c r="B53" s="827"/>
      <c r="C53" s="51"/>
      <c r="D53" s="51"/>
      <c r="E53" s="48">
        <f>E28</f>
        <v>380.17</v>
      </c>
      <c r="F53" s="49" t="s">
        <v>66</v>
      </c>
      <c r="G53" s="3"/>
      <c r="H53" s="50" t="s">
        <v>67</v>
      </c>
      <c r="I53" s="918">
        <f>Consolidated!H$71</f>
        <v>207782.75</v>
      </c>
      <c r="J53" s="918"/>
      <c r="M53" s="2"/>
      <c r="R53" s="181"/>
      <c r="S53" s="182"/>
      <c r="T53" s="164"/>
      <c r="U53" s="164"/>
      <c r="V53" s="164"/>
      <c r="W53" s="183" t="s">
        <v>68</v>
      </c>
      <c r="X53" s="864">
        <f>ROUND(T52/X52,6)</f>
        <v>1.83E-3</v>
      </c>
      <c r="Y53" s="864"/>
    </row>
    <row r="54" spans="1:25" ht="22.5" customHeight="1" x14ac:dyDescent="0.25">
      <c r="A54" s="51"/>
      <c r="B54" s="52"/>
      <c r="C54" s="52"/>
      <c r="D54" s="52"/>
      <c r="H54" s="53" t="s">
        <v>68</v>
      </c>
      <c r="I54" s="828">
        <f>IFERROR(ROUND(E53/I53,6),0)</f>
        <v>1.83E-3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380.17</v>
      </c>
      <c r="U55" s="178" t="s">
        <v>66</v>
      </c>
      <c r="V55" s="179"/>
      <c r="W55" s="180" t="s">
        <v>71</v>
      </c>
      <c r="X55" s="863">
        <f>I56</f>
        <v>221179.83999999997</v>
      </c>
      <c r="Y55" s="863"/>
    </row>
    <row r="56" spans="1:25" ht="16.5" customHeight="1" x14ac:dyDescent="0.25">
      <c r="A56" s="827" t="s">
        <v>70</v>
      </c>
      <c r="B56" s="827"/>
      <c r="C56" s="51"/>
      <c r="D56" s="51"/>
      <c r="E56" s="48">
        <f>G33</f>
        <v>1381.1923000000002</v>
      </c>
      <c r="F56" s="49" t="s">
        <v>66</v>
      </c>
      <c r="G56" s="3"/>
      <c r="H56" s="50" t="s">
        <v>71</v>
      </c>
      <c r="I56" s="918">
        <f>Consolidated!H$74</f>
        <v>221179.83999999997</v>
      </c>
      <c r="J56" s="918"/>
      <c r="M56" s="2"/>
      <c r="R56" s="181"/>
      <c r="S56" s="164"/>
      <c r="T56" s="164"/>
      <c r="U56" s="164"/>
      <c r="V56" s="164"/>
      <c r="W56" s="183" t="s">
        <v>68</v>
      </c>
      <c r="X56" s="864">
        <f>ROUND(T55/X55,6)</f>
        <v>1.719E-3</v>
      </c>
      <c r="Y56" s="864"/>
    </row>
    <row r="57" spans="1:25" ht="18.75" customHeight="1" x14ac:dyDescent="0.25">
      <c r="A57" s="51"/>
      <c r="H57" s="53" t="s">
        <v>68</v>
      </c>
      <c r="I57" s="828">
        <f>IFERROR(ROUND(E56/I56,6),0)</f>
        <v>6.2449999999999997E-3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380.17</v>
      </c>
      <c r="U58" s="178" t="s">
        <v>66</v>
      </c>
      <c r="V58" s="862" t="s">
        <v>74</v>
      </c>
      <c r="W58" s="862"/>
      <c r="X58" s="863">
        <f>I59</f>
        <v>178931.75</v>
      </c>
      <c r="Y58" s="863"/>
    </row>
    <row r="59" spans="1:25" ht="18.75" customHeight="1" x14ac:dyDescent="0.25">
      <c r="A59" s="827" t="s">
        <v>73</v>
      </c>
      <c r="B59" s="827"/>
      <c r="C59" s="51"/>
      <c r="D59" s="51"/>
      <c r="E59" s="48">
        <f>E28</f>
        <v>380.17</v>
      </c>
      <c r="F59" s="49" t="s">
        <v>66</v>
      </c>
      <c r="G59" s="911" t="s">
        <v>74</v>
      </c>
      <c r="H59" s="911"/>
      <c r="I59" s="918">
        <f>Consolidated!H$77</f>
        <v>178931.75</v>
      </c>
      <c r="J59" s="918"/>
      <c r="M59" s="2"/>
      <c r="R59" s="181"/>
      <c r="S59" s="164"/>
      <c r="T59" s="164"/>
      <c r="U59" s="164"/>
      <c r="V59" s="164"/>
      <c r="W59" s="183" t="s">
        <v>68</v>
      </c>
      <c r="X59" s="864">
        <f>ROUND(T58/X58,6)</f>
        <v>2.1250000000000002E-3</v>
      </c>
      <c r="Y59" s="864"/>
    </row>
    <row r="60" spans="1:25" ht="18" customHeight="1" x14ac:dyDescent="0.25">
      <c r="A60" s="51"/>
      <c r="H60" s="53" t="s">
        <v>68</v>
      </c>
      <c r="I60" s="828">
        <f>IFERROR(ROUND(E59/I59,6),0)</f>
        <v>2.1250000000000002E-3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380.17</v>
      </c>
      <c r="U61" s="178" t="s">
        <v>66</v>
      </c>
      <c r="V61" s="862" t="s">
        <v>76</v>
      </c>
      <c r="W61" s="862"/>
      <c r="X61" s="863">
        <f>I62</f>
        <v>207463.82</v>
      </c>
      <c r="Y61" s="863"/>
    </row>
    <row r="62" spans="1:25" ht="30.75" customHeight="1" x14ac:dyDescent="0.25">
      <c r="A62" s="827" t="s">
        <v>73</v>
      </c>
      <c r="B62" s="827"/>
      <c r="C62" s="51"/>
      <c r="D62" s="51"/>
      <c r="E62" s="48">
        <f>E28</f>
        <v>380.17</v>
      </c>
      <c r="F62" s="49" t="s">
        <v>66</v>
      </c>
      <c r="G62" s="911" t="s">
        <v>76</v>
      </c>
      <c r="H62" s="911"/>
      <c r="I62" s="918">
        <f>Consolidated!H$80</f>
        <v>207463.82</v>
      </c>
      <c r="J62" s="918"/>
      <c r="M62" s="2"/>
      <c r="R62" s="181"/>
      <c r="S62" s="164"/>
      <c r="T62" s="164"/>
      <c r="U62" s="164"/>
      <c r="V62" s="164"/>
      <c r="W62" s="183" t="s">
        <v>68</v>
      </c>
      <c r="X62" s="864">
        <f>ROUND(T61/X61,6)</f>
        <v>1.8320000000000001E-3</v>
      </c>
      <c r="Y62" s="864"/>
    </row>
    <row r="63" spans="1:25" ht="19.5" customHeight="1" x14ac:dyDescent="0.25">
      <c r="A63" s="51"/>
      <c r="H63" s="53" t="s">
        <v>68</v>
      </c>
      <c r="I63" s="828">
        <f>IFERROR(ROUND(E62/I62,6),0)</f>
        <v>1.8320000000000001E-3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380.17</v>
      </c>
      <c r="U64" s="178" t="s">
        <v>66</v>
      </c>
      <c r="V64" s="862" t="s">
        <v>161</v>
      </c>
      <c r="W64" s="862"/>
      <c r="X64" s="863">
        <f>I65</f>
        <v>178612.82</v>
      </c>
      <c r="Y64" s="863"/>
    </row>
    <row r="65" spans="1:26" ht="49.5" customHeight="1" x14ac:dyDescent="0.25">
      <c r="A65" s="827" t="s">
        <v>73</v>
      </c>
      <c r="B65" s="827"/>
      <c r="C65" s="51"/>
      <c r="D65" s="51"/>
      <c r="E65" s="48">
        <f>E28</f>
        <v>380.17</v>
      </c>
      <c r="F65" s="49" t="s">
        <v>66</v>
      </c>
      <c r="G65" s="911" t="s">
        <v>78</v>
      </c>
      <c r="H65" s="911"/>
      <c r="I65" s="918">
        <f>Consolidated!H$83</f>
        <v>178612.82</v>
      </c>
      <c r="J65" s="918"/>
      <c r="M65" s="2"/>
      <c r="R65" s="184"/>
      <c r="S65" s="164"/>
      <c r="T65" s="164"/>
      <c r="U65" s="164"/>
      <c r="V65" s="164"/>
      <c r="W65" s="183" t="s">
        <v>68</v>
      </c>
      <c r="X65" s="864">
        <f>ROUND(T64/X64,6)</f>
        <v>2.1280000000000001E-3</v>
      </c>
      <c r="Y65" s="864"/>
    </row>
    <row r="66" spans="1:26" ht="19.5" customHeight="1" x14ac:dyDescent="0.25">
      <c r="A66" s="51"/>
      <c r="H66" s="53" t="s">
        <v>68</v>
      </c>
      <c r="I66" s="828">
        <f>IFERROR(ROUND(E65/I65,6),0)</f>
        <v>2.1280000000000001E-3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1.8320000000000001E-3</v>
      </c>
      <c r="Y67" s="220">
        <f>ROUND(V67*X67,2)</f>
        <v>83593.41</v>
      </c>
    </row>
    <row r="68" spans="1:26" ht="30.75" customHeight="1" x14ac:dyDescent="0.25">
      <c r="A68" s="836" t="s">
        <v>79</v>
      </c>
      <c r="B68" s="836"/>
      <c r="C68" s="836"/>
      <c r="D68" s="836"/>
      <c r="E68" s="836"/>
      <c r="F68" s="36" t="s">
        <v>80</v>
      </c>
      <c r="G68" s="226">
        <f>Consolidated!F$86</f>
        <v>45629593</v>
      </c>
      <c r="H68" s="37" t="s">
        <v>81</v>
      </c>
      <c r="I68" s="41">
        <f>I63</f>
        <v>1.8320000000000001E-3</v>
      </c>
      <c r="J68" s="132">
        <f>ROUND(G68*I68,2)</f>
        <v>83593.41</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1.83E-3</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1.83E-3</v>
      </c>
      <c r="J70" s="132">
        <f>ROUND(G70*I70,2)</f>
        <v>0</v>
      </c>
      <c r="M70" s="2"/>
      <c r="R70" s="739" t="s">
        <v>163</v>
      </c>
      <c r="S70" s="739"/>
      <c r="T70" s="739"/>
      <c r="U70" s="163"/>
      <c r="V70" s="187">
        <f>G71</f>
        <v>18934058</v>
      </c>
      <c r="W70" s="167" t="s">
        <v>81</v>
      </c>
      <c r="X70" s="170">
        <f>X65</f>
        <v>2.1280000000000001E-3</v>
      </c>
      <c r="Y70" s="217">
        <f t="shared" si="11"/>
        <v>40291.68</v>
      </c>
    </row>
    <row r="71" spans="1:26" ht="19.5" customHeight="1" x14ac:dyDescent="0.25">
      <c r="A71" s="820" t="s">
        <v>85</v>
      </c>
      <c r="B71" s="820"/>
      <c r="C71" s="820"/>
      <c r="D71" s="820"/>
      <c r="E71" s="820"/>
      <c r="F71" s="36" t="s">
        <v>86</v>
      </c>
      <c r="G71" s="226">
        <f>Consolidated!F$91</f>
        <v>18934058</v>
      </c>
      <c r="H71" s="37" t="s">
        <v>81</v>
      </c>
      <c r="I71" s="41">
        <f>I66</f>
        <v>2.1280000000000001E-3</v>
      </c>
      <c r="J71" s="132">
        <f>ROUND(G71*I71,2)</f>
        <v>40291.68</v>
      </c>
      <c r="M71" s="2"/>
      <c r="R71" s="171" t="s">
        <v>164</v>
      </c>
      <c r="S71" s="171"/>
      <c r="T71" s="171"/>
      <c r="U71" s="163"/>
      <c r="V71" s="165">
        <f>G72</f>
        <v>11300012</v>
      </c>
      <c r="W71" s="167" t="s">
        <v>81</v>
      </c>
      <c r="X71" s="170">
        <f>X59</f>
        <v>2.1250000000000002E-3</v>
      </c>
      <c r="Y71" s="217">
        <f t="shared" si="11"/>
        <v>24012.53</v>
      </c>
    </row>
    <row r="72" spans="1:26" ht="19.5" customHeight="1" x14ac:dyDescent="0.25">
      <c r="A72" s="42" t="s">
        <v>87</v>
      </c>
      <c r="B72" s="42"/>
      <c r="C72" s="42"/>
      <c r="D72" s="42"/>
      <c r="E72" s="42"/>
      <c r="F72" s="36" t="s">
        <v>88</v>
      </c>
      <c r="G72" s="226">
        <f>Consolidated!F$93</f>
        <v>11300012</v>
      </c>
      <c r="H72" s="37" t="s">
        <v>81</v>
      </c>
      <c r="I72" s="41">
        <f>I60</f>
        <v>2.1250000000000002E-3</v>
      </c>
      <c r="J72" s="132">
        <f>ROUND(G72*I72,2)</f>
        <v>24012.53</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821" t="s">
        <v>101</v>
      </c>
      <c r="B84" s="821"/>
      <c r="C84" s="821"/>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6.2449999999999997E-3</v>
      </c>
      <c r="J85" s="132">
        <f>ROUND(G85*I85,2)</f>
        <v>1678757.66</v>
      </c>
      <c r="K85" s="70"/>
      <c r="L85" s="70"/>
      <c r="M85" s="71"/>
      <c r="N85" s="70"/>
      <c r="O85" s="70"/>
      <c r="P85" s="70"/>
      <c r="Q85" s="70"/>
      <c r="R85" s="739" t="s">
        <v>168</v>
      </c>
      <c r="S85" s="739"/>
      <c r="T85" s="739"/>
      <c r="U85" s="163"/>
      <c r="V85" s="165">
        <f>G85</f>
        <v>268816278</v>
      </c>
      <c r="W85" s="167" t="s">
        <v>81</v>
      </c>
      <c r="X85" s="170">
        <f>X56</f>
        <v>1.719E-3</v>
      </c>
      <c r="Y85" s="217">
        <f t="shared" ref="Y85:Y87" si="12">ROUND(V85*X85,2)</f>
        <v>462095.18</v>
      </c>
    </row>
    <row r="86" spans="1:26" ht="14.25" customHeight="1" x14ac:dyDescent="0.25">
      <c r="A86" s="820" t="s">
        <v>104</v>
      </c>
      <c r="B86" s="820"/>
      <c r="C86" s="820"/>
      <c r="D86" s="820"/>
      <c r="E86" s="820"/>
      <c r="F86" s="36" t="s">
        <v>103</v>
      </c>
      <c r="G86" s="133">
        <v>0</v>
      </c>
      <c r="H86" s="37" t="s">
        <v>81</v>
      </c>
      <c r="I86" s="41">
        <f>I57</f>
        <v>6.2449999999999997E-3</v>
      </c>
      <c r="J86" s="132">
        <f>ROUND(G86*I86,2)</f>
        <v>0</v>
      </c>
      <c r="K86" s="70"/>
      <c r="L86" s="71"/>
      <c r="M86" s="76"/>
      <c r="N86" s="76"/>
      <c r="O86" s="76"/>
      <c r="P86" s="76"/>
      <c r="Q86" s="70"/>
      <c r="R86" s="739" t="s">
        <v>169</v>
      </c>
      <c r="S86" s="739"/>
      <c r="T86" s="739"/>
      <c r="U86" s="163"/>
      <c r="V86" s="197">
        <f>G86</f>
        <v>0</v>
      </c>
      <c r="W86" s="167" t="s">
        <v>81</v>
      </c>
      <c r="X86" s="170">
        <f>X56</f>
        <v>1.719E-3</v>
      </c>
      <c r="Y86" s="217">
        <f t="shared" si="12"/>
        <v>0</v>
      </c>
    </row>
    <row r="87" spans="1:26" ht="18" customHeight="1" x14ac:dyDescent="0.25">
      <c r="A87" s="820" t="s">
        <v>105</v>
      </c>
      <c r="B87" s="820"/>
      <c r="C87" s="820"/>
      <c r="D87" s="820"/>
      <c r="E87" s="820"/>
      <c r="F87" s="36" t="s">
        <v>84</v>
      </c>
      <c r="G87" s="133">
        <v>0</v>
      </c>
      <c r="H87" s="37" t="s">
        <v>81</v>
      </c>
      <c r="I87" s="41">
        <f>I54</f>
        <v>1.83E-3</v>
      </c>
      <c r="J87" s="62">
        <f>ROUND(G87*I87,2)</f>
        <v>0</v>
      </c>
      <c r="K87" s="77"/>
      <c r="L87" s="70"/>
      <c r="M87" s="71"/>
      <c r="N87" s="70"/>
      <c r="O87" s="70"/>
      <c r="P87" s="70"/>
      <c r="Q87" s="70"/>
      <c r="R87" s="171" t="s">
        <v>170</v>
      </c>
      <c r="S87" s="171"/>
      <c r="T87" s="171"/>
      <c r="U87" s="163"/>
      <c r="V87" s="197">
        <f>G87</f>
        <v>0</v>
      </c>
      <c r="W87" s="167" t="s">
        <v>81</v>
      </c>
      <c r="X87" s="170">
        <f>X53</f>
        <v>1.83E-3</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14.404</v>
      </c>
      <c r="C90" s="80"/>
      <c r="D90" s="894">
        <f>I6</f>
        <v>1.0355000000000001</v>
      </c>
      <c r="E90" s="894"/>
      <c r="F90" s="894"/>
      <c r="G90" s="117">
        <f>Consolidated!F$118</f>
        <v>958.42</v>
      </c>
      <c r="H90" s="47" t="s">
        <v>68</v>
      </c>
      <c r="I90" s="135">
        <f>ROUND(B90*D90*G90,2)</f>
        <v>14295.16</v>
      </c>
      <c r="J90" s="81"/>
      <c r="K90" s="70"/>
      <c r="L90" s="70"/>
      <c r="M90" s="71"/>
      <c r="N90" s="70"/>
      <c r="O90" s="70"/>
      <c r="P90" s="70"/>
      <c r="Q90" s="70"/>
      <c r="R90" s="160" t="s">
        <v>110</v>
      </c>
      <c r="S90" s="198">
        <f>X12+X13+X18+X21+X24</f>
        <v>13</v>
      </c>
      <c r="T90" s="849">
        <f>X6</f>
        <v>1.0355000000000001</v>
      </c>
      <c r="U90" s="849"/>
      <c r="V90" s="117">
        <f>G90</f>
        <v>958.42</v>
      </c>
      <c r="W90" s="176" t="s">
        <v>68</v>
      </c>
      <c r="X90" s="221">
        <f>ROUND(S90*T90*V90,2)</f>
        <v>12901.77</v>
      </c>
      <c r="Y90" s="199"/>
    </row>
    <row r="91" spans="1:26" ht="21" customHeight="1" x14ac:dyDescent="0.25">
      <c r="A91" s="82" t="s">
        <v>60</v>
      </c>
      <c r="B91" s="80">
        <f>I14+I15+I19+I22+I25</f>
        <v>21.55</v>
      </c>
      <c r="C91" s="80"/>
      <c r="D91" s="894">
        <f>I6</f>
        <v>1.0355000000000001</v>
      </c>
      <c r="E91" s="894"/>
      <c r="F91" s="894"/>
      <c r="G91" s="117">
        <f>Consolidated!F$119</f>
        <v>915.09</v>
      </c>
      <c r="H91" s="47" t="s">
        <v>68</v>
      </c>
      <c r="I91" s="134">
        <f>ROUND(B91*D91*G91,2)</f>
        <v>20420.259999999998</v>
      </c>
      <c r="K91" s="70"/>
      <c r="L91" s="70"/>
      <c r="M91" s="71"/>
      <c r="N91" s="70"/>
      <c r="O91" s="70"/>
      <c r="P91" s="70"/>
      <c r="Q91" s="70"/>
      <c r="R91" s="200" t="s">
        <v>60</v>
      </c>
      <c r="S91" s="198">
        <f>X14+X15+X19+X22+X25</f>
        <v>21.55</v>
      </c>
      <c r="T91" s="849">
        <f>X6</f>
        <v>1.0355000000000001</v>
      </c>
      <c r="U91" s="849"/>
      <c r="V91" s="117">
        <f>G91</f>
        <v>915.09</v>
      </c>
      <c r="W91" s="176" t="s">
        <v>68</v>
      </c>
      <c r="X91" s="221">
        <f>ROUND(S91*T91*V91,2)</f>
        <v>20420.259999999998</v>
      </c>
      <c r="Y91" s="164"/>
    </row>
    <row r="92" spans="1:26" ht="19.5" customHeight="1" thickBot="1" x14ac:dyDescent="0.3">
      <c r="A92" s="83" t="s">
        <v>61</v>
      </c>
      <c r="B92" s="80">
        <f>I16+I17+I20+I23+I26+I27</f>
        <v>1345.2383</v>
      </c>
      <c r="C92" s="80"/>
      <c r="D92" s="894">
        <f>I6</f>
        <v>1.0355000000000001</v>
      </c>
      <c r="E92" s="894"/>
      <c r="F92" s="894"/>
      <c r="G92" s="117">
        <f>Consolidated!F$120</f>
        <v>917.3</v>
      </c>
      <c r="H92" s="47" t="s">
        <v>68</v>
      </c>
      <c r="I92" s="515">
        <f>ROUND(B92*D92*G92,2)</f>
        <v>1277793.6299999999</v>
      </c>
      <c r="K92" s="70"/>
      <c r="L92" s="70"/>
      <c r="M92" s="71"/>
      <c r="N92" s="70"/>
      <c r="O92" s="70"/>
      <c r="P92" s="70"/>
      <c r="Q92" s="70"/>
      <c r="R92" s="201" t="s">
        <v>61</v>
      </c>
      <c r="S92" s="202">
        <f>X16+X17+X20+X23+X26+X27</f>
        <v>345.62</v>
      </c>
      <c r="T92" s="849">
        <f>X6</f>
        <v>1.0355000000000001</v>
      </c>
      <c r="U92" s="849"/>
      <c r="V92" s="117">
        <f>G92</f>
        <v>917.3</v>
      </c>
      <c r="W92" s="176" t="s">
        <v>68</v>
      </c>
      <c r="X92" s="221">
        <f>ROUND(S92*T92*V92,2)</f>
        <v>328292.05</v>
      </c>
      <c r="Y92" s="164"/>
    </row>
    <row r="93" spans="1:26" ht="18.75" customHeight="1" thickBot="1" x14ac:dyDescent="0.3">
      <c r="A93" s="84" t="s">
        <v>111</v>
      </c>
      <c r="B93" s="80">
        <f>SUM(B90:B92)</f>
        <v>1381.1922999999999</v>
      </c>
      <c r="C93" s="80"/>
      <c r="D93" s="80"/>
      <c r="E93" s="846" t="s">
        <v>112</v>
      </c>
      <c r="F93" s="846"/>
      <c r="G93" s="846"/>
      <c r="H93" s="846"/>
      <c r="I93" s="846"/>
      <c r="J93" s="121">
        <f>IF(A1=75,0,I92+I91+I90)</f>
        <v>1312509.0499999998</v>
      </c>
      <c r="K93" s="70"/>
      <c r="L93" s="70"/>
      <c r="M93" s="71"/>
      <c r="N93" s="70"/>
      <c r="O93" s="70"/>
      <c r="P93" s="70"/>
      <c r="Q93" s="70"/>
      <c r="R93" s="203" t="s">
        <v>111</v>
      </c>
      <c r="S93" s="204">
        <f>SUM(S90:S92)</f>
        <v>380.17</v>
      </c>
      <c r="T93" s="853" t="s">
        <v>112</v>
      </c>
      <c r="U93" s="854"/>
      <c r="V93" s="854"/>
      <c r="W93" s="854"/>
      <c r="X93" s="854"/>
      <c r="Y93" s="217">
        <f>IF(R1=75,0,X92+X91+X90)</f>
        <v>361614.08000000002</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0</v>
      </c>
      <c r="D97" s="228">
        <v>0</v>
      </c>
      <c r="E97" s="913">
        <f>(C97+D97)</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f>
        <v>0</v>
      </c>
      <c r="F98" s="850"/>
      <c r="G98" s="850"/>
      <c r="H98" s="85" t="s">
        <v>117</v>
      </c>
      <c r="I98" s="124">
        <f>Consolidated!G$128</f>
        <v>1811</v>
      </c>
      <c r="J98" s="13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11359909.65</v>
      </c>
      <c r="L107" s="516"/>
      <c r="R107" s="739" t="s">
        <v>125</v>
      </c>
      <c r="S107" s="739"/>
      <c r="T107" s="739"/>
      <c r="U107" s="739"/>
      <c r="V107" s="739"/>
      <c r="W107" s="739"/>
      <c r="X107" s="739"/>
      <c r="Y107" s="652">
        <f>SUM(Y106,Y105,Y97,Y96,Y93,Y86,Y85,Y84,Y70,Y69,Y67,Y33,Y71,Y50,Y87,Y83)</f>
        <v>3086617.02</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10858595.4</v>
      </c>
      <c r="R109" s="164" t="s">
        <v>176</v>
      </c>
      <c r="S109" s="164"/>
      <c r="T109" s="164"/>
      <c r="U109" s="164"/>
      <c r="V109" s="164"/>
      <c r="W109" s="164"/>
      <c r="X109" s="164"/>
      <c r="Y109" s="653">
        <f>Y107-Y38</f>
        <v>2585302.77</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3">
        <v>1</v>
      </c>
      <c r="J111" s="131">
        <f>Y109</f>
        <v>2585302.77</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638"/>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I114" s="639">
        <f>IF(I111=1,J111,J109)</f>
        <v>2585302.77</v>
      </c>
      <c r="J114" s="640">
        <f>ROUND(IF(E28=0,0,IF(E28&gt;250,-(((250/E28)*I114)*IF(H113="H",0.02,0.05)),IF(H113="H",-0.02*I114,-0.05*I114))),2)</f>
        <v>-85004.83</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11274904.82</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641"/>
      <c r="I118" s="642"/>
      <c r="J118" s="647">
        <f>-'Cumulative Payments'!R82</f>
        <v>-9190975.8200000003</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2083929</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1041964.5</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ROUND(IF(H113="H",(I114*0.02)+J114,(I114*0.05)+J114),2)</f>
        <v>44260.31</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642"/>
      <c r="I127" s="651"/>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5F6DC-1D29-487E-ADA6-EBA8BC888E02}">
  <dimension ref="A1:Z207"/>
  <sheetViews>
    <sheetView topLeftCell="A105" workbookViewId="0">
      <selection activeCell="A5" sqref="A5:J5"/>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441</v>
      </c>
      <c r="B2" s="101"/>
      <c r="C2" s="101"/>
      <c r="D2" s="101"/>
      <c r="E2" s="6"/>
      <c r="F2" s="6"/>
      <c r="G2" s="6"/>
      <c r="H2" s="6"/>
      <c r="I2" s="686" t="str">
        <f>RIGHT(A2,4)</f>
        <v>3083</v>
      </c>
      <c r="J2" s="6"/>
      <c r="K2" s="6"/>
      <c r="L2" s="6"/>
      <c r="M2" s="6"/>
      <c r="N2" s="6"/>
      <c r="O2" s="6"/>
      <c r="P2" s="6"/>
      <c r="Q2" s="6"/>
      <c r="R2" s="898" t="str">
        <f>Revenue_Estimate_Worksheet_for___________Charter_School</f>
        <v>Revenue Estimate Worksheet: The Learning Academy at The Els Center of Excellence - 3083</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1.02</v>
      </c>
      <c r="D13" s="357">
        <f>SUMIFS(CountData!J:J,CountData!H:H,$I$2,CountData!I:I,$O13)</f>
        <v>0.5</v>
      </c>
      <c r="E13" s="812">
        <f t="shared" si="0"/>
        <v>1.52</v>
      </c>
      <c r="F13" s="812"/>
      <c r="G13" s="813">
        <f>Consolidated!$F15</f>
        <v>1.1080000000000001</v>
      </c>
      <c r="H13" s="813">
        <f>Consolidated!$H$9</f>
        <v>1</v>
      </c>
      <c r="I13" s="517">
        <f t="shared" ref="I13:I27" si="3">ROUND(E13*G13,4)</f>
        <v>1.6841999999999999</v>
      </c>
      <c r="J13" s="518">
        <f t="shared" si="1"/>
        <v>9369.76</v>
      </c>
      <c r="L13" s="21"/>
      <c r="M13" s="2"/>
      <c r="O13" s="2" t="str">
        <f t="shared" si="2"/>
        <v>111</v>
      </c>
      <c r="R13" s="737" t="s">
        <v>21</v>
      </c>
      <c r="S13" s="737"/>
      <c r="T13" s="876">
        <f t="shared" ref="T13:T27" si="4">IF($I$111=1,E13,0)</f>
        <v>1.52</v>
      </c>
      <c r="U13" s="876"/>
      <c r="V13" s="875">
        <v>1</v>
      </c>
      <c r="W13" s="875"/>
      <c r="X13" s="150">
        <f t="shared" ref="X13:X27" si="5">ROUND(T13*V13,4)</f>
        <v>1.52</v>
      </c>
      <c r="Y13" s="217">
        <f t="shared" ref="Y13" si="6">ROUND(ROUND(ROUND(X13*$E$6,4)*($I$6),2)*(MAX($I$7,1)),2)</f>
        <v>8456.26</v>
      </c>
    </row>
    <row r="14" spans="1:25" x14ac:dyDescent="0.25">
      <c r="A14" s="738" t="s">
        <v>22</v>
      </c>
      <c r="B14" s="738"/>
      <c r="C14" s="357">
        <f>SUMIFS(CountData!D:D,CountData!B:B,$I$2,CountData!C:C,$O14)</f>
        <v>0</v>
      </c>
      <c r="D14" s="357">
        <f>SUMIFS(CountData!J:J,CountData!H:H,$I$2,CountData!I:I,$O14)</f>
        <v>0</v>
      </c>
      <c r="E14" s="812">
        <f t="shared" si="0"/>
        <v>0</v>
      </c>
      <c r="F14" s="812"/>
      <c r="G14" s="813">
        <f>Consolidated!$F16</f>
        <v>1</v>
      </c>
      <c r="H14" s="813">
        <f>Consolidated!$H$9</f>
        <v>1</v>
      </c>
      <c r="I14" s="517">
        <f t="shared" si="3"/>
        <v>0</v>
      </c>
      <c r="J14" s="518">
        <f>ROUND(ROUND(ROUND(I14*$E$6,4)*($I$6),2)*(MAX($I$7,1)),2)</f>
        <v>0</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0.5</v>
      </c>
      <c r="D15" s="357">
        <f>SUMIFS(CountData!J:J,CountData!H:H,$I$2,CountData!I:I,$O15)</f>
        <v>0.5</v>
      </c>
      <c r="E15" s="812">
        <f t="shared" si="0"/>
        <v>1</v>
      </c>
      <c r="F15" s="812"/>
      <c r="G15" s="813">
        <f>Consolidated!$F17</f>
        <v>1</v>
      </c>
      <c r="H15" s="813">
        <f>Consolidated!$H$9</f>
        <v>1</v>
      </c>
      <c r="I15" s="517">
        <f t="shared" si="3"/>
        <v>1</v>
      </c>
      <c r="J15" s="518">
        <f t="shared" si="1"/>
        <v>5563.33</v>
      </c>
      <c r="M15" s="2"/>
      <c r="O15" s="2" t="str">
        <f t="shared" si="2"/>
        <v>112</v>
      </c>
      <c r="R15" s="737" t="s">
        <v>23</v>
      </c>
      <c r="S15" s="737"/>
      <c r="T15" s="876">
        <f t="shared" si="4"/>
        <v>1</v>
      </c>
      <c r="U15" s="876"/>
      <c r="V15" s="875">
        <v>1</v>
      </c>
      <c r="W15" s="875"/>
      <c r="X15" s="150">
        <f t="shared" si="5"/>
        <v>1</v>
      </c>
      <c r="Y15" s="217">
        <f t="shared" ref="Y15:Y27" si="7">ROUND(ROUND(ROUND(X15*$E$6,4)*($I$6),2)*(MAX($I$7,1)),2)</f>
        <v>5563.33</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4.96</v>
      </c>
      <c r="D17" s="357">
        <f>SUMIFS(CountData!J:J,CountData!H:H,$I$2,CountData!I:I,$O17)</f>
        <v>4.46</v>
      </c>
      <c r="E17" s="812">
        <f t="shared" si="0"/>
        <v>9.42</v>
      </c>
      <c r="F17" s="812"/>
      <c r="G17" s="813">
        <f>Consolidated!$F19</f>
        <v>0.97199999999999998</v>
      </c>
      <c r="H17" s="813">
        <f>Consolidated!$H$9</f>
        <v>1</v>
      </c>
      <c r="I17" s="517">
        <f t="shared" si="3"/>
        <v>9.1562000000000001</v>
      </c>
      <c r="J17" s="518">
        <f t="shared" si="1"/>
        <v>50938.94</v>
      </c>
      <c r="M17" s="2"/>
      <c r="O17" s="2" t="str">
        <f t="shared" si="2"/>
        <v>113</v>
      </c>
      <c r="R17" s="737" t="s">
        <v>25</v>
      </c>
      <c r="S17" s="737"/>
      <c r="T17" s="876">
        <f t="shared" si="4"/>
        <v>9.42</v>
      </c>
      <c r="U17" s="876"/>
      <c r="V17" s="875">
        <v>1</v>
      </c>
      <c r="W17" s="875"/>
      <c r="X17" s="150">
        <f t="shared" si="5"/>
        <v>9.42</v>
      </c>
      <c r="Y17" s="217">
        <f t="shared" si="7"/>
        <v>52406.54</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37.04</v>
      </c>
      <c r="D20" s="357">
        <f>SUMIFS(CountData!J:J,CountData!H:H,$I$2,CountData!I:I,$O20)</f>
        <v>33.96</v>
      </c>
      <c r="E20" s="812">
        <f t="shared" si="0"/>
        <v>71</v>
      </c>
      <c r="F20" s="812"/>
      <c r="G20" s="813">
        <f>Consolidated!$F22</f>
        <v>3.609</v>
      </c>
      <c r="H20" s="813">
        <f>Consolidated!$H$9</f>
        <v>1</v>
      </c>
      <c r="I20" s="517">
        <f t="shared" si="3"/>
        <v>256.23899999999998</v>
      </c>
      <c r="J20" s="518">
        <f t="shared" si="1"/>
        <v>1425541.42</v>
      </c>
      <c r="M20" s="2"/>
      <c r="O20" s="2" t="str">
        <f>IF(O$9="H",LEFT(R$20,3),"")</f>
        <v>254</v>
      </c>
      <c r="R20" s="737" t="s">
        <v>28</v>
      </c>
      <c r="S20" s="737"/>
      <c r="T20" s="876">
        <f t="shared" si="4"/>
        <v>71</v>
      </c>
      <c r="U20" s="876"/>
      <c r="V20" s="875">
        <v>1</v>
      </c>
      <c r="W20" s="875"/>
      <c r="X20" s="150">
        <f t="shared" si="5"/>
        <v>71</v>
      </c>
      <c r="Y20" s="217">
        <f t="shared" si="7"/>
        <v>394996.24</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45.97</v>
      </c>
      <c r="D23" s="357">
        <f>SUMIFS(CountData!J:J,CountData!H:H,$I$2,CountData!I:I,$O23)</f>
        <v>50.48</v>
      </c>
      <c r="E23" s="812">
        <f t="shared" si="0"/>
        <v>96.449999999999989</v>
      </c>
      <c r="F23" s="812"/>
      <c r="G23" s="813">
        <f>Consolidated!$F25</f>
        <v>6.0640000000000001</v>
      </c>
      <c r="H23" s="813">
        <f>Consolidated!$H$9</f>
        <v>1</v>
      </c>
      <c r="I23" s="517">
        <f t="shared" si="3"/>
        <v>584.87279999999998</v>
      </c>
      <c r="J23" s="518">
        <f t="shared" si="1"/>
        <v>3253838.82</v>
      </c>
      <c r="M23" s="2"/>
      <c r="O23" s="2" t="str">
        <f>IF(O$9="H",LEFT(R$23,3),"")</f>
        <v>255</v>
      </c>
      <c r="R23" s="737" t="s">
        <v>31</v>
      </c>
      <c r="S23" s="737"/>
      <c r="T23" s="876">
        <f t="shared" si="4"/>
        <v>96.449999999999989</v>
      </c>
      <c r="U23" s="876"/>
      <c r="V23" s="875">
        <v>1</v>
      </c>
      <c r="W23" s="875"/>
      <c r="X23" s="150">
        <f t="shared" si="5"/>
        <v>96.45</v>
      </c>
      <c r="Y23" s="217">
        <f t="shared" si="7"/>
        <v>536582.92000000004</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89.49</v>
      </c>
      <c r="D28" s="720">
        <f>SUM(D12:D27)</f>
        <v>89.9</v>
      </c>
      <c r="E28" s="817">
        <f>SUM(E12:E27)</f>
        <v>179.39</v>
      </c>
      <c r="F28" s="817"/>
      <c r="G28" s="812"/>
      <c r="H28" s="812"/>
      <c r="I28" s="23">
        <f>SUM(I12:I27)</f>
        <v>852.95219999999995</v>
      </c>
      <c r="J28" s="121">
        <f>SUM(J12:J27)</f>
        <v>4745252.2699999996</v>
      </c>
      <c r="M28" s="2"/>
      <c r="R28" s="878" t="s">
        <v>36</v>
      </c>
      <c r="S28" s="878"/>
      <c r="T28" s="879">
        <f>SUM(T12:T27)</f>
        <v>179.39</v>
      </c>
      <c r="U28" s="879"/>
      <c r="V28" s="880"/>
      <c r="W28" s="880"/>
      <c r="X28" s="152">
        <f>SUM(X12:X27)</f>
        <v>179.39</v>
      </c>
      <c r="Y28" s="217">
        <f>SUM(Y12:Y27)</f>
        <v>998005.29</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852.95219999999995</v>
      </c>
      <c r="H33" s="812" t="s">
        <v>45</v>
      </c>
      <c r="I33" s="812"/>
      <c r="J33" s="32">
        <f>SUM(J32,J28)</f>
        <v>4745252.2699999996</v>
      </c>
      <c r="M33" s="2"/>
      <c r="R33" s="833" t="s">
        <v>44</v>
      </c>
      <c r="S33" s="833"/>
      <c r="T33" s="833"/>
      <c r="U33" s="833"/>
      <c r="V33" s="158">
        <f>V32+X28</f>
        <v>179.39</v>
      </c>
      <c r="W33" s="880" t="s">
        <v>45</v>
      </c>
      <c r="X33" s="880"/>
      <c r="Y33" s="159">
        <f>SUM(Y32,Y28)</f>
        <v>998005.29</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4261458.6399999997</v>
      </c>
      <c r="H36" s="37" t="s">
        <v>49</v>
      </c>
      <c r="I36" s="38">
        <v>6.6699999999999995E-2</v>
      </c>
      <c r="J36" s="125">
        <f>ROUND(G36*I36,2)</f>
        <v>284239.28999999998</v>
      </c>
      <c r="K36" s="39"/>
      <c r="L36" s="33"/>
      <c r="M36" s="33"/>
      <c r="N36" s="33"/>
      <c r="O36" s="31"/>
      <c r="P36" s="34"/>
      <c r="Q36" s="34"/>
      <c r="R36" s="737" t="s">
        <v>47</v>
      </c>
      <c r="S36" s="737"/>
      <c r="T36" s="737"/>
      <c r="U36" s="163"/>
      <c r="V36" s="166">
        <v>895695.69</v>
      </c>
      <c r="W36" s="167" t="s">
        <v>49</v>
      </c>
      <c r="X36" s="168">
        <v>6.6699999999999995E-2</v>
      </c>
      <c r="Y36" s="217">
        <f>J36</f>
        <v>284239.28999999998</v>
      </c>
    </row>
    <row r="37" spans="1:25" ht="20.25" customHeight="1" x14ac:dyDescent="0.25">
      <c r="A37" s="738" t="s">
        <v>50</v>
      </c>
      <c r="B37" s="738"/>
      <c r="C37" s="738"/>
      <c r="D37" s="738"/>
      <c r="E37" s="738"/>
      <c r="F37" s="36" t="s">
        <v>48</v>
      </c>
      <c r="G37" s="126">
        <v>4261458.6399999997</v>
      </c>
      <c r="H37" s="37" t="s">
        <v>49</v>
      </c>
      <c r="I37" s="38">
        <v>5.4000000000000003E-3</v>
      </c>
      <c r="J37" s="125">
        <f>ROUND(G37*I37,2)</f>
        <v>23011.88</v>
      </c>
      <c r="K37" s="39"/>
      <c r="L37" s="33"/>
      <c r="M37" s="33"/>
      <c r="N37" s="33"/>
      <c r="O37" s="31"/>
      <c r="P37" s="34"/>
      <c r="Q37" s="34"/>
      <c r="R37" s="737" t="s">
        <v>50</v>
      </c>
      <c r="S37" s="737"/>
      <c r="T37" s="737"/>
      <c r="U37" s="163"/>
      <c r="V37" s="166">
        <v>895695.69</v>
      </c>
      <c r="W37" s="167" t="s">
        <v>49</v>
      </c>
      <c r="X37" s="168">
        <v>5.4000000000000003E-3</v>
      </c>
      <c r="Y37" s="217">
        <f>J37</f>
        <v>23011.88</v>
      </c>
    </row>
    <row r="38" spans="1:25" ht="20.25" customHeight="1" x14ac:dyDescent="0.25">
      <c r="A38" s="820" t="s">
        <v>51</v>
      </c>
      <c r="B38" s="820"/>
      <c r="C38" s="820"/>
      <c r="D38" s="820"/>
      <c r="E38" s="820"/>
      <c r="F38" s="36" t="s">
        <v>52</v>
      </c>
      <c r="G38" s="40"/>
      <c r="H38" s="37"/>
      <c r="I38" s="41"/>
      <c r="J38" s="125">
        <f>SUM(J36:J37)</f>
        <v>307251.17</v>
      </c>
      <c r="K38" s="39"/>
      <c r="L38" s="33"/>
      <c r="M38" s="33"/>
      <c r="N38" s="33"/>
      <c r="O38" s="31"/>
      <c r="P38" s="34"/>
      <c r="Q38" s="34"/>
      <c r="R38" s="739" t="s">
        <v>51</v>
      </c>
      <c r="S38" s="739"/>
      <c r="T38" s="739"/>
      <c r="U38" s="163" t="s">
        <v>52</v>
      </c>
      <c r="V38" s="169"/>
      <c r="W38" s="167"/>
      <c r="X38" s="170"/>
      <c r="Y38" s="217">
        <f>Y36+Y37</f>
        <v>307251.17</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1</v>
      </c>
      <c r="D41" s="357">
        <v>0</v>
      </c>
      <c r="E41" s="826">
        <f t="shared" ref="E41:E49" si="8">IF($D$50=0,C41*2,C41+D41)</f>
        <v>2</v>
      </c>
      <c r="F41" s="826"/>
      <c r="G41" s="37" t="s">
        <v>59</v>
      </c>
      <c r="H41" s="37">
        <v>251</v>
      </c>
      <c r="I41" s="130">
        <f>Consolidated!$H59</f>
        <v>1047</v>
      </c>
      <c r="J41" s="46">
        <f t="shared" ref="J41:J49" si="9">ROUND(E41*I41,2)</f>
        <v>2094</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46">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x14ac:dyDescent="0.25">
      <c r="A44" s="825"/>
      <c r="B44" s="825"/>
      <c r="C44" s="357"/>
      <c r="D44" s="357">
        <v>0</v>
      </c>
      <c r="E44" s="826">
        <f t="shared" si="8"/>
        <v>0</v>
      </c>
      <c r="F44" s="826"/>
      <c r="G44" s="47" t="s">
        <v>60</v>
      </c>
      <c r="H44" s="37">
        <v>251</v>
      </c>
      <c r="I44" s="130">
        <f>Consolidated!$H62</f>
        <v>1173</v>
      </c>
      <c r="J44" s="131">
        <f t="shared" si="9"/>
        <v>0</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46">
        <f t="shared" si="9"/>
        <v>0</v>
      </c>
      <c r="M45" s="2"/>
      <c r="R45" s="885"/>
      <c r="S45" s="885"/>
      <c r="T45" s="867"/>
      <c r="U45" s="867"/>
      <c r="V45" s="176" t="s">
        <v>60</v>
      </c>
      <c r="W45" s="167">
        <v>252</v>
      </c>
      <c r="X45" s="128">
        <f>Consolidated!$H63</f>
        <v>3506</v>
      </c>
      <c r="Y45" s="218">
        <f t="shared" si="10"/>
        <v>0</v>
      </c>
    </row>
    <row r="46" spans="1:25" x14ac:dyDescent="0.25">
      <c r="A46" s="825"/>
      <c r="B46" s="825"/>
      <c r="C46" s="357">
        <v>0.5</v>
      </c>
      <c r="D46" s="357">
        <v>0</v>
      </c>
      <c r="E46" s="826">
        <f t="shared" si="8"/>
        <v>1</v>
      </c>
      <c r="F46" s="826"/>
      <c r="G46" s="47" t="s">
        <v>60</v>
      </c>
      <c r="H46" s="37">
        <v>253</v>
      </c>
      <c r="I46" s="130">
        <f>Consolidated!$H64</f>
        <v>7023</v>
      </c>
      <c r="J46" s="46">
        <f t="shared" si="9"/>
        <v>7023</v>
      </c>
      <c r="M46" s="2"/>
      <c r="R46" s="885"/>
      <c r="S46" s="885"/>
      <c r="T46" s="867"/>
      <c r="U46" s="867"/>
      <c r="V46" s="176" t="s">
        <v>60</v>
      </c>
      <c r="W46" s="167">
        <v>253</v>
      </c>
      <c r="X46" s="128">
        <f>Consolidated!$H64</f>
        <v>7023</v>
      </c>
      <c r="Y46" s="218">
        <f t="shared" si="10"/>
        <v>0</v>
      </c>
    </row>
    <row r="47" spans="1:25" ht="16.5" customHeight="1" x14ac:dyDescent="0.25">
      <c r="A47" s="825"/>
      <c r="B47" s="825"/>
      <c r="C47" s="357">
        <v>0.5</v>
      </c>
      <c r="D47" s="357">
        <v>0</v>
      </c>
      <c r="E47" s="826">
        <f t="shared" si="8"/>
        <v>1</v>
      </c>
      <c r="F47" s="826"/>
      <c r="G47" s="47" t="s">
        <v>61</v>
      </c>
      <c r="H47" s="37">
        <v>251</v>
      </c>
      <c r="I47" s="130">
        <f>Consolidated!$H65</f>
        <v>835</v>
      </c>
      <c r="J47" s="46">
        <f t="shared" si="9"/>
        <v>835</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4.5</v>
      </c>
      <c r="D49" s="357">
        <v>0</v>
      </c>
      <c r="E49" s="831">
        <f t="shared" si="8"/>
        <v>9</v>
      </c>
      <c r="F49" s="831"/>
      <c r="G49" s="47" t="s">
        <v>61</v>
      </c>
      <c r="H49" s="37">
        <v>253</v>
      </c>
      <c r="I49" s="130">
        <f>Consolidated!$H67</f>
        <v>6685</v>
      </c>
      <c r="J49" s="131">
        <f t="shared" si="9"/>
        <v>60165</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6.5</v>
      </c>
      <c r="D50" s="524">
        <f>SUM(D41:D49)</f>
        <v>0</v>
      </c>
      <c r="E50" s="832">
        <f>SUM(E41:E49)</f>
        <v>13</v>
      </c>
      <c r="F50" s="832"/>
      <c r="G50" s="818" t="s">
        <v>63</v>
      </c>
      <c r="H50" s="818"/>
      <c r="I50" s="818"/>
      <c r="J50" s="225">
        <f>SUM(J41:J49)</f>
        <v>70117</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179.39</v>
      </c>
      <c r="U52" s="178" t="s">
        <v>66</v>
      </c>
      <c r="V52" s="179"/>
      <c r="W52" s="180" t="s">
        <v>67</v>
      </c>
      <c r="X52" s="863">
        <f>I53</f>
        <v>207782.75</v>
      </c>
      <c r="Y52" s="863"/>
    </row>
    <row r="53" spans="1:25" ht="16.5" customHeight="1" x14ac:dyDescent="0.25">
      <c r="A53" s="827" t="s">
        <v>65</v>
      </c>
      <c r="B53" s="827"/>
      <c r="C53" s="51"/>
      <c r="D53" s="51"/>
      <c r="E53" s="48">
        <f>E28</f>
        <v>179.39</v>
      </c>
      <c r="F53" s="49" t="s">
        <v>66</v>
      </c>
      <c r="G53" s="3"/>
      <c r="H53" s="50" t="s">
        <v>67</v>
      </c>
      <c r="I53" s="918">
        <f>Consolidated!H$71</f>
        <v>207782.75</v>
      </c>
      <c r="J53" s="918"/>
      <c r="M53" s="2"/>
      <c r="R53" s="181"/>
      <c r="S53" s="182"/>
      <c r="T53" s="164"/>
      <c r="U53" s="164"/>
      <c r="V53" s="164"/>
      <c r="W53" s="183" t="s">
        <v>68</v>
      </c>
      <c r="X53" s="864">
        <f>ROUND(T52/X52,6)</f>
        <v>8.6300000000000005E-4</v>
      </c>
      <c r="Y53" s="864"/>
    </row>
    <row r="54" spans="1:25" ht="22.5" customHeight="1" x14ac:dyDescent="0.25">
      <c r="A54" s="51"/>
      <c r="B54" s="52"/>
      <c r="C54" s="52"/>
      <c r="D54" s="52"/>
      <c r="H54" s="53" t="s">
        <v>68</v>
      </c>
      <c r="I54" s="828">
        <f>IFERROR(ROUND(E53/I53,6),0)</f>
        <v>8.6300000000000005E-4</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179.39</v>
      </c>
      <c r="U55" s="178" t="s">
        <v>66</v>
      </c>
      <c r="V55" s="179"/>
      <c r="W55" s="180" t="s">
        <v>71</v>
      </c>
      <c r="X55" s="863">
        <f>I56</f>
        <v>221179.83999999997</v>
      </c>
      <c r="Y55" s="863"/>
    </row>
    <row r="56" spans="1:25" ht="16.5" customHeight="1" x14ac:dyDescent="0.25">
      <c r="A56" s="827" t="s">
        <v>70</v>
      </c>
      <c r="B56" s="827"/>
      <c r="C56" s="51"/>
      <c r="D56" s="51"/>
      <c r="E56" s="48">
        <f>G33</f>
        <v>852.95219999999995</v>
      </c>
      <c r="F56" s="49" t="s">
        <v>66</v>
      </c>
      <c r="G56" s="3"/>
      <c r="H56" s="50" t="s">
        <v>71</v>
      </c>
      <c r="I56" s="918">
        <f>Consolidated!H$74</f>
        <v>221179.83999999997</v>
      </c>
      <c r="J56" s="918"/>
      <c r="M56" s="2"/>
      <c r="R56" s="181"/>
      <c r="S56" s="164"/>
      <c r="T56" s="164"/>
      <c r="U56" s="164"/>
      <c r="V56" s="164"/>
      <c r="W56" s="183" t="s">
        <v>68</v>
      </c>
      <c r="X56" s="864">
        <f>ROUND(T55/X55,6)</f>
        <v>8.1099999999999998E-4</v>
      </c>
      <c r="Y56" s="864"/>
    </row>
    <row r="57" spans="1:25" ht="18.75" customHeight="1" x14ac:dyDescent="0.25">
      <c r="A57" s="51"/>
      <c r="H57" s="53" t="s">
        <v>68</v>
      </c>
      <c r="I57" s="828">
        <f>IFERROR(ROUND(E56/I56,6),0)</f>
        <v>3.8560000000000001E-3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179.39</v>
      </c>
      <c r="U58" s="178" t="s">
        <v>66</v>
      </c>
      <c r="V58" s="862" t="s">
        <v>74</v>
      </c>
      <c r="W58" s="862"/>
      <c r="X58" s="863">
        <f>I59</f>
        <v>178931.75</v>
      </c>
      <c r="Y58" s="863"/>
    </row>
    <row r="59" spans="1:25" ht="18.75" customHeight="1" x14ac:dyDescent="0.25">
      <c r="A59" s="827" t="s">
        <v>73</v>
      </c>
      <c r="B59" s="827"/>
      <c r="C59" s="51"/>
      <c r="D59" s="51"/>
      <c r="E59" s="48">
        <f>E28</f>
        <v>179.39</v>
      </c>
      <c r="F59" s="49" t="s">
        <v>66</v>
      </c>
      <c r="G59" s="911" t="s">
        <v>74</v>
      </c>
      <c r="H59" s="911"/>
      <c r="I59" s="918">
        <f>Consolidated!H$77</f>
        <v>178931.75</v>
      </c>
      <c r="J59" s="918"/>
      <c r="M59" s="2"/>
      <c r="R59" s="181"/>
      <c r="S59" s="164"/>
      <c r="T59" s="164"/>
      <c r="U59" s="164"/>
      <c r="V59" s="164"/>
      <c r="W59" s="183" t="s">
        <v>68</v>
      </c>
      <c r="X59" s="864">
        <f>ROUND(T58/X58,6)</f>
        <v>1.003E-3</v>
      </c>
      <c r="Y59" s="864"/>
    </row>
    <row r="60" spans="1:25" ht="18" customHeight="1" x14ac:dyDescent="0.25">
      <c r="A60" s="51"/>
      <c r="H60" s="53" t="s">
        <v>68</v>
      </c>
      <c r="I60" s="828">
        <f>IFERROR(ROUND(E59/I59,6),0)</f>
        <v>1.003E-3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179.39</v>
      </c>
      <c r="U61" s="178" t="s">
        <v>66</v>
      </c>
      <c r="V61" s="862" t="s">
        <v>76</v>
      </c>
      <c r="W61" s="862"/>
      <c r="X61" s="863">
        <f>I62</f>
        <v>207463.82</v>
      </c>
      <c r="Y61" s="863"/>
    </row>
    <row r="62" spans="1:25" ht="30.75" customHeight="1" x14ac:dyDescent="0.25">
      <c r="A62" s="827" t="s">
        <v>73</v>
      </c>
      <c r="B62" s="827"/>
      <c r="C62" s="51"/>
      <c r="D62" s="51"/>
      <c r="E62" s="48">
        <f>E28</f>
        <v>179.39</v>
      </c>
      <c r="F62" s="49" t="s">
        <v>66</v>
      </c>
      <c r="G62" s="911" t="s">
        <v>76</v>
      </c>
      <c r="H62" s="911"/>
      <c r="I62" s="918">
        <f>Consolidated!H$80</f>
        <v>207463.82</v>
      </c>
      <c r="J62" s="918"/>
      <c r="M62" s="2"/>
      <c r="R62" s="181"/>
      <c r="S62" s="164"/>
      <c r="T62" s="164"/>
      <c r="U62" s="164"/>
      <c r="V62" s="164"/>
      <c r="W62" s="183" t="s">
        <v>68</v>
      </c>
      <c r="X62" s="864">
        <f>ROUND(T61/X61,6)</f>
        <v>8.6499999999999999E-4</v>
      </c>
      <c r="Y62" s="864"/>
    </row>
    <row r="63" spans="1:25" ht="19.5" customHeight="1" x14ac:dyDescent="0.25">
      <c r="A63" s="51"/>
      <c r="H63" s="53" t="s">
        <v>68</v>
      </c>
      <c r="I63" s="828">
        <f>IFERROR(ROUND(E62/I62,6),0)</f>
        <v>8.6499999999999999E-4</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179.39</v>
      </c>
      <c r="U64" s="178" t="s">
        <v>66</v>
      </c>
      <c r="V64" s="862" t="s">
        <v>161</v>
      </c>
      <c r="W64" s="862"/>
      <c r="X64" s="863">
        <f>I65</f>
        <v>178612.82</v>
      </c>
      <c r="Y64" s="863"/>
    </row>
    <row r="65" spans="1:26" ht="49.5" customHeight="1" x14ac:dyDescent="0.25">
      <c r="A65" s="827" t="s">
        <v>73</v>
      </c>
      <c r="B65" s="827"/>
      <c r="C65" s="51"/>
      <c r="D65" s="51"/>
      <c r="E65" s="48">
        <f>E28</f>
        <v>179.39</v>
      </c>
      <c r="F65" s="49" t="s">
        <v>66</v>
      </c>
      <c r="G65" s="911" t="s">
        <v>78</v>
      </c>
      <c r="H65" s="911"/>
      <c r="I65" s="918">
        <f>Consolidated!H$83</f>
        <v>178612.82</v>
      </c>
      <c r="J65" s="918"/>
      <c r="M65" s="2"/>
      <c r="R65" s="184"/>
      <c r="S65" s="164"/>
      <c r="T65" s="164"/>
      <c r="U65" s="164"/>
      <c r="V65" s="164"/>
      <c r="W65" s="183" t="s">
        <v>68</v>
      </c>
      <c r="X65" s="864">
        <f>ROUND(T64/X64,6)</f>
        <v>1.0039999999999999E-3</v>
      </c>
      <c r="Y65" s="864"/>
    </row>
    <row r="66" spans="1:26" ht="19.5" customHeight="1" x14ac:dyDescent="0.25">
      <c r="A66" s="51"/>
      <c r="H66" s="53" t="s">
        <v>68</v>
      </c>
      <c r="I66" s="828">
        <f>IFERROR(ROUND(E65/I65,6),0)</f>
        <v>1.0039999999999999E-3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8.6499999999999999E-4</v>
      </c>
      <c r="Y67" s="220">
        <f>ROUND(V67*X67,2)</f>
        <v>39469.599999999999</v>
      </c>
    </row>
    <row r="68" spans="1:26" ht="30.75" customHeight="1" x14ac:dyDescent="0.25">
      <c r="A68" s="836" t="s">
        <v>79</v>
      </c>
      <c r="B68" s="836"/>
      <c r="C68" s="836"/>
      <c r="D68" s="836"/>
      <c r="E68" s="836"/>
      <c r="F68" s="36" t="s">
        <v>80</v>
      </c>
      <c r="G68" s="226">
        <f>Consolidated!F$86</f>
        <v>45629593</v>
      </c>
      <c r="H68" s="37" t="s">
        <v>81</v>
      </c>
      <c r="I68" s="41">
        <f>I63</f>
        <v>8.6499999999999999E-4</v>
      </c>
      <c r="J68" s="132">
        <f>ROUND(G68*I68,2)</f>
        <v>39469.599999999999</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8.6300000000000005E-4</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8.6300000000000005E-4</v>
      </c>
      <c r="J70" s="132">
        <f>ROUND(G70*I70,2)</f>
        <v>0</v>
      </c>
      <c r="M70" s="2"/>
      <c r="R70" s="739" t="s">
        <v>163</v>
      </c>
      <c r="S70" s="739"/>
      <c r="T70" s="739"/>
      <c r="U70" s="163"/>
      <c r="V70" s="187">
        <f>G71</f>
        <v>18934058</v>
      </c>
      <c r="W70" s="167" t="s">
        <v>81</v>
      </c>
      <c r="X70" s="170">
        <f>X65</f>
        <v>1.0039999999999999E-3</v>
      </c>
      <c r="Y70" s="217">
        <f t="shared" si="11"/>
        <v>19009.79</v>
      </c>
    </row>
    <row r="71" spans="1:26" ht="19.5" customHeight="1" x14ac:dyDescent="0.25">
      <c r="A71" s="820" t="s">
        <v>85</v>
      </c>
      <c r="B71" s="820"/>
      <c r="C71" s="820"/>
      <c r="D71" s="820"/>
      <c r="E71" s="820"/>
      <c r="F71" s="36" t="s">
        <v>86</v>
      </c>
      <c r="G71" s="226">
        <f>Consolidated!F$91</f>
        <v>18934058</v>
      </c>
      <c r="H71" s="37" t="s">
        <v>81</v>
      </c>
      <c r="I71" s="41">
        <f>I66</f>
        <v>1.0039999999999999E-3</v>
      </c>
      <c r="J71" s="132">
        <f>ROUND(G71*I71,2)</f>
        <v>19009.79</v>
      </c>
      <c r="M71" s="2"/>
      <c r="R71" s="171" t="s">
        <v>164</v>
      </c>
      <c r="S71" s="171"/>
      <c r="T71" s="171"/>
      <c r="U71" s="163"/>
      <c r="V71" s="165">
        <f>G72</f>
        <v>11300012</v>
      </c>
      <c r="W71" s="167" t="s">
        <v>81</v>
      </c>
      <c r="X71" s="170">
        <f>X59</f>
        <v>1.003E-3</v>
      </c>
      <c r="Y71" s="217">
        <f t="shared" si="11"/>
        <v>11333.91</v>
      </c>
    </row>
    <row r="72" spans="1:26" ht="19.5" customHeight="1" x14ac:dyDescent="0.25">
      <c r="A72" s="42" t="s">
        <v>87</v>
      </c>
      <c r="B72" s="42"/>
      <c r="C72" s="42"/>
      <c r="D72" s="42"/>
      <c r="E72" s="42"/>
      <c r="F72" s="36" t="s">
        <v>88</v>
      </c>
      <c r="G72" s="226">
        <f>Consolidated!F$93</f>
        <v>11300012</v>
      </c>
      <c r="H72" s="37" t="s">
        <v>81</v>
      </c>
      <c r="I72" s="41">
        <f>I60</f>
        <v>1.003E-3</v>
      </c>
      <c r="J72" s="132">
        <f>ROUND(G72*I72,2)</f>
        <v>11333.91</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3.8560000000000001E-3</v>
      </c>
      <c r="J85" s="132">
        <f>ROUND(G85*I85,2)</f>
        <v>1036555.57</v>
      </c>
      <c r="K85" s="70"/>
      <c r="L85" s="70"/>
      <c r="M85" s="71"/>
      <c r="N85" s="70"/>
      <c r="O85" s="70"/>
      <c r="P85" s="70"/>
      <c r="Q85" s="70"/>
      <c r="R85" s="739" t="s">
        <v>168</v>
      </c>
      <c r="S85" s="739"/>
      <c r="T85" s="739"/>
      <c r="U85" s="163"/>
      <c r="V85" s="165">
        <f>G85</f>
        <v>268816278</v>
      </c>
      <c r="W85" s="167" t="s">
        <v>81</v>
      </c>
      <c r="X85" s="170">
        <f>X56</f>
        <v>8.1099999999999998E-4</v>
      </c>
      <c r="Y85" s="217">
        <f t="shared" ref="Y85:Y87" si="12">ROUND(V85*X85,2)</f>
        <v>218010</v>
      </c>
    </row>
    <row r="86" spans="1:26" ht="14.25" customHeight="1" x14ac:dyDescent="0.25">
      <c r="A86" s="820" t="s">
        <v>104</v>
      </c>
      <c r="B86" s="820"/>
      <c r="C86" s="820"/>
      <c r="D86" s="820"/>
      <c r="E86" s="820"/>
      <c r="F86" s="36" t="s">
        <v>103</v>
      </c>
      <c r="G86" s="133">
        <v>0</v>
      </c>
      <c r="H86" s="37" t="s">
        <v>81</v>
      </c>
      <c r="I86" s="41">
        <f>I57</f>
        <v>3.8560000000000001E-3</v>
      </c>
      <c r="J86" s="132">
        <f>ROUND(G86*I86,2)</f>
        <v>0</v>
      </c>
      <c r="K86" s="70"/>
      <c r="L86" s="71"/>
      <c r="M86" s="76"/>
      <c r="N86" s="76"/>
      <c r="O86" s="76"/>
      <c r="P86" s="76"/>
      <c r="Q86" s="70"/>
      <c r="R86" s="739" t="s">
        <v>169</v>
      </c>
      <c r="S86" s="739"/>
      <c r="T86" s="739"/>
      <c r="U86" s="163"/>
      <c r="V86" s="197">
        <f>G86</f>
        <v>0</v>
      </c>
      <c r="W86" s="167" t="s">
        <v>81</v>
      </c>
      <c r="X86" s="170">
        <f>X56</f>
        <v>8.1099999999999998E-4</v>
      </c>
      <c r="Y86" s="217">
        <f t="shared" si="12"/>
        <v>0</v>
      </c>
    </row>
    <row r="87" spans="1:26" ht="18" customHeight="1" x14ac:dyDescent="0.25">
      <c r="A87" s="820" t="s">
        <v>105</v>
      </c>
      <c r="B87" s="820"/>
      <c r="C87" s="820"/>
      <c r="D87" s="820"/>
      <c r="E87" s="820"/>
      <c r="F87" s="36" t="s">
        <v>84</v>
      </c>
      <c r="G87" s="133">
        <v>0</v>
      </c>
      <c r="H87" s="37" t="s">
        <v>81</v>
      </c>
      <c r="I87" s="41">
        <f>I54</f>
        <v>8.6300000000000005E-4</v>
      </c>
      <c r="J87" s="62">
        <f>ROUND(G87*I87,2)</f>
        <v>0</v>
      </c>
      <c r="K87" s="77"/>
      <c r="L87" s="70"/>
      <c r="M87" s="71"/>
      <c r="N87" s="70"/>
      <c r="O87" s="70"/>
      <c r="P87" s="70"/>
      <c r="Q87" s="70"/>
      <c r="R87" s="171" t="s">
        <v>170</v>
      </c>
      <c r="S87" s="171"/>
      <c r="T87" s="171"/>
      <c r="U87" s="163"/>
      <c r="V87" s="197">
        <f>G87</f>
        <v>0</v>
      </c>
      <c r="W87" s="167" t="s">
        <v>81</v>
      </c>
      <c r="X87" s="170">
        <f>X53</f>
        <v>8.6300000000000005E-4</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1.6841999999999999</v>
      </c>
      <c r="C90" s="80"/>
      <c r="D90" s="894">
        <f>I6</f>
        <v>1.0355000000000001</v>
      </c>
      <c r="E90" s="894"/>
      <c r="F90" s="894"/>
      <c r="G90" s="117">
        <f>Consolidated!F$118</f>
        <v>958.42</v>
      </c>
      <c r="H90" s="47" t="s">
        <v>68</v>
      </c>
      <c r="I90" s="135">
        <f>ROUND(B90*D90*G90,2)</f>
        <v>1671.47</v>
      </c>
      <c r="J90" s="81"/>
      <c r="K90" s="70"/>
      <c r="L90" s="70"/>
      <c r="M90" s="71"/>
      <c r="N90" s="70"/>
      <c r="O90" s="70"/>
      <c r="P90" s="70"/>
      <c r="Q90" s="70"/>
      <c r="R90" s="160" t="s">
        <v>110</v>
      </c>
      <c r="S90" s="198">
        <f>X12+X13+X18+X21+X24</f>
        <v>1.52</v>
      </c>
      <c r="T90" s="849">
        <f>X6</f>
        <v>1.0355000000000001</v>
      </c>
      <c r="U90" s="849"/>
      <c r="V90" s="117">
        <f>G90</f>
        <v>958.42</v>
      </c>
      <c r="W90" s="176" t="s">
        <v>68</v>
      </c>
      <c r="X90" s="221">
        <f>ROUND(S90*T90*V90,2)</f>
        <v>1508.51</v>
      </c>
      <c r="Y90" s="199"/>
    </row>
    <row r="91" spans="1:26" ht="21" customHeight="1" x14ac:dyDescent="0.25">
      <c r="A91" s="82" t="s">
        <v>60</v>
      </c>
      <c r="B91" s="80">
        <f>I14+I15+I19+I22+I25</f>
        <v>1</v>
      </c>
      <c r="C91" s="80"/>
      <c r="D91" s="894">
        <f>I6</f>
        <v>1.0355000000000001</v>
      </c>
      <c r="E91" s="894"/>
      <c r="F91" s="894"/>
      <c r="G91" s="117">
        <f>Consolidated!F$119</f>
        <v>915.09</v>
      </c>
      <c r="H91" s="47" t="s">
        <v>68</v>
      </c>
      <c r="I91" s="134">
        <f>ROUND(B91*D91*G91,2)</f>
        <v>947.58</v>
      </c>
      <c r="K91" s="70"/>
      <c r="L91" s="70"/>
      <c r="M91" s="71"/>
      <c r="N91" s="70"/>
      <c r="O91" s="70"/>
      <c r="P91" s="70"/>
      <c r="Q91" s="70"/>
      <c r="R91" s="200" t="s">
        <v>60</v>
      </c>
      <c r="S91" s="198">
        <f>X14+X15+X19+X22+X25</f>
        <v>1</v>
      </c>
      <c r="T91" s="849">
        <f>X6</f>
        <v>1.0355000000000001</v>
      </c>
      <c r="U91" s="849"/>
      <c r="V91" s="117">
        <f>G91</f>
        <v>915.09</v>
      </c>
      <c r="W91" s="176" t="s">
        <v>68</v>
      </c>
      <c r="X91" s="221">
        <f>ROUND(S91*T91*V91,2)</f>
        <v>947.58</v>
      </c>
      <c r="Y91" s="164"/>
    </row>
    <row r="92" spans="1:26" ht="19.5" customHeight="1" thickBot="1" x14ac:dyDescent="0.3">
      <c r="A92" s="83" t="s">
        <v>61</v>
      </c>
      <c r="B92" s="80">
        <f>I16+I17+I20+I23+I26+I27</f>
        <v>850.26800000000003</v>
      </c>
      <c r="C92" s="80"/>
      <c r="D92" s="894">
        <f>I6</f>
        <v>1.0355000000000001</v>
      </c>
      <c r="E92" s="894"/>
      <c r="F92" s="894"/>
      <c r="G92" s="117">
        <f>Consolidated!F$120</f>
        <v>917.3</v>
      </c>
      <c r="H92" s="47" t="s">
        <v>68</v>
      </c>
      <c r="I92" s="515">
        <f>ROUND(B92*D92*G92,2)</f>
        <v>807639.09</v>
      </c>
      <c r="K92" s="70"/>
      <c r="L92" s="70"/>
      <c r="M92" s="71"/>
      <c r="N92" s="70"/>
      <c r="O92" s="70"/>
      <c r="P92" s="70"/>
      <c r="Q92" s="70"/>
      <c r="R92" s="201" t="s">
        <v>61</v>
      </c>
      <c r="S92" s="202">
        <f>X16+X17+X20+X23+X26+X27</f>
        <v>176.87</v>
      </c>
      <c r="T92" s="849">
        <f>X6</f>
        <v>1.0355000000000001</v>
      </c>
      <c r="U92" s="849"/>
      <c r="V92" s="117">
        <f>G92</f>
        <v>917.3</v>
      </c>
      <c r="W92" s="176" t="s">
        <v>68</v>
      </c>
      <c r="X92" s="221">
        <f>ROUND(S92*T92*V92,2)</f>
        <v>168002.47</v>
      </c>
      <c r="Y92" s="164"/>
    </row>
    <row r="93" spans="1:26" ht="18.75" customHeight="1" thickBot="1" x14ac:dyDescent="0.3">
      <c r="A93" s="84" t="s">
        <v>111</v>
      </c>
      <c r="B93" s="80">
        <f>SUM(B90:B92)</f>
        <v>852.95220000000006</v>
      </c>
      <c r="C93" s="80"/>
      <c r="D93" s="80"/>
      <c r="E93" s="846" t="s">
        <v>112</v>
      </c>
      <c r="F93" s="846"/>
      <c r="G93" s="846"/>
      <c r="H93" s="846"/>
      <c r="I93" s="846"/>
      <c r="J93" s="121">
        <f>IF(A1=75,0,I92+I91+I90)</f>
        <v>810258.1399999999</v>
      </c>
      <c r="K93" s="70"/>
      <c r="L93" s="70"/>
      <c r="M93" s="71"/>
      <c r="N93" s="70"/>
      <c r="O93" s="70"/>
      <c r="P93" s="70"/>
      <c r="Q93" s="70"/>
      <c r="R93" s="203" t="s">
        <v>111</v>
      </c>
      <c r="S93" s="204">
        <f>SUM(S90:S92)</f>
        <v>179.39000000000001</v>
      </c>
      <c r="T93" s="853" t="s">
        <v>112</v>
      </c>
      <c r="U93" s="854"/>
      <c r="V93" s="854"/>
      <c r="W93" s="854"/>
      <c r="X93" s="854"/>
      <c r="Y93" s="217">
        <f>IF(R1=75,0,X92+X91+X90)</f>
        <v>170458.56</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1</v>
      </c>
      <c r="U96" s="851"/>
      <c r="V96" s="851"/>
      <c r="W96" s="205" t="s">
        <v>117</v>
      </c>
      <c r="X96" s="206">
        <f>I97</f>
        <v>586</v>
      </c>
      <c r="Y96" s="217">
        <f>ROUND(X96*T96,2)</f>
        <v>586</v>
      </c>
    </row>
    <row r="97" spans="1:25" ht="17.25" customHeight="1" x14ac:dyDescent="0.25">
      <c r="A97" s="818" t="s">
        <v>116</v>
      </c>
      <c r="B97" s="818"/>
      <c r="C97" s="228">
        <v>1</v>
      </c>
      <c r="D97" s="228">
        <v>0</v>
      </c>
      <c r="E97" s="913">
        <f>(C97+D97)</f>
        <v>1</v>
      </c>
      <c r="F97" s="850"/>
      <c r="G97" s="850"/>
      <c r="H97" s="85" t="s">
        <v>117</v>
      </c>
      <c r="I97" s="124">
        <f>Consolidated!G$127</f>
        <v>586</v>
      </c>
      <c r="J97" s="132">
        <f>ROUND(I97*E97,2)</f>
        <v>586</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1</v>
      </c>
      <c r="D98" s="228">
        <v>0</v>
      </c>
      <c r="E98" s="913">
        <f>(C98+D98)</f>
        <v>1</v>
      </c>
      <c r="F98" s="850"/>
      <c r="G98" s="850"/>
      <c r="H98" s="85" t="s">
        <v>117</v>
      </c>
      <c r="I98" s="124">
        <f>Consolidated!G$128</f>
        <v>1811</v>
      </c>
      <c r="J98" s="62">
        <f>ROUND(I98*E98,2)</f>
        <v>1811</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6734393.2799999993</v>
      </c>
      <c r="L107" s="516"/>
      <c r="R107" s="739" t="s">
        <v>125</v>
      </c>
      <c r="S107" s="739"/>
      <c r="T107" s="739"/>
      <c r="U107" s="739"/>
      <c r="V107" s="739"/>
      <c r="W107" s="739"/>
      <c r="X107" s="739"/>
      <c r="Y107" s="652">
        <f>SUM(Y106,Y105,Y97,Y96,Y93,Y86,Y85,Y84,Y70,Y69,Y67,Y33,Y71,Y50,Y87,Y83)</f>
        <v>1456873.15</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6427142.1099999994</v>
      </c>
      <c r="R109" s="164" t="s">
        <v>176</v>
      </c>
      <c r="S109" s="164"/>
      <c r="T109" s="164"/>
      <c r="U109" s="164"/>
      <c r="V109" s="164"/>
      <c r="W109" s="164"/>
      <c r="X109" s="164"/>
      <c r="Y109" s="653">
        <f>Y107-Y38</f>
        <v>1149621.98</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3">
        <v>1</v>
      </c>
      <c r="J111" s="131">
        <f>Y109</f>
        <v>1149621.98</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638"/>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I114" s="639">
        <f>IF(I111=1,J111,J109)</f>
        <v>1149621.98</v>
      </c>
      <c r="J114" s="640">
        <f>ROUND(IF(E28=0,0,IF(E28&gt;250,-(((250/E28)*I114)*IF(H113="H",0.02,0.05)),IF(H113="H",-0.02*I114,-0.05*I114))),2)</f>
        <v>-57481.1</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6676912.1799999997</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641"/>
      <c r="I118" s="642"/>
      <c r="J118" s="647">
        <f>-'Cumulative Payments'!R83</f>
        <v>-5340312.66</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1336599.5199999996</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668299.76</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ROUND(IF(H113="H",(I114*0.02)+J114,(I114*0.05)+J114),2)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7115-A370-40C6-8E06-C088BC87A968}">
  <dimension ref="A1:Z207"/>
  <sheetViews>
    <sheetView topLeftCell="A119" workbookViewId="0">
      <selection activeCell="A119" sqref="A119"/>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442</v>
      </c>
      <c r="B2" s="101"/>
      <c r="C2" s="101"/>
      <c r="D2" s="101"/>
      <c r="E2" s="6"/>
      <c r="F2" s="6"/>
      <c r="G2" s="6"/>
      <c r="H2" s="6"/>
      <c r="I2" s="686" t="str">
        <f>RIGHT(A2,4)</f>
        <v>3345</v>
      </c>
      <c r="J2" s="6"/>
      <c r="K2" s="6"/>
      <c r="L2" s="6"/>
      <c r="M2" s="6"/>
      <c r="N2" s="6"/>
      <c r="O2" s="6"/>
      <c r="P2" s="6"/>
      <c r="Q2" s="6"/>
      <c r="R2" s="898" t="str">
        <f>Revenue_Estimate_Worksheet_for___________Charter_School</f>
        <v>Revenue Estimate Worksheet: Career Academy of the Palm Beaches - 3345</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0</v>
      </c>
      <c r="D14" s="357">
        <f>SUMIFS(CountData!J:J,CountData!H:H,$I$2,CountData!I:I,$O14)</f>
        <v>0</v>
      </c>
      <c r="E14" s="812">
        <f t="shared" si="0"/>
        <v>0</v>
      </c>
      <c r="F14" s="812"/>
      <c r="G14" s="813">
        <f>Consolidated!$F16</f>
        <v>1</v>
      </c>
      <c r="H14" s="813">
        <f>Consolidated!$H$9</f>
        <v>1</v>
      </c>
      <c r="I14" s="517">
        <f t="shared" si="3"/>
        <v>0</v>
      </c>
      <c r="J14" s="518">
        <f>ROUND(ROUND(ROUND(I14*$E$6,4)*($I$6),2)*(MAX($I$7,1)),2)</f>
        <v>0</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0</v>
      </c>
      <c r="D15" s="357">
        <f>SUMIFS(CountData!J:J,CountData!H:H,$I$2,CountData!I:I,$O15)</f>
        <v>0</v>
      </c>
      <c r="E15" s="812">
        <f t="shared" si="0"/>
        <v>0</v>
      </c>
      <c r="F15" s="812"/>
      <c r="G15" s="813">
        <f>Consolidated!$F17</f>
        <v>1</v>
      </c>
      <c r="H15" s="813">
        <f>Consolidated!$H$9</f>
        <v>1</v>
      </c>
      <c r="I15" s="517">
        <f t="shared" si="3"/>
        <v>0</v>
      </c>
      <c r="J15" s="518">
        <f t="shared" si="1"/>
        <v>0</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40.5</v>
      </c>
      <c r="D17" s="357">
        <f>SUMIFS(CountData!J:J,CountData!H:H,$I$2,CountData!I:I,$O17)</f>
        <v>41</v>
      </c>
      <c r="E17" s="812">
        <f t="shared" si="0"/>
        <v>81.5</v>
      </c>
      <c r="F17" s="812"/>
      <c r="G17" s="813">
        <f>Consolidated!$F19</f>
        <v>0.97199999999999998</v>
      </c>
      <c r="H17" s="813">
        <f>Consolidated!$H$9</f>
        <v>1</v>
      </c>
      <c r="I17" s="517">
        <f t="shared" si="3"/>
        <v>79.218000000000004</v>
      </c>
      <c r="J17" s="518">
        <f t="shared" si="1"/>
        <v>440715.66</v>
      </c>
      <c r="M17" s="2"/>
      <c r="O17" s="2" t="str">
        <f t="shared" si="2"/>
        <v>113</v>
      </c>
      <c r="R17" s="737" t="s">
        <v>25</v>
      </c>
      <c r="S17" s="737"/>
      <c r="T17" s="876">
        <f t="shared" si="4"/>
        <v>81.5</v>
      </c>
      <c r="U17" s="876"/>
      <c r="V17" s="875">
        <v>1</v>
      </c>
      <c r="W17" s="875"/>
      <c r="X17" s="150">
        <f t="shared" si="5"/>
        <v>81.5</v>
      </c>
      <c r="Y17" s="217">
        <f t="shared" si="7"/>
        <v>453411.17</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0.5</v>
      </c>
      <c r="D20" s="357">
        <f>SUMIFS(CountData!J:J,CountData!H:H,$I$2,CountData!I:I,$O20)</f>
        <v>1</v>
      </c>
      <c r="E20" s="812">
        <f t="shared" si="0"/>
        <v>1.5</v>
      </c>
      <c r="F20" s="812"/>
      <c r="G20" s="813">
        <f>Consolidated!$F22</f>
        <v>3.609</v>
      </c>
      <c r="H20" s="813">
        <f>Consolidated!$H$9</f>
        <v>1</v>
      </c>
      <c r="I20" s="517">
        <f t="shared" si="3"/>
        <v>5.4135</v>
      </c>
      <c r="J20" s="518">
        <f t="shared" si="1"/>
        <v>30117.07</v>
      </c>
      <c r="M20" s="2"/>
      <c r="O20" s="2" t="str">
        <f>IF(O$9="H",LEFT(R$20,3),"")</f>
        <v>254</v>
      </c>
      <c r="R20" s="737" t="s">
        <v>28</v>
      </c>
      <c r="S20" s="737"/>
      <c r="T20" s="876">
        <f t="shared" si="4"/>
        <v>1.5</v>
      </c>
      <c r="U20" s="876"/>
      <c r="V20" s="875">
        <v>1</v>
      </c>
      <c r="W20" s="875"/>
      <c r="X20" s="150">
        <f t="shared" si="5"/>
        <v>1.5</v>
      </c>
      <c r="Y20" s="217">
        <f t="shared" si="7"/>
        <v>8344.99</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255</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41</v>
      </c>
      <c r="D28" s="720">
        <f>SUM(D12:D27)</f>
        <v>42</v>
      </c>
      <c r="E28" s="817">
        <f>SUM(E12:E27)</f>
        <v>83</v>
      </c>
      <c r="F28" s="817"/>
      <c r="G28" s="812"/>
      <c r="H28" s="812"/>
      <c r="I28" s="23">
        <f>SUM(I12:I27)</f>
        <v>84.631500000000003</v>
      </c>
      <c r="J28" s="121">
        <f>SUM(J12:J27)</f>
        <v>470832.73</v>
      </c>
      <c r="M28" s="2"/>
      <c r="R28" s="878" t="s">
        <v>36</v>
      </c>
      <c r="S28" s="878"/>
      <c r="T28" s="879">
        <f>SUM(T12:T27)</f>
        <v>83</v>
      </c>
      <c r="U28" s="879"/>
      <c r="V28" s="880"/>
      <c r="W28" s="880"/>
      <c r="X28" s="152">
        <f>SUM(X12:X27)</f>
        <v>83</v>
      </c>
      <c r="Y28" s="217">
        <f>SUM(Y12:Y27)</f>
        <v>461756.15999999997</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84.631500000000003</v>
      </c>
      <c r="H33" s="812" t="s">
        <v>45</v>
      </c>
      <c r="I33" s="812"/>
      <c r="J33" s="32">
        <f>SUM(J32,J28)</f>
        <v>470832.73</v>
      </c>
      <c r="M33" s="2"/>
      <c r="R33" s="833" t="s">
        <v>44</v>
      </c>
      <c r="S33" s="833"/>
      <c r="T33" s="833"/>
      <c r="U33" s="833"/>
      <c r="V33" s="158">
        <f>V32+X28</f>
        <v>83</v>
      </c>
      <c r="W33" s="880" t="s">
        <v>45</v>
      </c>
      <c r="X33" s="880"/>
      <c r="Y33" s="159">
        <f>SUM(Y32,Y28)</f>
        <v>461756.15999999997</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445722.66</v>
      </c>
      <c r="H36" s="37" t="s">
        <v>49</v>
      </c>
      <c r="I36" s="38">
        <v>6.6699999999999995E-2</v>
      </c>
      <c r="J36" s="125">
        <f>ROUND(G36*I36,2)</f>
        <v>29729.7</v>
      </c>
      <c r="K36" s="39"/>
      <c r="L36" s="33"/>
      <c r="M36" s="33"/>
      <c r="N36" s="33"/>
      <c r="O36" s="31"/>
      <c r="P36" s="34"/>
      <c r="Q36" s="34"/>
      <c r="R36" s="737" t="s">
        <v>47</v>
      </c>
      <c r="S36" s="737"/>
      <c r="T36" s="737"/>
      <c r="U36" s="163"/>
      <c r="V36" s="166">
        <v>428376.2</v>
      </c>
      <c r="W36" s="167" t="s">
        <v>49</v>
      </c>
      <c r="X36" s="168">
        <v>6.6699999999999995E-2</v>
      </c>
      <c r="Y36" s="217">
        <f>J36</f>
        <v>29729.7</v>
      </c>
    </row>
    <row r="37" spans="1:25" ht="20.25" customHeight="1" x14ac:dyDescent="0.25">
      <c r="A37" s="738" t="s">
        <v>50</v>
      </c>
      <c r="B37" s="738"/>
      <c r="C37" s="738"/>
      <c r="D37" s="738"/>
      <c r="E37" s="738"/>
      <c r="F37" s="36" t="s">
        <v>48</v>
      </c>
      <c r="G37" s="126">
        <v>445722.66</v>
      </c>
      <c r="H37" s="37" t="s">
        <v>49</v>
      </c>
      <c r="I37" s="38">
        <v>5.4000000000000003E-3</v>
      </c>
      <c r="J37" s="125">
        <f>ROUND(G37*I37,2)</f>
        <v>2406.9</v>
      </c>
      <c r="K37" s="39"/>
      <c r="L37" s="33"/>
      <c r="M37" s="33"/>
      <c r="N37" s="33"/>
      <c r="O37" s="31"/>
      <c r="P37" s="34"/>
      <c r="Q37" s="34"/>
      <c r="R37" s="737" t="s">
        <v>50</v>
      </c>
      <c r="S37" s="737"/>
      <c r="T37" s="737"/>
      <c r="U37" s="163"/>
      <c r="V37" s="166">
        <v>428376.2</v>
      </c>
      <c r="W37" s="167" t="s">
        <v>49</v>
      </c>
      <c r="X37" s="168">
        <v>5.4000000000000003E-3</v>
      </c>
      <c r="Y37" s="217">
        <f>J37</f>
        <v>2406.9</v>
      </c>
    </row>
    <row r="38" spans="1:25" ht="20.25" customHeight="1" x14ac:dyDescent="0.25">
      <c r="A38" s="820" t="s">
        <v>51</v>
      </c>
      <c r="B38" s="820"/>
      <c r="C38" s="820"/>
      <c r="D38" s="820"/>
      <c r="E38" s="820"/>
      <c r="F38" s="36" t="s">
        <v>52</v>
      </c>
      <c r="G38" s="40"/>
      <c r="H38" s="37"/>
      <c r="I38" s="41"/>
      <c r="J38" s="125">
        <f>SUM(J36:J37)</f>
        <v>32136.600000000002</v>
      </c>
      <c r="K38" s="39"/>
      <c r="L38" s="33"/>
      <c r="M38" s="33"/>
      <c r="N38" s="33"/>
      <c r="O38" s="31"/>
      <c r="P38" s="34"/>
      <c r="Q38" s="34"/>
      <c r="R38" s="739" t="s">
        <v>51</v>
      </c>
      <c r="S38" s="739"/>
      <c r="T38" s="739"/>
      <c r="U38" s="163" t="s">
        <v>52</v>
      </c>
      <c r="V38" s="169"/>
      <c r="W38" s="167"/>
      <c r="X38" s="170"/>
      <c r="Y38" s="217">
        <f>Y36+Y37</f>
        <v>32136.600000000002</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46">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46">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ht="20.25" customHeight="1" x14ac:dyDescent="0.25">
      <c r="A44" s="825"/>
      <c r="B44" s="825"/>
      <c r="C44" s="357">
        <v>0</v>
      </c>
      <c r="D44" s="357">
        <v>0</v>
      </c>
      <c r="E44" s="826">
        <f t="shared" si="8"/>
        <v>0</v>
      </c>
      <c r="F44" s="826"/>
      <c r="G44" s="47" t="s">
        <v>60</v>
      </c>
      <c r="H44" s="37">
        <v>251</v>
      </c>
      <c r="I44" s="130">
        <f>Consolidated!$H62</f>
        <v>1173</v>
      </c>
      <c r="J44" s="131">
        <f t="shared" si="9"/>
        <v>0</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46">
        <f t="shared" si="9"/>
        <v>0</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1.52</v>
      </c>
      <c r="D47" s="357">
        <v>0</v>
      </c>
      <c r="E47" s="826">
        <f t="shared" si="8"/>
        <v>3.04</v>
      </c>
      <c r="F47" s="826"/>
      <c r="G47" s="47" t="s">
        <v>61</v>
      </c>
      <c r="H47" s="37">
        <v>251</v>
      </c>
      <c r="I47" s="130">
        <f>Consolidated!$H65</f>
        <v>835</v>
      </c>
      <c r="J47" s="131">
        <f t="shared" si="9"/>
        <v>2538.4</v>
      </c>
      <c r="M47" s="2"/>
      <c r="R47" s="885"/>
      <c r="S47" s="885"/>
      <c r="T47" s="867"/>
      <c r="U47" s="867"/>
      <c r="V47" s="176" t="s">
        <v>61</v>
      </c>
      <c r="W47" s="167">
        <v>251</v>
      </c>
      <c r="X47" s="128">
        <f>Consolidated!$H65</f>
        <v>835</v>
      </c>
      <c r="Y47" s="218">
        <f t="shared" si="10"/>
        <v>0</v>
      </c>
    </row>
    <row r="48" spans="1:25" ht="15.75" customHeight="1" x14ac:dyDescent="0.25">
      <c r="A48" s="825"/>
      <c r="B48" s="825"/>
      <c r="C48" s="357">
        <v>13.67</v>
      </c>
      <c r="D48" s="357">
        <v>0</v>
      </c>
      <c r="E48" s="826">
        <f t="shared" si="8"/>
        <v>27.34</v>
      </c>
      <c r="F48" s="826"/>
      <c r="G48" s="47" t="s">
        <v>61</v>
      </c>
      <c r="H48" s="37">
        <v>252</v>
      </c>
      <c r="I48" s="130">
        <f>Consolidated!$H66</f>
        <v>3168</v>
      </c>
      <c r="J48" s="131">
        <f t="shared" si="9"/>
        <v>86613.119999999995</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25.31</v>
      </c>
      <c r="D49" s="357">
        <v>0</v>
      </c>
      <c r="E49" s="831">
        <f t="shared" si="8"/>
        <v>50.62</v>
      </c>
      <c r="F49" s="831"/>
      <c r="G49" s="47" t="s">
        <v>61</v>
      </c>
      <c r="H49" s="37">
        <v>253</v>
      </c>
      <c r="I49" s="130">
        <f>Consolidated!$H67</f>
        <v>6685</v>
      </c>
      <c r="J49" s="131">
        <f t="shared" si="9"/>
        <v>338394.7</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40.5</v>
      </c>
      <c r="D50" s="524">
        <f>SUM(D41:D49)</f>
        <v>0</v>
      </c>
      <c r="E50" s="832">
        <f>SUM(E41:E49)</f>
        <v>81</v>
      </c>
      <c r="F50" s="832"/>
      <c r="G50" s="818" t="s">
        <v>63</v>
      </c>
      <c r="H50" s="818"/>
      <c r="I50" s="818"/>
      <c r="J50" s="225">
        <f>SUM(J41:J49)</f>
        <v>427546.22</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83</v>
      </c>
      <c r="U52" s="178" t="s">
        <v>66</v>
      </c>
      <c r="V52" s="179"/>
      <c r="W52" s="180" t="s">
        <v>67</v>
      </c>
      <c r="X52" s="863">
        <f>I53</f>
        <v>207782.75</v>
      </c>
      <c r="Y52" s="863"/>
    </row>
    <row r="53" spans="1:25" ht="16.5" customHeight="1" x14ac:dyDescent="0.25">
      <c r="A53" s="827" t="s">
        <v>65</v>
      </c>
      <c r="B53" s="827"/>
      <c r="C53" s="51"/>
      <c r="D53" s="51"/>
      <c r="E53" s="48">
        <f>E28</f>
        <v>83</v>
      </c>
      <c r="F53" s="49" t="s">
        <v>66</v>
      </c>
      <c r="G53" s="3"/>
      <c r="H53" s="50" t="s">
        <v>67</v>
      </c>
      <c r="I53" s="918">
        <f>Consolidated!H$71</f>
        <v>207782.75</v>
      </c>
      <c r="J53" s="918"/>
      <c r="M53" s="2"/>
      <c r="R53" s="181"/>
      <c r="S53" s="182"/>
      <c r="T53" s="164"/>
      <c r="U53" s="164"/>
      <c r="V53" s="164"/>
      <c r="W53" s="183" t="s">
        <v>68</v>
      </c>
      <c r="X53" s="864">
        <f>ROUND(T52/X52,6)</f>
        <v>3.9899999999999999E-4</v>
      </c>
      <c r="Y53" s="864"/>
    </row>
    <row r="54" spans="1:25" ht="22.5" customHeight="1" x14ac:dyDescent="0.25">
      <c r="A54" s="51"/>
      <c r="B54" s="52"/>
      <c r="C54" s="52"/>
      <c r="D54" s="52"/>
      <c r="H54" s="53" t="s">
        <v>68</v>
      </c>
      <c r="I54" s="828">
        <f>IFERROR(ROUND(E53/I53,6),0)</f>
        <v>3.9899999999999999E-4</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83</v>
      </c>
      <c r="U55" s="178" t="s">
        <v>66</v>
      </c>
      <c r="V55" s="179"/>
      <c r="W55" s="180" t="s">
        <v>71</v>
      </c>
      <c r="X55" s="863">
        <f>I56</f>
        <v>221179.83999999997</v>
      </c>
      <c r="Y55" s="863"/>
    </row>
    <row r="56" spans="1:25" ht="16.5" customHeight="1" x14ac:dyDescent="0.25">
      <c r="A56" s="827" t="s">
        <v>70</v>
      </c>
      <c r="B56" s="827"/>
      <c r="C56" s="51"/>
      <c r="D56" s="51"/>
      <c r="E56" s="48">
        <f>G33</f>
        <v>84.631500000000003</v>
      </c>
      <c r="F56" s="49" t="s">
        <v>66</v>
      </c>
      <c r="G56" s="3"/>
      <c r="H56" s="50" t="s">
        <v>71</v>
      </c>
      <c r="I56" s="918">
        <f>Consolidated!H$74</f>
        <v>221179.83999999997</v>
      </c>
      <c r="J56" s="918"/>
      <c r="M56" s="2"/>
      <c r="R56" s="181"/>
      <c r="S56" s="164"/>
      <c r="T56" s="164"/>
      <c r="U56" s="164"/>
      <c r="V56" s="164"/>
      <c r="W56" s="183" t="s">
        <v>68</v>
      </c>
      <c r="X56" s="864">
        <f>ROUND(T55/X55,6)</f>
        <v>3.7500000000000001E-4</v>
      </c>
      <c r="Y56" s="864"/>
    </row>
    <row r="57" spans="1:25" ht="18.75" customHeight="1" x14ac:dyDescent="0.25">
      <c r="A57" s="51"/>
      <c r="H57" s="53" t="s">
        <v>68</v>
      </c>
      <c r="I57" s="828">
        <f>IFERROR(ROUND(E56/I56,6),0)</f>
        <v>3.8299999999999999E-4</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83</v>
      </c>
      <c r="U58" s="178" t="s">
        <v>66</v>
      </c>
      <c r="V58" s="862" t="s">
        <v>74</v>
      </c>
      <c r="W58" s="862"/>
      <c r="X58" s="863">
        <f>I59</f>
        <v>178931.75</v>
      </c>
      <c r="Y58" s="863"/>
    </row>
    <row r="59" spans="1:25" ht="18.75" customHeight="1" x14ac:dyDescent="0.25">
      <c r="A59" s="827" t="s">
        <v>73</v>
      </c>
      <c r="B59" s="827"/>
      <c r="C59" s="51"/>
      <c r="D59" s="51"/>
      <c r="E59" s="48">
        <f>E28</f>
        <v>83</v>
      </c>
      <c r="F59" s="49" t="s">
        <v>66</v>
      </c>
      <c r="G59" s="911" t="s">
        <v>74</v>
      </c>
      <c r="H59" s="911"/>
      <c r="I59" s="918">
        <f>Consolidated!H$77</f>
        <v>178931.75</v>
      </c>
      <c r="J59" s="918"/>
      <c r="M59" s="2"/>
      <c r="R59" s="181"/>
      <c r="S59" s="164"/>
      <c r="T59" s="164"/>
      <c r="U59" s="164"/>
      <c r="V59" s="164"/>
      <c r="W59" s="183" t="s">
        <v>68</v>
      </c>
      <c r="X59" s="864">
        <f>ROUND(T58/X58,6)</f>
        <v>4.64E-4</v>
      </c>
      <c r="Y59" s="864"/>
    </row>
    <row r="60" spans="1:25" ht="18" customHeight="1" x14ac:dyDescent="0.25">
      <c r="A60" s="51"/>
      <c r="H60" s="53" t="s">
        <v>68</v>
      </c>
      <c r="I60" s="828">
        <f>IFERROR(ROUND(E59/I59,6),0)</f>
        <v>4.64E-4</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83</v>
      </c>
      <c r="U61" s="178" t="s">
        <v>66</v>
      </c>
      <c r="V61" s="862" t="s">
        <v>76</v>
      </c>
      <c r="W61" s="862"/>
      <c r="X61" s="863">
        <f>I62</f>
        <v>207463.82</v>
      </c>
      <c r="Y61" s="863"/>
    </row>
    <row r="62" spans="1:25" ht="30.75" customHeight="1" x14ac:dyDescent="0.25">
      <c r="A62" s="827" t="s">
        <v>73</v>
      </c>
      <c r="B62" s="827"/>
      <c r="C62" s="51"/>
      <c r="D62" s="51"/>
      <c r="E62" s="48">
        <f>E28</f>
        <v>83</v>
      </c>
      <c r="F62" s="49" t="s">
        <v>66</v>
      </c>
      <c r="G62" s="911" t="s">
        <v>76</v>
      </c>
      <c r="H62" s="911"/>
      <c r="I62" s="918">
        <f>Consolidated!H$80</f>
        <v>207463.82</v>
      </c>
      <c r="J62" s="918"/>
      <c r="M62" s="2"/>
      <c r="R62" s="181"/>
      <c r="S62" s="164"/>
      <c r="T62" s="164"/>
      <c r="U62" s="164"/>
      <c r="V62" s="164"/>
      <c r="W62" s="183" t="s">
        <v>68</v>
      </c>
      <c r="X62" s="864">
        <f>ROUND(T61/X61,6)</f>
        <v>4.0000000000000002E-4</v>
      </c>
      <c r="Y62" s="864"/>
    </row>
    <row r="63" spans="1:25" ht="19.5" customHeight="1" x14ac:dyDescent="0.25">
      <c r="A63" s="51"/>
      <c r="H63" s="53" t="s">
        <v>68</v>
      </c>
      <c r="I63" s="828">
        <f>IFERROR(ROUND(E62/I62,6),0)</f>
        <v>4.0000000000000002E-4</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83</v>
      </c>
      <c r="U64" s="178" t="s">
        <v>66</v>
      </c>
      <c r="V64" s="862" t="s">
        <v>161</v>
      </c>
      <c r="W64" s="862"/>
      <c r="X64" s="863">
        <f>I65</f>
        <v>178612.82</v>
      </c>
      <c r="Y64" s="863"/>
    </row>
    <row r="65" spans="1:26" ht="49.5" customHeight="1" x14ac:dyDescent="0.25">
      <c r="A65" s="827" t="s">
        <v>73</v>
      </c>
      <c r="B65" s="827"/>
      <c r="C65" s="51"/>
      <c r="D65" s="51"/>
      <c r="E65" s="48">
        <f>E28</f>
        <v>83</v>
      </c>
      <c r="F65" s="49" t="s">
        <v>66</v>
      </c>
      <c r="G65" s="911" t="s">
        <v>78</v>
      </c>
      <c r="H65" s="911"/>
      <c r="I65" s="918">
        <f>Consolidated!H$83</f>
        <v>178612.82</v>
      </c>
      <c r="J65" s="918"/>
      <c r="M65" s="2"/>
      <c r="R65" s="184"/>
      <c r="S65" s="164"/>
      <c r="T65" s="164"/>
      <c r="U65" s="164"/>
      <c r="V65" s="164"/>
      <c r="W65" s="183" t="s">
        <v>68</v>
      </c>
      <c r="X65" s="864">
        <f>ROUND(T64/X64,6)</f>
        <v>4.6500000000000003E-4</v>
      </c>
      <c r="Y65" s="864"/>
    </row>
    <row r="66" spans="1:26" ht="19.5" customHeight="1" x14ac:dyDescent="0.25">
      <c r="A66" s="51"/>
      <c r="H66" s="53" t="s">
        <v>68</v>
      </c>
      <c r="I66" s="828">
        <f>IFERROR(ROUND(E65/I65,6),0)</f>
        <v>4.6500000000000003E-4</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4.0000000000000002E-4</v>
      </c>
      <c r="Y67" s="220">
        <f>ROUND(V67*X67,2)</f>
        <v>18251.84</v>
      </c>
    </row>
    <row r="68" spans="1:26" ht="30.75" customHeight="1" x14ac:dyDescent="0.25">
      <c r="A68" s="836" t="s">
        <v>79</v>
      </c>
      <c r="B68" s="836"/>
      <c r="C68" s="836"/>
      <c r="D68" s="836"/>
      <c r="E68" s="836"/>
      <c r="F68" s="36" t="s">
        <v>80</v>
      </c>
      <c r="G68" s="226">
        <f>Consolidated!F$86</f>
        <v>45629593</v>
      </c>
      <c r="H68" s="37" t="s">
        <v>81</v>
      </c>
      <c r="I68" s="41">
        <f>I63</f>
        <v>4.0000000000000002E-4</v>
      </c>
      <c r="J68" s="132">
        <f>ROUND(G68*I68,2)</f>
        <v>18251.84</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3.9899999999999999E-4</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3.9899999999999999E-4</v>
      </c>
      <c r="J70" s="132">
        <f>ROUND(G70*I70,2)</f>
        <v>0</v>
      </c>
      <c r="M70" s="2"/>
      <c r="R70" s="739" t="s">
        <v>163</v>
      </c>
      <c r="S70" s="739"/>
      <c r="T70" s="739"/>
      <c r="U70" s="163"/>
      <c r="V70" s="187">
        <f>G71</f>
        <v>18934058</v>
      </c>
      <c r="W70" s="167" t="s">
        <v>81</v>
      </c>
      <c r="X70" s="170">
        <f>X65</f>
        <v>4.6500000000000003E-4</v>
      </c>
      <c r="Y70" s="217">
        <f t="shared" si="11"/>
        <v>8804.34</v>
      </c>
    </row>
    <row r="71" spans="1:26" ht="19.5" customHeight="1" x14ac:dyDescent="0.25">
      <c r="A71" s="820" t="s">
        <v>85</v>
      </c>
      <c r="B71" s="820"/>
      <c r="C71" s="820"/>
      <c r="D71" s="820"/>
      <c r="E71" s="820"/>
      <c r="F71" s="36" t="s">
        <v>86</v>
      </c>
      <c r="G71" s="226">
        <f>Consolidated!F$91</f>
        <v>18934058</v>
      </c>
      <c r="H71" s="37" t="s">
        <v>81</v>
      </c>
      <c r="I71" s="41">
        <f>I66</f>
        <v>4.6500000000000003E-4</v>
      </c>
      <c r="J71" s="132">
        <f>ROUND(G71*I71,2)</f>
        <v>8804.34</v>
      </c>
      <c r="M71" s="2"/>
      <c r="R71" s="171" t="s">
        <v>164</v>
      </c>
      <c r="S71" s="171"/>
      <c r="T71" s="171"/>
      <c r="U71" s="163"/>
      <c r="V71" s="165">
        <f>G72</f>
        <v>11300012</v>
      </c>
      <c r="W71" s="167" t="s">
        <v>81</v>
      </c>
      <c r="X71" s="170">
        <f>X59</f>
        <v>4.64E-4</v>
      </c>
      <c r="Y71" s="217">
        <f t="shared" si="11"/>
        <v>5243.21</v>
      </c>
    </row>
    <row r="72" spans="1:26" ht="19.5" customHeight="1" x14ac:dyDescent="0.25">
      <c r="A72" s="42" t="s">
        <v>87</v>
      </c>
      <c r="B72" s="42"/>
      <c r="C72" s="42"/>
      <c r="D72" s="42"/>
      <c r="E72" s="42"/>
      <c r="F72" s="36" t="s">
        <v>88</v>
      </c>
      <c r="G72" s="226">
        <f>Consolidated!F$93</f>
        <v>11300012</v>
      </c>
      <c r="H72" s="37" t="s">
        <v>81</v>
      </c>
      <c r="I72" s="41">
        <f>I60</f>
        <v>4.64E-4</v>
      </c>
      <c r="J72" s="132">
        <f>ROUND(G72*I72,2)</f>
        <v>5243.21</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3.8299999999999999E-4</v>
      </c>
      <c r="J85" s="132">
        <f>ROUND(G85*I85,2)</f>
        <v>102956.63</v>
      </c>
      <c r="K85" s="70"/>
      <c r="L85" s="70"/>
      <c r="M85" s="71"/>
      <c r="N85" s="70"/>
      <c r="O85" s="70"/>
      <c r="P85" s="70"/>
      <c r="Q85" s="70"/>
      <c r="R85" s="739" t="s">
        <v>168</v>
      </c>
      <c r="S85" s="739"/>
      <c r="T85" s="739"/>
      <c r="U85" s="163"/>
      <c r="V85" s="165">
        <f>G85</f>
        <v>268816278</v>
      </c>
      <c r="W85" s="167" t="s">
        <v>81</v>
      </c>
      <c r="X85" s="170">
        <f>X56</f>
        <v>3.7500000000000001E-4</v>
      </c>
      <c r="Y85" s="217">
        <f t="shared" ref="Y85:Y87" si="12">ROUND(V85*X85,2)</f>
        <v>100806.1</v>
      </c>
    </row>
    <row r="86" spans="1:26" ht="14.25" customHeight="1" x14ac:dyDescent="0.25">
      <c r="A86" s="820" t="s">
        <v>104</v>
      </c>
      <c r="B86" s="820"/>
      <c r="C86" s="820"/>
      <c r="D86" s="820"/>
      <c r="E86" s="820"/>
      <c r="F86" s="36" t="s">
        <v>103</v>
      </c>
      <c r="G86" s="133">
        <v>0</v>
      </c>
      <c r="H86" s="37" t="s">
        <v>81</v>
      </c>
      <c r="I86" s="41">
        <f>I57</f>
        <v>3.8299999999999999E-4</v>
      </c>
      <c r="J86" s="132">
        <f>ROUND(G86*I86,2)</f>
        <v>0</v>
      </c>
      <c r="K86" s="70"/>
      <c r="L86" s="71"/>
      <c r="M86" s="76"/>
      <c r="N86" s="76"/>
      <c r="O86" s="76"/>
      <c r="P86" s="76"/>
      <c r="Q86" s="70"/>
      <c r="R86" s="739" t="s">
        <v>169</v>
      </c>
      <c r="S86" s="739"/>
      <c r="T86" s="739"/>
      <c r="U86" s="163"/>
      <c r="V86" s="197">
        <f>G86</f>
        <v>0</v>
      </c>
      <c r="W86" s="167" t="s">
        <v>81</v>
      </c>
      <c r="X86" s="170">
        <f>X56</f>
        <v>3.7500000000000001E-4</v>
      </c>
      <c r="Y86" s="217">
        <f t="shared" si="12"/>
        <v>0</v>
      </c>
    </row>
    <row r="87" spans="1:26" ht="18" customHeight="1" x14ac:dyDescent="0.25">
      <c r="A87" s="820" t="s">
        <v>105</v>
      </c>
      <c r="B87" s="820"/>
      <c r="C87" s="820"/>
      <c r="D87" s="820"/>
      <c r="E87" s="820"/>
      <c r="F87" s="36" t="s">
        <v>84</v>
      </c>
      <c r="G87" s="133">
        <v>0</v>
      </c>
      <c r="H87" s="37" t="s">
        <v>81</v>
      </c>
      <c r="I87" s="41">
        <f>I54</f>
        <v>3.9899999999999999E-4</v>
      </c>
      <c r="J87" s="62">
        <f>ROUND(G87*I87,2)</f>
        <v>0</v>
      </c>
      <c r="K87" s="77"/>
      <c r="L87" s="70"/>
      <c r="M87" s="71"/>
      <c r="N87" s="70"/>
      <c r="O87" s="70"/>
      <c r="P87" s="70"/>
      <c r="Q87" s="70"/>
      <c r="R87" s="171" t="s">
        <v>170</v>
      </c>
      <c r="S87" s="171"/>
      <c r="T87" s="171"/>
      <c r="U87" s="163"/>
      <c r="V87" s="197">
        <f>G87</f>
        <v>0</v>
      </c>
      <c r="W87" s="167" t="s">
        <v>81</v>
      </c>
      <c r="X87" s="170">
        <f>X53</f>
        <v>3.9899999999999999E-4</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13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0</v>
      </c>
      <c r="C91" s="80"/>
      <c r="D91" s="894">
        <f>I6</f>
        <v>1.0355000000000001</v>
      </c>
      <c r="E91" s="894"/>
      <c r="F91" s="894"/>
      <c r="G91" s="117">
        <f>Consolidated!F$119</f>
        <v>915.09</v>
      </c>
      <c r="H91" s="47" t="s">
        <v>68</v>
      </c>
      <c r="I91" s="134">
        <f>ROUND(B91*D91*G91,2)</f>
        <v>0</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84.631500000000003</v>
      </c>
      <c r="C92" s="80"/>
      <c r="D92" s="894">
        <f>I6</f>
        <v>1.0355000000000001</v>
      </c>
      <c r="E92" s="894"/>
      <c r="F92" s="894"/>
      <c r="G92" s="117">
        <f>Consolidated!F$120</f>
        <v>917.3</v>
      </c>
      <c r="H92" s="47" t="s">
        <v>68</v>
      </c>
      <c r="I92" s="515">
        <f>ROUND(B92*D92*G92,2)</f>
        <v>80388.429999999993</v>
      </c>
      <c r="K92" s="70"/>
      <c r="L92" s="70"/>
      <c r="M92" s="71"/>
      <c r="N92" s="70"/>
      <c r="O92" s="70"/>
      <c r="P92" s="70"/>
      <c r="Q92" s="70"/>
      <c r="R92" s="201" t="s">
        <v>61</v>
      </c>
      <c r="S92" s="202">
        <f>X16+X17+X20+X23+X26+X27</f>
        <v>83</v>
      </c>
      <c r="T92" s="849">
        <f>X6</f>
        <v>1.0355000000000001</v>
      </c>
      <c r="U92" s="849"/>
      <c r="V92" s="117">
        <f>G92</f>
        <v>917.3</v>
      </c>
      <c r="W92" s="176" t="s">
        <v>68</v>
      </c>
      <c r="X92" s="221">
        <f>ROUND(S92*T92*V92,2)</f>
        <v>78838.720000000001</v>
      </c>
      <c r="Y92" s="164"/>
    </row>
    <row r="93" spans="1:26" ht="18.75" customHeight="1" thickBot="1" x14ac:dyDescent="0.3">
      <c r="A93" s="84" t="s">
        <v>111</v>
      </c>
      <c r="B93" s="80">
        <f>SUM(B90:B92)</f>
        <v>84.631500000000003</v>
      </c>
      <c r="C93" s="80"/>
      <c r="D93" s="80"/>
      <c r="E93" s="846" t="s">
        <v>112</v>
      </c>
      <c r="F93" s="846"/>
      <c r="G93" s="846"/>
      <c r="H93" s="846"/>
      <c r="I93" s="846"/>
      <c r="J93" s="121">
        <f>IF(A1=75,0,I92+I91+I90)</f>
        <v>80388.429999999993</v>
      </c>
      <c r="K93" s="70"/>
      <c r="L93" s="70"/>
      <c r="M93" s="71"/>
      <c r="N93" s="70"/>
      <c r="O93" s="70"/>
      <c r="P93" s="70"/>
      <c r="Q93" s="70"/>
      <c r="R93" s="203" t="s">
        <v>111</v>
      </c>
      <c r="S93" s="204">
        <f>SUM(S90:S92)</f>
        <v>83</v>
      </c>
      <c r="T93" s="853" t="s">
        <v>112</v>
      </c>
      <c r="U93" s="854"/>
      <c r="V93" s="854"/>
      <c r="W93" s="854"/>
      <c r="X93" s="854"/>
      <c r="Y93" s="217">
        <f>IF(R1=75,0,X92+X91+X90)</f>
        <v>78838.720000000001</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73</v>
      </c>
      <c r="U96" s="851"/>
      <c r="V96" s="851"/>
      <c r="W96" s="205" t="s">
        <v>117</v>
      </c>
      <c r="X96" s="206">
        <f>I97</f>
        <v>586</v>
      </c>
      <c r="Y96" s="217">
        <f>ROUND(X96*T96,2)</f>
        <v>42778</v>
      </c>
    </row>
    <row r="97" spans="1:25" ht="17.25" customHeight="1" x14ac:dyDescent="0.25">
      <c r="A97" s="818" t="s">
        <v>116</v>
      </c>
      <c r="B97" s="818"/>
      <c r="C97" s="228">
        <v>73</v>
      </c>
      <c r="D97" s="228">
        <v>0</v>
      </c>
      <c r="E97" s="913">
        <f>(C97+D97)</f>
        <v>73</v>
      </c>
      <c r="F97" s="850"/>
      <c r="G97" s="850"/>
      <c r="H97" s="85" t="s">
        <v>117</v>
      </c>
      <c r="I97" s="124">
        <f>Consolidated!G$127</f>
        <v>586</v>
      </c>
      <c r="J97" s="132">
        <f>ROUND(I97*E97,2)</f>
        <v>42778</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1156801.3999999999</v>
      </c>
      <c r="L107" s="516"/>
      <c r="R107" s="739" t="s">
        <v>125</v>
      </c>
      <c r="S107" s="739"/>
      <c r="T107" s="739"/>
      <c r="U107" s="739"/>
      <c r="V107" s="739"/>
      <c r="W107" s="739"/>
      <c r="X107" s="739"/>
      <c r="Y107" s="652">
        <f>SUM(Y106,Y105,Y97,Y96,Y93,Y86,Y85,Y84,Y70,Y69,Y67,Y33,Y71,Y50,Y87,Y83)</f>
        <v>716478.36999999988</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1124664.7999999998</v>
      </c>
      <c r="R109" s="164" t="s">
        <v>176</v>
      </c>
      <c r="S109" s="164"/>
      <c r="T109" s="164"/>
      <c r="U109" s="164"/>
      <c r="V109" s="164"/>
      <c r="W109" s="164"/>
      <c r="X109" s="164"/>
      <c r="Y109" s="653">
        <f>Y107-Y38</f>
        <v>684341.7699999999</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v>1</v>
      </c>
      <c r="J111" s="131">
        <f>Y109</f>
        <v>684341.7699999999</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638"/>
      <c r="I114" s="639">
        <f>IF(I111=1,J111,J109)</f>
        <v>684341.7699999999</v>
      </c>
      <c r="J114" s="640">
        <f>ROUND(IF(E28=0,0,IF(E28&gt;250,-(((250/E28)*I114)*IF(H114="H",0.02,0.05)),IF(H114="H",-0.02*I114,-0.05*I114))),2)</f>
        <v>-34217.089999999997</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1122584.3099999998</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641"/>
      <c r="I118" s="642"/>
      <c r="J118" s="647">
        <f>-'Cumulative Payments'!R84</f>
        <v>-921738.66000000015</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200845.64999999967</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100422.83</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ROUND(IF(H114="H",(I114*0.02)+J114,(I114*0.05)+J114),2)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642"/>
      <c r="I127" s="651"/>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7587C-2277-491E-887B-4AF823F5E25B}">
  <dimension ref="A1:Z207"/>
  <sheetViews>
    <sheetView topLeftCell="A107" workbookViewId="0">
      <selection activeCell="A118" sqref="A118"/>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552</v>
      </c>
      <c r="B2" s="101"/>
      <c r="C2" s="101"/>
      <c r="D2" s="101"/>
      <c r="E2" s="6"/>
      <c r="F2" s="6"/>
      <c r="G2" s="6"/>
      <c r="H2" s="6"/>
      <c r="I2" s="686" t="str">
        <f>RIGHT(A2,4)</f>
        <v>3362</v>
      </c>
      <c r="J2" s="6"/>
      <c r="K2" s="6"/>
      <c r="L2" s="6"/>
      <c r="M2" s="6"/>
      <c r="N2" s="6"/>
      <c r="O2" s="6"/>
      <c r="P2" s="6"/>
      <c r="Q2" s="6"/>
      <c r="R2" s="898" t="str">
        <f>Revenue_Estimate_Worksheet_for___________Charter_School</f>
        <v>Revenue Estimate Worksheet: Somerset Academy Avenir 3362</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49.71</v>
      </c>
      <c r="D12" s="719">
        <f>SUMIFS(CountData!J:J,CountData!H:H,$I$2,CountData!I:I,$O12)</f>
        <v>49.42</v>
      </c>
      <c r="E12" s="804">
        <f t="shared" ref="E12:E27" si="0">IF($D$28=0,C12*2,C12+D12)</f>
        <v>99.13</v>
      </c>
      <c r="F12" s="804"/>
      <c r="G12" s="805">
        <f>Consolidated!$F14</f>
        <v>1.1080000000000001</v>
      </c>
      <c r="H12" s="805">
        <f>Consolidated!$H$9</f>
        <v>1</v>
      </c>
      <c r="I12" s="517">
        <f>ROUND(E12*G12,4)</f>
        <v>109.836</v>
      </c>
      <c r="J12" s="518">
        <f t="shared" ref="J12:J27" si="1">ROUND(ROUND(ROUND(I12*$E$6,4)*($I$6),2)*(MAX($I$7,1)),2)</f>
        <v>611053.62</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6.51</v>
      </c>
      <c r="D13" s="357">
        <f>SUMIFS(CountData!J:J,CountData!H:H,$I$2,CountData!I:I,$O13)</f>
        <v>8.51</v>
      </c>
      <c r="E13" s="812">
        <f t="shared" si="0"/>
        <v>15.02</v>
      </c>
      <c r="F13" s="812"/>
      <c r="G13" s="813">
        <f>Consolidated!$F15</f>
        <v>1.1080000000000001</v>
      </c>
      <c r="H13" s="813">
        <f>Consolidated!$H$9</f>
        <v>1</v>
      </c>
      <c r="I13" s="517">
        <f t="shared" ref="I13:I27" si="3">ROUND(E13*G13,4)</f>
        <v>16.642199999999999</v>
      </c>
      <c r="J13" s="518">
        <f t="shared" si="1"/>
        <v>92586.01</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13.57</v>
      </c>
      <c r="D14" s="357">
        <f>SUMIFS(CountData!J:J,CountData!H:H,$I$2,CountData!I:I,$O14)</f>
        <v>12.56</v>
      </c>
      <c r="E14" s="812">
        <f t="shared" si="0"/>
        <v>26.130000000000003</v>
      </c>
      <c r="F14" s="812"/>
      <c r="G14" s="813">
        <f>Consolidated!$F16</f>
        <v>1</v>
      </c>
      <c r="H14" s="813">
        <f>Consolidated!$H$9</f>
        <v>1</v>
      </c>
      <c r="I14" s="517">
        <f t="shared" si="3"/>
        <v>26.13</v>
      </c>
      <c r="J14" s="518">
        <f>ROUND(ROUND(ROUND(I14*$E$6,4)*($I$6),2)*(MAX($I$7,1)),2)</f>
        <v>145369.74</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3.5</v>
      </c>
      <c r="D15" s="357">
        <f>SUMIFS(CountData!J:J,CountData!H:H,$I$2,CountData!I:I,$O15)</f>
        <v>4.0199999999999996</v>
      </c>
      <c r="E15" s="812">
        <f t="shared" si="0"/>
        <v>7.52</v>
      </c>
      <c r="F15" s="812"/>
      <c r="G15" s="813">
        <f>Consolidated!$F17</f>
        <v>1</v>
      </c>
      <c r="H15" s="813">
        <f>Consolidated!$H$9</f>
        <v>1</v>
      </c>
      <c r="I15" s="517">
        <f t="shared" si="3"/>
        <v>7.52</v>
      </c>
      <c r="J15" s="518">
        <f t="shared" si="1"/>
        <v>41836.22</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254</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255</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6.59</v>
      </c>
      <c r="D24" s="357">
        <f>SUMIFS(CountData!J:J,CountData!H:H,$I$2,CountData!I:I,$O24)</f>
        <v>6.6</v>
      </c>
      <c r="E24" s="812">
        <f t="shared" si="0"/>
        <v>13.19</v>
      </c>
      <c r="F24" s="812"/>
      <c r="G24" s="813">
        <f>Consolidated!$F26</f>
        <v>1.165</v>
      </c>
      <c r="H24" s="813">
        <f>Consolidated!$H$9</f>
        <v>1</v>
      </c>
      <c r="I24" s="517">
        <f t="shared" si="3"/>
        <v>15.366400000000001</v>
      </c>
      <c r="J24" s="518">
        <f t="shared" si="1"/>
        <v>85488.31</v>
      </c>
      <c r="M24" s="2"/>
      <c r="O24" s="2" t="str">
        <f>IF(O$7="E",LEFT(R$24,3),"")</f>
        <v>130</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79.88</v>
      </c>
      <c r="D28" s="720">
        <f>SUM(D12:D27)</f>
        <v>81.109999999999985</v>
      </c>
      <c r="E28" s="817">
        <f>SUM(E12:E27)</f>
        <v>160.99</v>
      </c>
      <c r="F28" s="817"/>
      <c r="G28" s="812"/>
      <c r="H28" s="812"/>
      <c r="I28" s="23">
        <f>SUM(I12:I27)</f>
        <v>175.49460000000002</v>
      </c>
      <c r="J28" s="121">
        <f>SUM(J12:J27)</f>
        <v>976333.89999999991</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175.49460000000002</v>
      </c>
      <c r="H33" s="812" t="s">
        <v>45</v>
      </c>
      <c r="I33" s="812"/>
      <c r="J33" s="32">
        <f>SUM(J32,J28)</f>
        <v>976333.89999999991</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191517.55</v>
      </c>
      <c r="H36" s="37" t="s">
        <v>49</v>
      </c>
      <c r="I36" s="38">
        <v>6.6699999999999995E-2</v>
      </c>
      <c r="J36" s="125">
        <f>ROUND(G36*I36,2)</f>
        <v>12774.22</v>
      </c>
      <c r="K36" s="39"/>
      <c r="L36" s="33"/>
      <c r="M36" s="33"/>
      <c r="N36" s="33"/>
      <c r="O36" s="31"/>
      <c r="P36" s="34"/>
      <c r="Q36" s="34"/>
      <c r="R36" s="737" t="s">
        <v>47</v>
      </c>
      <c r="S36" s="737"/>
      <c r="T36" s="737"/>
      <c r="U36" s="163"/>
      <c r="V36" s="166">
        <v>61196.59</v>
      </c>
      <c r="W36" s="167" t="s">
        <v>49</v>
      </c>
      <c r="X36" s="168">
        <v>6.6699999999999995E-2</v>
      </c>
      <c r="Y36" s="217">
        <f>ROUND(V36*X36,2)</f>
        <v>4081.81</v>
      </c>
    </row>
    <row r="37" spans="1:25" ht="20.25" customHeight="1" x14ac:dyDescent="0.25">
      <c r="A37" s="738" t="s">
        <v>50</v>
      </c>
      <c r="B37" s="738"/>
      <c r="C37" s="738"/>
      <c r="D37" s="738"/>
      <c r="E37" s="738"/>
      <c r="F37" s="36" t="s">
        <v>48</v>
      </c>
      <c r="G37" s="126">
        <v>191517.55</v>
      </c>
      <c r="H37" s="37" t="s">
        <v>49</v>
      </c>
      <c r="I37" s="38">
        <v>5.4000000000000003E-3</v>
      </c>
      <c r="J37" s="125">
        <f>ROUND(G37*I37,2)</f>
        <v>1034.19</v>
      </c>
      <c r="K37" s="39"/>
      <c r="L37" s="33"/>
      <c r="M37" s="33"/>
      <c r="N37" s="33"/>
      <c r="O37" s="31"/>
      <c r="P37" s="34"/>
      <c r="Q37" s="34"/>
      <c r="R37" s="737" t="s">
        <v>50</v>
      </c>
      <c r="S37" s="737"/>
      <c r="T37" s="737"/>
      <c r="U37" s="163"/>
      <c r="V37" s="166">
        <v>61196.59</v>
      </c>
      <c r="W37" s="167" t="s">
        <v>49</v>
      </c>
      <c r="X37" s="168">
        <v>5.4000000000000003E-3</v>
      </c>
      <c r="Y37" s="217">
        <f>ROUND(V37*X37,2)</f>
        <v>330.46</v>
      </c>
    </row>
    <row r="38" spans="1:25" ht="20.25" customHeight="1" x14ac:dyDescent="0.25">
      <c r="A38" s="820" t="s">
        <v>51</v>
      </c>
      <c r="B38" s="820"/>
      <c r="C38" s="820"/>
      <c r="D38" s="820"/>
      <c r="E38" s="820"/>
      <c r="F38" s="36" t="s">
        <v>52</v>
      </c>
      <c r="G38" s="40"/>
      <c r="H38" s="37"/>
      <c r="I38" s="41"/>
      <c r="J38" s="125">
        <f>SUM(J36:J37)</f>
        <v>13808.41</v>
      </c>
      <c r="K38" s="39"/>
      <c r="L38" s="33"/>
      <c r="M38" s="33"/>
      <c r="N38" s="33"/>
      <c r="O38" s="31"/>
      <c r="P38" s="34"/>
      <c r="Q38" s="34"/>
      <c r="R38" s="739" t="s">
        <v>51</v>
      </c>
      <c r="S38" s="739"/>
      <c r="T38" s="739"/>
      <c r="U38" s="163" t="s">
        <v>52</v>
      </c>
      <c r="V38" s="169"/>
      <c r="W38" s="167"/>
      <c r="X38" s="170"/>
      <c r="Y38" s="151">
        <f>Y36+Y37</f>
        <v>4412.2699999999995</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632"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3.5</v>
      </c>
      <c r="D41" s="357">
        <v>0</v>
      </c>
      <c r="E41" s="826">
        <f t="shared" ref="E41:E49" si="8">IF($D$50=0,C41*2,C41+D41)</f>
        <v>7</v>
      </c>
      <c r="F41" s="826"/>
      <c r="G41" s="37" t="s">
        <v>59</v>
      </c>
      <c r="H41" s="37">
        <v>251</v>
      </c>
      <c r="I41" s="130">
        <f>Consolidated!$H59</f>
        <v>1047</v>
      </c>
      <c r="J41" s="46">
        <f t="shared" ref="J41:J49" si="9">ROUND(E41*I41,2)</f>
        <v>7329</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3</v>
      </c>
      <c r="D42" s="357">
        <v>0</v>
      </c>
      <c r="E42" s="826">
        <f t="shared" si="8"/>
        <v>6</v>
      </c>
      <c r="F42" s="826"/>
      <c r="G42" s="37" t="s">
        <v>59</v>
      </c>
      <c r="H42" s="37">
        <v>252</v>
      </c>
      <c r="I42" s="130">
        <f>Consolidated!$H60</f>
        <v>3380</v>
      </c>
      <c r="J42" s="46">
        <f t="shared" si="9"/>
        <v>20280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x14ac:dyDescent="0.25">
      <c r="A44" s="825"/>
      <c r="B44" s="825"/>
      <c r="C44" s="357">
        <v>2.5</v>
      </c>
      <c r="D44" s="357">
        <v>0</v>
      </c>
      <c r="E44" s="826">
        <f t="shared" si="8"/>
        <v>5</v>
      </c>
      <c r="F44" s="826"/>
      <c r="G44" s="47" t="s">
        <v>60</v>
      </c>
      <c r="H44" s="37">
        <v>251</v>
      </c>
      <c r="I44" s="130">
        <f>Consolidated!$H62</f>
        <v>1173</v>
      </c>
      <c r="J44" s="131">
        <f t="shared" si="9"/>
        <v>5865</v>
      </c>
      <c r="L44" s="3"/>
      <c r="M44" s="2"/>
      <c r="Q44" s="4"/>
      <c r="R44" s="885"/>
      <c r="S44" s="885"/>
      <c r="T44" s="867"/>
      <c r="U44" s="867"/>
      <c r="V44" s="176" t="s">
        <v>60</v>
      </c>
      <c r="W44" s="167">
        <v>251</v>
      </c>
      <c r="X44" s="128">
        <f>Consolidated!$H62</f>
        <v>1173</v>
      </c>
      <c r="Y44" s="218">
        <f t="shared" si="10"/>
        <v>0</v>
      </c>
    </row>
    <row r="45" spans="1:25" x14ac:dyDescent="0.25">
      <c r="A45" s="825"/>
      <c r="B45" s="825"/>
      <c r="C45" s="357">
        <v>1</v>
      </c>
      <c r="D45" s="357">
        <v>0</v>
      </c>
      <c r="E45" s="826">
        <f t="shared" si="8"/>
        <v>2</v>
      </c>
      <c r="F45" s="826"/>
      <c r="G45" s="47" t="s">
        <v>60</v>
      </c>
      <c r="H45" s="37">
        <v>252</v>
      </c>
      <c r="I45" s="130">
        <f>Consolidated!$H63</f>
        <v>3506</v>
      </c>
      <c r="J45" s="46">
        <f t="shared" si="9"/>
        <v>7012</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L46" s="682"/>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46">
        <f t="shared" si="9"/>
        <v>0</v>
      </c>
      <c r="L47" s="682"/>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10</v>
      </c>
      <c r="D50" s="33">
        <f>SUM(D41:D49)</f>
        <v>0</v>
      </c>
      <c r="E50" s="832">
        <f>SUM(E41:E49)</f>
        <v>20</v>
      </c>
      <c r="F50" s="832"/>
      <c r="G50" s="818" t="s">
        <v>63</v>
      </c>
      <c r="H50" s="818"/>
      <c r="I50" s="818"/>
      <c r="J50" s="225">
        <f>SUM(J41:J49)</f>
        <v>40486</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48">
        <f>E28</f>
        <v>160.99</v>
      </c>
      <c r="D53" s="49" t="s">
        <v>66</v>
      </c>
      <c r="G53" s="3"/>
      <c r="H53" s="50" t="s">
        <v>67</v>
      </c>
      <c r="I53" s="634">
        <f>Consolidated!H$71</f>
        <v>207782.75</v>
      </c>
      <c r="J53" s="633"/>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IFERROR(ROUND(C53/I53,6),0)</f>
        <v>7.7499999999999997E-4</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48">
        <f>G33</f>
        <v>175.49460000000002</v>
      </c>
      <c r="D56" s="49" t="s">
        <v>66</v>
      </c>
      <c r="G56" s="3"/>
      <c r="H56" s="50" t="s">
        <v>71</v>
      </c>
      <c r="I56" s="634">
        <f>Consolidated!H$74</f>
        <v>221179.83999999997</v>
      </c>
      <c r="J56" s="633"/>
      <c r="M56" s="2"/>
      <c r="R56" s="181"/>
      <c r="S56" s="164"/>
      <c r="T56" s="164"/>
      <c r="U56" s="164"/>
      <c r="V56" s="164"/>
      <c r="W56" s="183" t="s">
        <v>68</v>
      </c>
      <c r="X56" s="864">
        <f>ROUND(T55/X55,6)</f>
        <v>0</v>
      </c>
      <c r="Y56" s="864"/>
    </row>
    <row r="57" spans="1:25" ht="18.75" customHeight="1" x14ac:dyDescent="0.25">
      <c r="A57" s="51"/>
      <c r="H57" s="53" t="s">
        <v>68</v>
      </c>
      <c r="I57" s="828">
        <f>IFERROR(ROUND(C56/I56,6),0)</f>
        <v>7.9299999999999998E-4</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48">
        <f>E28</f>
        <v>160.99</v>
      </c>
      <c r="D59" s="49" t="s">
        <v>66</v>
      </c>
      <c r="F59" s="794" t="s">
        <v>74</v>
      </c>
      <c r="G59" s="794"/>
      <c r="H59" s="794"/>
      <c r="I59" s="634">
        <f>Consolidated!H$77</f>
        <v>178931.75</v>
      </c>
      <c r="J59" s="633"/>
      <c r="M59" s="2"/>
      <c r="R59" s="181"/>
      <c r="S59" s="164"/>
      <c r="T59" s="164"/>
      <c r="U59" s="164"/>
      <c r="V59" s="164"/>
      <c r="W59" s="183" t="s">
        <v>68</v>
      </c>
      <c r="X59" s="864">
        <f>ROUND(T58/X58,6)</f>
        <v>0</v>
      </c>
      <c r="Y59" s="864"/>
    </row>
    <row r="60" spans="1:25" ht="18" customHeight="1" x14ac:dyDescent="0.25">
      <c r="A60" s="51"/>
      <c r="H60" s="53" t="s">
        <v>68</v>
      </c>
      <c r="I60" s="828">
        <f>IFERROR(ROUND(C59/I59,6),0)</f>
        <v>8.9999999999999998E-4</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23.25" customHeight="1" x14ac:dyDescent="0.25">
      <c r="A62" s="827" t="s">
        <v>73</v>
      </c>
      <c r="B62" s="827"/>
      <c r="C62" s="48">
        <f>E28</f>
        <v>160.99</v>
      </c>
      <c r="D62" s="49" t="s">
        <v>66</v>
      </c>
      <c r="F62" s="794" t="s">
        <v>76</v>
      </c>
      <c r="G62" s="794"/>
      <c r="H62" s="794"/>
      <c r="I62" s="634">
        <f>Consolidated!H$80</f>
        <v>207463.82</v>
      </c>
      <c r="J62" s="633"/>
      <c r="M62" s="2"/>
      <c r="R62" s="181"/>
      <c r="S62" s="164"/>
      <c r="T62" s="164"/>
      <c r="U62" s="164"/>
      <c r="V62" s="164"/>
      <c r="W62" s="183" t="s">
        <v>68</v>
      </c>
      <c r="X62" s="864">
        <f>ROUND(T61/X61,6)</f>
        <v>0</v>
      </c>
      <c r="Y62" s="864"/>
    </row>
    <row r="63" spans="1:25" ht="19.5" customHeight="1" x14ac:dyDescent="0.25">
      <c r="A63" s="51"/>
      <c r="H63" s="53" t="s">
        <v>68</v>
      </c>
      <c r="I63" s="828">
        <f>IFERROR(ROUND(C62/I62,6),0)</f>
        <v>7.76E-4</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22.5" customHeight="1" x14ac:dyDescent="0.25">
      <c r="A65" s="827" t="s">
        <v>73</v>
      </c>
      <c r="B65" s="827"/>
      <c r="C65" s="48">
        <f>E28</f>
        <v>160.99</v>
      </c>
      <c r="D65" s="911" t="s">
        <v>543</v>
      </c>
      <c r="E65" s="911"/>
      <c r="F65" s="911"/>
      <c r="G65" s="911"/>
      <c r="H65" s="911"/>
      <c r="I65" s="634">
        <f>Consolidated!H$83</f>
        <v>178612.82</v>
      </c>
      <c r="J65" s="633"/>
      <c r="M65" s="2"/>
      <c r="R65" s="184"/>
      <c r="S65" s="164"/>
      <c r="T65" s="164"/>
      <c r="U65" s="164"/>
      <c r="V65" s="164"/>
      <c r="W65" s="183" t="s">
        <v>68</v>
      </c>
      <c r="X65" s="864">
        <f>ROUND(T64/X64,6)</f>
        <v>0</v>
      </c>
      <c r="Y65" s="864"/>
    </row>
    <row r="66" spans="1:26" ht="19.5" customHeight="1" x14ac:dyDescent="0.25">
      <c r="A66" s="51"/>
      <c r="H66" s="53" t="s">
        <v>68</v>
      </c>
      <c r="I66" s="828">
        <f>IFERROR(ROUND(C65/I65,6),0)</f>
        <v>9.01E-4</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7.76E-4</v>
      </c>
      <c r="J68" s="132">
        <f>ROUND(G68*I68,2)</f>
        <v>35408.559999999998</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7.7499999999999997E-4</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9.01E-4</v>
      </c>
      <c r="J71" s="132">
        <f>ROUND(G71*I71,2)</f>
        <v>17059.59</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8.9999999999999998E-4</v>
      </c>
      <c r="J72" s="132">
        <f>ROUND(G72*I72,2)</f>
        <v>10170.01</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7.9299999999999998E-4</v>
      </c>
      <c r="J85" s="132">
        <f>ROUND(G85*I85,2)</f>
        <v>213171.31</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7.9299999999999998E-4</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7.7499999999999997E-4</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141.84460000000001</v>
      </c>
      <c r="C90" s="80"/>
      <c r="D90" s="894">
        <f>I6</f>
        <v>1.0355000000000001</v>
      </c>
      <c r="E90" s="894"/>
      <c r="F90" s="894"/>
      <c r="G90" s="117">
        <f>Consolidated!F$118</f>
        <v>958.42</v>
      </c>
      <c r="H90" s="47" t="s">
        <v>68</v>
      </c>
      <c r="I90" s="637">
        <f>ROUND(B90*D90*G90,2)</f>
        <v>140772.81</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33.65</v>
      </c>
      <c r="C91" s="80"/>
      <c r="D91" s="894">
        <f>I6</f>
        <v>1.0355000000000001</v>
      </c>
      <c r="E91" s="894"/>
      <c r="F91" s="894"/>
      <c r="G91" s="117">
        <f>Consolidated!F$119</f>
        <v>915.09</v>
      </c>
      <c r="H91" s="47" t="s">
        <v>68</v>
      </c>
      <c r="I91" s="4">
        <f>ROUND(B91*D91*G91,2)</f>
        <v>31885.919999999998</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175.49460000000002</v>
      </c>
      <c r="C93" s="80"/>
      <c r="D93" s="80"/>
      <c r="E93" s="846" t="s">
        <v>112</v>
      </c>
      <c r="F93" s="846"/>
      <c r="G93" s="846"/>
      <c r="H93" s="846"/>
      <c r="I93" s="846"/>
      <c r="J93" s="121">
        <f>IF(A1=75,0,I92+I91+I90)</f>
        <v>172658.72999999998</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0</v>
      </c>
      <c r="D97" s="228">
        <v>0</v>
      </c>
      <c r="E97" s="850">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c r="E98" s="852">
        <f>(C98+D98)/2</f>
        <v>0</v>
      </c>
      <c r="F98" s="852"/>
      <c r="G98" s="852"/>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8"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818" t="s">
        <v>125</v>
      </c>
      <c r="B107" s="818"/>
      <c r="C107" s="818"/>
      <c r="D107" s="818"/>
      <c r="E107" s="818"/>
      <c r="F107" s="818"/>
      <c r="G107" s="818"/>
      <c r="H107" s="818"/>
      <c r="I107" s="818"/>
      <c r="J107" s="519">
        <f>SUM(J106,J105,J98,J97,J93,J86,J85,J71,J70,J68,J33,J72,J50,J87,J84)</f>
        <v>1465288.0999999999</v>
      </c>
      <c r="R107" s="739" t="s">
        <v>125</v>
      </c>
      <c r="S107" s="739"/>
      <c r="T107" s="739"/>
      <c r="U107" s="739"/>
      <c r="V107" s="739"/>
      <c r="W107" s="739"/>
      <c r="X107" s="739"/>
      <c r="Y107" s="652">
        <f>SUM(Y106,Y105,Y97,Y96,Y93,Y86,Y85,Y84,Y70,Y69,Y67,Y33,Y71,Y50,Y87,Y83)</f>
        <v>0</v>
      </c>
    </row>
    <row r="108" spans="1:25" ht="15.75" customHeight="1" thickTop="1" x14ac:dyDescent="0.25">
      <c r="A108" s="821"/>
      <c r="B108" s="821"/>
      <c r="C108" s="821"/>
      <c r="D108" s="821"/>
      <c r="E108" s="821"/>
      <c r="F108" s="821"/>
      <c r="G108" s="821"/>
      <c r="H108" s="821"/>
      <c r="I108" s="821"/>
      <c r="J108" s="821"/>
      <c r="R108" s="834"/>
      <c r="S108" s="834"/>
      <c r="T108" s="834"/>
      <c r="U108" s="834"/>
      <c r="V108" s="834"/>
      <c r="W108" s="834"/>
      <c r="X108" s="834"/>
      <c r="Y108" s="834"/>
    </row>
    <row r="109" spans="1:25" ht="17.25" customHeight="1" thickBot="1" x14ac:dyDescent="0.3">
      <c r="A109" s="820" t="s">
        <v>131</v>
      </c>
      <c r="B109" s="820"/>
      <c r="C109" s="820"/>
      <c r="D109" s="820"/>
      <c r="E109" s="820"/>
      <c r="F109" s="821"/>
      <c r="G109" s="821"/>
      <c r="H109" s="821"/>
      <c r="I109" s="2" t="s">
        <v>132</v>
      </c>
      <c r="J109" s="521">
        <f>J107-J38</f>
        <v>1451479.69</v>
      </c>
      <c r="R109" s="164" t="s">
        <v>176</v>
      </c>
      <c r="S109" s="164"/>
      <c r="T109" s="164"/>
      <c r="U109" s="164"/>
      <c r="V109" s="164"/>
      <c r="W109" s="164"/>
      <c r="X109" s="164"/>
      <c r="Y109" s="653">
        <f>Y107-Y38</f>
        <v>-4412.2699999999995</v>
      </c>
    </row>
    <row r="110" spans="1:25" ht="18.75" customHeight="1" thickTop="1" x14ac:dyDescent="0.25">
      <c r="A110" s="820" t="s">
        <v>133</v>
      </c>
      <c r="B110" s="820"/>
      <c r="C110" s="820"/>
      <c r="D110" s="820"/>
      <c r="E110" s="820"/>
      <c r="F110" s="820"/>
      <c r="G110" s="820"/>
      <c r="H110" s="820"/>
      <c r="I110" s="42" t="s">
        <v>134</v>
      </c>
      <c r="J110" s="72"/>
      <c r="R110" s="830" t="s">
        <v>136</v>
      </c>
      <c r="S110" s="830"/>
      <c r="T110" s="830"/>
      <c r="U110" s="830"/>
      <c r="V110" s="830"/>
      <c r="W110" s="830"/>
      <c r="X110" s="830"/>
      <c r="Y110" s="830"/>
    </row>
    <row r="111" spans="1:25" ht="15.75" customHeight="1" x14ac:dyDescent="0.25">
      <c r="A111" s="827" t="s">
        <v>135</v>
      </c>
      <c r="B111" s="827"/>
      <c r="C111" s="827"/>
      <c r="D111" s="827"/>
      <c r="E111" s="827"/>
      <c r="F111" s="827"/>
      <c r="G111" s="827"/>
      <c r="H111" s="827"/>
      <c r="I111" s="229"/>
      <c r="J111" s="131">
        <f>Y109</f>
        <v>-4412.2699999999995</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51"/>
      <c r="I113" s="90"/>
      <c r="J113" s="72"/>
      <c r="R113" s="234"/>
      <c r="S113" s="234"/>
      <c r="T113" s="234"/>
      <c r="U113" s="234"/>
      <c r="V113" s="234"/>
      <c r="W113" s="234"/>
      <c r="X113" s="234"/>
      <c r="Y113" s="234"/>
    </row>
    <row r="114" spans="1:26" x14ac:dyDescent="0.25">
      <c r="A114" s="235" t="s">
        <v>180</v>
      </c>
      <c r="B114" s="236"/>
      <c r="C114" s="236"/>
      <c r="D114" s="236"/>
      <c r="E114" s="236"/>
      <c r="F114" s="236"/>
      <c r="G114" s="236"/>
      <c r="H114" s="638">
        <v>0</v>
      </c>
      <c r="I114" s="639">
        <f>IF(I111=1,J111,J109)</f>
        <v>1451479.69</v>
      </c>
      <c r="J114" s="640">
        <f>ROUND(IF(E28=0,0,IF(E28&gt;250,-(((250/E28)*I114)*IF(H114="H",0.02,0.05)),IF(H114="H",-0.02*I114,-0.05*I114))),2)</f>
        <v>-72573.98</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1392714.1199999999</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6"/>
      <c r="F118" s="235"/>
      <c r="G118" s="236"/>
      <c r="H118" s="641"/>
      <c r="I118" s="642"/>
      <c r="J118" s="647">
        <f>-'Cumulative Payments'!R85</f>
        <v>-1074443.8700000001</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318270.24999999977</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159135.13</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ROUND(IF(H114="H",(I114*0.02)+J114,(I114*0.05)+J114),2)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642"/>
      <c r="I127" s="651"/>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A84:B84"/>
    <mergeCell ref="R84:T84"/>
    <mergeCell ref="A85:E85"/>
    <mergeCell ref="R85:T85"/>
    <mergeCell ref="A86:E86"/>
    <mergeCell ref="R86:T86"/>
    <mergeCell ref="A77:B77"/>
    <mergeCell ref="R78:S78"/>
    <mergeCell ref="A79:B79"/>
    <mergeCell ref="R79:S79"/>
    <mergeCell ref="A80:B80"/>
    <mergeCell ref="R83:S83"/>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59:B59"/>
    <mergeCell ref="F59:H59"/>
    <mergeCell ref="X59:Y59"/>
    <mergeCell ref="I60:J60"/>
    <mergeCell ref="R60:Y60"/>
    <mergeCell ref="A61:J61"/>
    <mergeCell ref="R61:S61"/>
    <mergeCell ref="V61:W61"/>
    <mergeCell ref="X61:Y61"/>
    <mergeCell ref="I57:J57"/>
    <mergeCell ref="R57:Y57"/>
    <mergeCell ref="A58:J58"/>
    <mergeCell ref="R58:S58"/>
    <mergeCell ref="V58:W58"/>
    <mergeCell ref="X58:Y58"/>
    <mergeCell ref="I54:J54"/>
    <mergeCell ref="R54:Y54"/>
    <mergeCell ref="A55:J55"/>
    <mergeCell ref="R55:S55"/>
    <mergeCell ref="X55:Y55"/>
    <mergeCell ref="A56:B56"/>
    <mergeCell ref="X56:Y56"/>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1F80-EBBF-476F-8041-5F2637D0FB76}">
  <dimension ref="A1:Z207"/>
  <sheetViews>
    <sheetView topLeftCell="A107" workbookViewId="0">
      <selection activeCell="J124" sqref="J124"/>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443</v>
      </c>
      <c r="B2" s="101"/>
      <c r="C2" s="101"/>
      <c r="D2" s="101"/>
      <c r="E2" s="6"/>
      <c r="F2" s="6"/>
      <c r="G2" s="6"/>
      <c r="H2" s="6"/>
      <c r="I2" s="686" t="str">
        <f>RIGHT(A2,4)</f>
        <v>3381</v>
      </c>
      <c r="J2" s="6"/>
      <c r="K2" s="6"/>
      <c r="L2" s="6"/>
      <c r="M2" s="6"/>
      <c r="N2" s="6"/>
      <c r="O2" s="6"/>
      <c r="P2" s="6"/>
      <c r="Q2" s="6"/>
      <c r="R2" s="898" t="str">
        <f>Revenue_Estimate_Worksheet_for___________Charter_School</f>
        <v>Revenue Estimate Worksheet: Imagine Schools - Chancellor Campus - 3381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171.48</v>
      </c>
      <c r="D12" s="719">
        <f>SUMIFS(CountData!J:J,CountData!H:H,$I$2,CountData!I:I,$O12)</f>
        <v>171.7</v>
      </c>
      <c r="E12" s="804">
        <f t="shared" ref="E12:E27" si="0">IF($D$28=0,C12*2,C12+D12)</f>
        <v>343.17999999999995</v>
      </c>
      <c r="F12" s="804"/>
      <c r="G12" s="805">
        <f>Consolidated!$F14</f>
        <v>1.1080000000000001</v>
      </c>
      <c r="H12" s="805">
        <f>Consolidated!$H$9</f>
        <v>1</v>
      </c>
      <c r="I12" s="517">
        <f>ROUND(E12*G12,4)</f>
        <v>380.24340000000001</v>
      </c>
      <c r="J12" s="518">
        <f t="shared" ref="J12:J27" si="1">ROUND(ROUND(ROUND(I12*$E$6,4)*($I$6),2)*(MAX($I$7,1)),2)</f>
        <v>2115418.4900000002</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29.03</v>
      </c>
      <c r="D13" s="357">
        <f>SUMIFS(CountData!J:J,CountData!H:H,$I$2,CountData!I:I,$O13)</f>
        <v>30.14</v>
      </c>
      <c r="E13" s="812">
        <f t="shared" si="0"/>
        <v>59.17</v>
      </c>
      <c r="F13" s="812"/>
      <c r="G13" s="813">
        <f>Consolidated!$F15</f>
        <v>1.1080000000000001</v>
      </c>
      <c r="H13" s="813">
        <f>Consolidated!$H$9</f>
        <v>1</v>
      </c>
      <c r="I13" s="517">
        <f t="shared" ref="I13:I27" si="3">ROUND(E13*G13,4)</f>
        <v>65.560400000000001</v>
      </c>
      <c r="J13" s="518">
        <f t="shared" si="1"/>
        <v>364733.96</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230.08</v>
      </c>
      <c r="D14" s="357">
        <f>SUMIFS(CountData!J:J,CountData!H:H,$I$2,CountData!I:I,$O14)</f>
        <v>225.17</v>
      </c>
      <c r="E14" s="812">
        <f t="shared" si="0"/>
        <v>455.25</v>
      </c>
      <c r="F14" s="812"/>
      <c r="G14" s="813">
        <f>Consolidated!$F16</f>
        <v>1</v>
      </c>
      <c r="H14" s="813">
        <f>Consolidated!$H$9</f>
        <v>1</v>
      </c>
      <c r="I14" s="517">
        <f t="shared" si="3"/>
        <v>455.25</v>
      </c>
      <c r="J14" s="518">
        <f>ROUND(ROUND(ROUND(I14*$E$6,4)*($I$6),2)*(MAX($I$7,1)),2)</f>
        <v>2532704.75</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61.56</v>
      </c>
      <c r="D15" s="357">
        <f>SUMIFS(CountData!J:J,CountData!H:H,$I$2,CountData!I:I,$O15)</f>
        <v>64.45</v>
      </c>
      <c r="E15" s="812">
        <f t="shared" si="0"/>
        <v>126.01</v>
      </c>
      <c r="F15" s="812"/>
      <c r="G15" s="813">
        <f>Consolidated!$F17</f>
        <v>1</v>
      </c>
      <c r="H15" s="813">
        <f>Consolidated!$H$9</f>
        <v>1</v>
      </c>
      <c r="I15" s="517">
        <f t="shared" si="3"/>
        <v>126.01</v>
      </c>
      <c r="J15" s="518">
        <f t="shared" si="1"/>
        <v>701034.87</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32.17</v>
      </c>
      <c r="D25" s="357">
        <f>SUMIFS(CountData!J:J,CountData!H:H,$I$2,CountData!I:I,$O25)</f>
        <v>34.06</v>
      </c>
      <c r="E25" s="812">
        <f t="shared" si="0"/>
        <v>66.23</v>
      </c>
      <c r="F25" s="812"/>
      <c r="G25" s="813">
        <f>Consolidated!$F27</f>
        <v>1.165</v>
      </c>
      <c r="H25" s="813">
        <f>Consolidated!$H$9</f>
        <v>1</v>
      </c>
      <c r="I25" s="517">
        <f t="shared" si="3"/>
        <v>77.158000000000001</v>
      </c>
      <c r="J25" s="518">
        <f t="shared" si="1"/>
        <v>429255.21</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524.32000000000005</v>
      </c>
      <c r="D28" s="720">
        <f>SUM(D12:D27)</f>
        <v>525.52</v>
      </c>
      <c r="E28" s="915">
        <f>SUM(E12:E27)</f>
        <v>1049.8399999999999</v>
      </c>
      <c r="F28" s="915"/>
      <c r="G28" s="812"/>
      <c r="H28" s="812"/>
      <c r="I28" s="23">
        <f>SUM(I12:I27)</f>
        <v>1104.2218</v>
      </c>
      <c r="J28" s="121">
        <f>SUM(J12:J27)</f>
        <v>6143147.2800000003</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1104.2218</v>
      </c>
      <c r="H33" s="812" t="s">
        <v>45</v>
      </c>
      <c r="I33" s="812"/>
      <c r="J33" s="32">
        <f>SUM(J32,J28)</f>
        <v>6143147.2800000003</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6129355.2400000002</v>
      </c>
      <c r="H36" s="37" t="s">
        <v>49</v>
      </c>
      <c r="I36" s="38">
        <v>6.6699999999999995E-2</v>
      </c>
      <c r="J36" s="125">
        <f>ROUND(G36*I36,2)</f>
        <v>408827.99</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6129355.2400000002</v>
      </c>
      <c r="H37" s="37" t="s">
        <v>49</v>
      </c>
      <c r="I37" s="38">
        <v>5.4000000000000003E-3</v>
      </c>
      <c r="J37" s="125">
        <f>ROUND(G37*I37,2)</f>
        <v>33098.519999999997</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441926.51</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25.5</v>
      </c>
      <c r="D41" s="357">
        <v>0</v>
      </c>
      <c r="E41" s="826">
        <f t="shared" ref="E41:E49" si="8">IF($D$50=0,C41*2,C41+D41)</f>
        <v>51</v>
      </c>
      <c r="F41" s="826"/>
      <c r="G41" s="37" t="s">
        <v>59</v>
      </c>
      <c r="H41" s="37">
        <v>251</v>
      </c>
      <c r="I41" s="130">
        <f>Consolidated!$H59</f>
        <v>1047</v>
      </c>
      <c r="J41" s="46">
        <f t="shared" ref="J41:J49" si="9">ROUND(E41*I41,2)</f>
        <v>53397</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3.5</v>
      </c>
      <c r="D42" s="357">
        <v>0</v>
      </c>
      <c r="E42" s="826">
        <f t="shared" si="8"/>
        <v>7</v>
      </c>
      <c r="F42" s="826"/>
      <c r="G42" s="37" t="s">
        <v>59</v>
      </c>
      <c r="H42" s="37">
        <v>252</v>
      </c>
      <c r="I42" s="130">
        <f>Consolidated!$H60</f>
        <v>3380</v>
      </c>
      <c r="J42" s="46">
        <f t="shared" si="9"/>
        <v>23660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ht="20.25" customHeight="1" x14ac:dyDescent="0.25">
      <c r="A44" s="825"/>
      <c r="B44" s="825"/>
      <c r="C44" s="357">
        <v>58.98</v>
      </c>
      <c r="D44" s="357">
        <v>0</v>
      </c>
      <c r="E44" s="826">
        <f t="shared" si="8"/>
        <v>117.96</v>
      </c>
      <c r="F44" s="826"/>
      <c r="G44" s="47" t="s">
        <v>60</v>
      </c>
      <c r="H44" s="37">
        <v>251</v>
      </c>
      <c r="I44" s="130">
        <f>Consolidated!$H62</f>
        <v>1173</v>
      </c>
      <c r="J44" s="131">
        <f t="shared" si="9"/>
        <v>138367.07999999999</v>
      </c>
      <c r="L44" s="3"/>
      <c r="M44" s="2"/>
      <c r="Q44" s="4"/>
      <c r="R44" s="885"/>
      <c r="S44" s="885"/>
      <c r="T44" s="867"/>
      <c r="U44" s="867"/>
      <c r="V44" s="176" t="s">
        <v>60</v>
      </c>
      <c r="W44" s="167">
        <v>251</v>
      </c>
      <c r="X44" s="128">
        <f>Consolidated!$H62</f>
        <v>1173</v>
      </c>
      <c r="Y44" s="218">
        <f t="shared" si="10"/>
        <v>0</v>
      </c>
    </row>
    <row r="45" spans="1:25" x14ac:dyDescent="0.25">
      <c r="A45" s="825"/>
      <c r="B45" s="825"/>
      <c r="C45" s="357">
        <v>2.52</v>
      </c>
      <c r="D45" s="357">
        <v>0</v>
      </c>
      <c r="E45" s="826">
        <f t="shared" si="8"/>
        <v>5.04</v>
      </c>
      <c r="F45" s="826"/>
      <c r="G45" s="47" t="s">
        <v>60</v>
      </c>
      <c r="H45" s="37">
        <v>252</v>
      </c>
      <c r="I45" s="130">
        <f>Consolidated!$H63</f>
        <v>3506</v>
      </c>
      <c r="J45" s="46">
        <f t="shared" si="9"/>
        <v>17670.240000000002</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46">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90.499999999999986</v>
      </c>
      <c r="D50" s="524">
        <f>SUM(D41:D49)</f>
        <v>0</v>
      </c>
      <c r="E50" s="832">
        <f>SUM(E41:E49)</f>
        <v>180.99999999999997</v>
      </c>
      <c r="F50" s="832"/>
      <c r="G50" s="818" t="s">
        <v>63</v>
      </c>
      <c r="H50" s="818"/>
      <c r="I50" s="818"/>
      <c r="J50" s="225">
        <f>SUM(J41:J49)</f>
        <v>233094.31999999998</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1049.8399999999999</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5.0530000000000002E-3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1104.2218</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4.9919999999999999E-3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1049.8399999999999</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5.8669999999999998E-3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1049.8399999999999</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5.0600000000000003E-3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1049.8399999999999</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5.8780000000000004E-3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5.0600000000000003E-3</v>
      </c>
      <c r="J68" s="132">
        <f>ROUND(G68*I68,2)</f>
        <v>230885.74</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5.0530000000000002E-3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5.8780000000000004E-3</v>
      </c>
      <c r="J71" s="132">
        <f>ROUND(G71*I71,2)</f>
        <v>111294.39</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5.8669999999999998E-3</v>
      </c>
      <c r="J72" s="132">
        <f>ROUND(G72*I72,2)</f>
        <v>66297.17</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4.9919999999999999E-3</v>
      </c>
      <c r="J85" s="132">
        <f>ROUND(G85*I85,2)</f>
        <v>1341930.8600000001</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4.9919999999999999E-3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5.0530000000000002E-3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445.80380000000002</v>
      </c>
      <c r="C90" s="80"/>
      <c r="D90" s="894">
        <f>I6</f>
        <v>1.0355000000000001</v>
      </c>
      <c r="E90" s="894"/>
      <c r="F90" s="894"/>
      <c r="G90" s="117">
        <f>Consolidated!F$118</f>
        <v>958.42</v>
      </c>
      <c r="H90" s="47" t="s">
        <v>68</v>
      </c>
      <c r="I90" s="515">
        <f>ROUND(B90*D90*G90,2)</f>
        <v>442435.27</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658.41800000000001</v>
      </c>
      <c r="C91" s="80"/>
      <c r="D91" s="894">
        <f>I6</f>
        <v>1.0355000000000001</v>
      </c>
      <c r="E91" s="894"/>
      <c r="F91" s="894"/>
      <c r="G91" s="117">
        <f>Consolidated!F$119</f>
        <v>915.09</v>
      </c>
      <c r="H91" s="47" t="s">
        <v>68</v>
      </c>
      <c r="I91" s="515">
        <f>ROUND(B91*D91*G91,2)</f>
        <v>623900.89</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1104.2218</v>
      </c>
      <c r="C93" s="80"/>
      <c r="D93" s="80"/>
      <c r="E93" s="846" t="s">
        <v>112</v>
      </c>
      <c r="F93" s="846"/>
      <c r="G93" s="846"/>
      <c r="H93" s="846"/>
      <c r="I93" s="846"/>
      <c r="J93" s="121">
        <f>IF(A1=75,0,I92+I91+I90)</f>
        <v>1066336.1600000001</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109</v>
      </c>
      <c r="D97" s="228">
        <v>0</v>
      </c>
      <c r="E97" s="913">
        <f>(C97+D97)</f>
        <v>109</v>
      </c>
      <c r="F97" s="850"/>
      <c r="G97" s="850"/>
      <c r="H97" s="85" t="s">
        <v>117</v>
      </c>
      <c r="I97" s="124">
        <f>Consolidated!G$127</f>
        <v>586</v>
      </c>
      <c r="J97" s="132">
        <f>ROUND(I97*E97,2)</f>
        <v>63874</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9256859.9199999999</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8814933.4100000001</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638" t="s">
        <v>431</v>
      </c>
      <c r="I114" s="639">
        <f>IF(I111=1,J111,J109)</f>
        <v>8814933.4100000001</v>
      </c>
      <c r="J114" s="640">
        <f>ROUND(IF(E28=0,0,IF(E28&gt;250,-(((250/E28)*I114)*IF(H114="H",0.02,0.05)),IF(H114="H",-0.02*I114,-0.05*I114))),2)</f>
        <v>-41982.27</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9214877.6500000004</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641"/>
      <c r="I118" s="642"/>
      <c r="J118" s="647">
        <f>-'Cumulative Payments'!R86</f>
        <v>-7653638.5300000003</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1561239.12</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780619.56</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ROUND(IF(H114="H",(I114*0.02)+J114,(I114*0.05)+J114),2)</f>
        <v>134316.4</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59939-EC71-4FF6-8991-4A56F4519FA9}">
  <dimension ref="A1:Z207"/>
  <sheetViews>
    <sheetView topLeftCell="A107" workbookViewId="0">
      <selection activeCell="A133" sqref="A133:J133"/>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570</v>
      </c>
      <c r="B2" s="101"/>
      <c r="C2" s="101"/>
      <c r="D2" s="101"/>
      <c r="E2" s="6"/>
      <c r="F2" s="6"/>
      <c r="G2" s="6"/>
      <c r="H2" s="6"/>
      <c r="I2" s="686" t="str">
        <f>RIGHT(A2,4)</f>
        <v>3382</v>
      </c>
      <c r="J2" s="6"/>
      <c r="K2" s="6"/>
      <c r="L2" s="6"/>
      <c r="M2" s="6"/>
      <c r="N2" s="6"/>
      <c r="O2" s="6"/>
      <c r="P2" s="6"/>
      <c r="Q2" s="6"/>
      <c r="R2" s="898" t="str">
        <f>Revenue_Estimate_Worksheet_for___________Charter_School</f>
        <v>Revenue Estimate Worksheet: Glades Day - 3382</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41.51</v>
      </c>
      <c r="D12" s="719">
        <f>SUMIFS(CountData!J:J,CountData!H:H,$I$2,CountData!I:I,$O12)</f>
        <v>37.42</v>
      </c>
      <c r="E12" s="804">
        <f t="shared" ref="E12:E27" si="0">IF($D$28=0,C12*2,C12+D12)</f>
        <v>78.930000000000007</v>
      </c>
      <c r="F12" s="804"/>
      <c r="G12" s="805">
        <f>Consolidated!$F14</f>
        <v>1.1080000000000001</v>
      </c>
      <c r="H12" s="805">
        <f>Consolidated!$H$9</f>
        <v>1</v>
      </c>
      <c r="I12" s="517">
        <f>ROUND(E12*G12,4)</f>
        <v>87.454400000000007</v>
      </c>
      <c r="J12" s="518">
        <f t="shared" ref="J12:J27" si="1">ROUND(ROUND(ROUND(I12*$E$6,4)*($I$6),2)*(MAX($I$7,1)),2)</f>
        <v>486537.45</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8.01</v>
      </c>
      <c r="D13" s="357">
        <f>SUMIFS(CountData!J:J,CountData!H:H,$I$2,CountData!I:I,$O13)</f>
        <v>7.49</v>
      </c>
      <c r="E13" s="812">
        <f t="shared" si="0"/>
        <v>15.5</v>
      </c>
      <c r="F13" s="812"/>
      <c r="G13" s="813">
        <f>Consolidated!$F15</f>
        <v>1.1080000000000001</v>
      </c>
      <c r="H13" s="813">
        <f>Consolidated!$H$9</f>
        <v>1</v>
      </c>
      <c r="I13" s="517">
        <f t="shared" ref="I13:I27" si="3">ROUND(E13*G13,4)</f>
        <v>17.173999999999999</v>
      </c>
      <c r="J13" s="518">
        <f t="shared" si="1"/>
        <v>95544.58</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62.07</v>
      </c>
      <c r="D14" s="357">
        <f>SUMIFS(CountData!J:J,CountData!H:H,$I$2,CountData!I:I,$O14)</f>
        <v>61.35</v>
      </c>
      <c r="E14" s="812">
        <f t="shared" si="0"/>
        <v>123.42</v>
      </c>
      <c r="F14" s="812"/>
      <c r="G14" s="813">
        <f>Consolidated!$F16</f>
        <v>1</v>
      </c>
      <c r="H14" s="813">
        <f>Consolidated!$H$9</f>
        <v>1</v>
      </c>
      <c r="I14" s="517">
        <f t="shared" si="3"/>
        <v>123.42</v>
      </c>
      <c r="J14" s="518">
        <f>ROUND(ROUND(ROUND(I14*$E$6,4)*($I$6),2)*(MAX($I$7,1)),2)</f>
        <v>686625.86</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19.96</v>
      </c>
      <c r="D15" s="357">
        <f>SUMIFS(CountData!J:J,CountData!H:H,$I$2,CountData!I:I,$O15)</f>
        <v>16.53</v>
      </c>
      <c r="E15" s="812">
        <f t="shared" si="0"/>
        <v>36.49</v>
      </c>
      <c r="F15" s="812"/>
      <c r="G15" s="813">
        <f>Consolidated!$F17</f>
        <v>1</v>
      </c>
      <c r="H15" s="813">
        <f>Consolidated!$H$9</f>
        <v>1</v>
      </c>
      <c r="I15" s="517">
        <f t="shared" si="3"/>
        <v>36.49</v>
      </c>
      <c r="J15" s="518">
        <f t="shared" si="1"/>
        <v>203005.81</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3.88</v>
      </c>
      <c r="D25" s="357">
        <f>SUMIFS(CountData!J:J,CountData!H:H,$I$2,CountData!I:I,$O25)</f>
        <v>3.49</v>
      </c>
      <c r="E25" s="812">
        <f t="shared" si="0"/>
        <v>7.37</v>
      </c>
      <c r="F25" s="812"/>
      <c r="G25" s="813">
        <f>Consolidated!$F27</f>
        <v>1.165</v>
      </c>
      <c r="H25" s="813">
        <f>Consolidated!$H$9</f>
        <v>1</v>
      </c>
      <c r="I25" s="517">
        <f t="shared" si="3"/>
        <v>8.5861000000000001</v>
      </c>
      <c r="J25" s="518">
        <f t="shared" si="1"/>
        <v>47767.28</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135.43</v>
      </c>
      <c r="D28" s="720">
        <f>SUM(D12:D27)</f>
        <v>126.28</v>
      </c>
      <c r="E28" s="817">
        <f>SUM(E12:E27)</f>
        <v>261.71000000000004</v>
      </c>
      <c r="F28" s="817"/>
      <c r="G28" s="812"/>
      <c r="H28" s="812"/>
      <c r="I28" s="23">
        <f>SUM(I12:I27)</f>
        <v>273.12450000000001</v>
      </c>
      <c r="J28" s="121">
        <f>SUM(J12:J27)</f>
        <v>1519480.9800000002</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273.12450000000001</v>
      </c>
      <c r="H33" s="812" t="s">
        <v>45</v>
      </c>
      <c r="I33" s="812"/>
      <c r="J33" s="32">
        <f>SUM(J32,J28)</f>
        <v>1519480.9800000002</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1589443.16</v>
      </c>
      <c r="H36" s="37" t="s">
        <v>49</v>
      </c>
      <c r="I36" s="38">
        <v>6.6699999999999995E-2</v>
      </c>
      <c r="J36" s="125">
        <f>ROUND(G36*I36,2)</f>
        <v>106015.86</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1589443.16</v>
      </c>
      <c r="H37" s="37" t="s">
        <v>49</v>
      </c>
      <c r="I37" s="38">
        <v>5.4000000000000003E-3</v>
      </c>
      <c r="J37" s="125">
        <f>ROUND(G37*I37,2)</f>
        <v>8582.99</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114598.85</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7.5</v>
      </c>
      <c r="D41" s="357">
        <v>0</v>
      </c>
      <c r="E41" s="826">
        <f t="shared" ref="E41:E49" si="8">IF($D$50=0,C41*2,C41+D41)</f>
        <v>15</v>
      </c>
      <c r="F41" s="826"/>
      <c r="G41" s="37" t="s">
        <v>59</v>
      </c>
      <c r="H41" s="37">
        <v>251</v>
      </c>
      <c r="I41" s="130">
        <f>Consolidated!$H59</f>
        <v>1047</v>
      </c>
      <c r="J41" s="515">
        <f t="shared" ref="J41:J49" si="9">ROUND(E41*I41,2)</f>
        <v>15705</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0.5</v>
      </c>
      <c r="D42" s="357">
        <v>0</v>
      </c>
      <c r="E42" s="826">
        <f t="shared" si="8"/>
        <v>1</v>
      </c>
      <c r="F42" s="826"/>
      <c r="G42" s="37" t="s">
        <v>59</v>
      </c>
      <c r="H42" s="37">
        <v>252</v>
      </c>
      <c r="I42" s="130">
        <f>Consolidated!$H60</f>
        <v>3380</v>
      </c>
      <c r="J42" s="515">
        <f t="shared" si="9"/>
        <v>3380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515">
        <f t="shared" si="9"/>
        <v>0</v>
      </c>
      <c r="M43" s="2"/>
      <c r="R43" s="885"/>
      <c r="S43" s="885"/>
      <c r="T43" s="867"/>
      <c r="U43" s="867"/>
      <c r="V43" s="167" t="s">
        <v>59</v>
      </c>
      <c r="W43" s="167">
        <v>253</v>
      </c>
      <c r="X43" s="128">
        <f>Consolidated!$H61</f>
        <v>6896</v>
      </c>
      <c r="Y43" s="218">
        <f t="shared" si="10"/>
        <v>0</v>
      </c>
    </row>
    <row r="44" spans="1:25" x14ac:dyDescent="0.25">
      <c r="A44" s="825"/>
      <c r="B44" s="825"/>
      <c r="C44" s="357">
        <v>18.46</v>
      </c>
      <c r="D44" s="357">
        <v>0</v>
      </c>
      <c r="E44" s="826">
        <f t="shared" si="8"/>
        <v>36.92</v>
      </c>
      <c r="F44" s="826"/>
      <c r="G44" s="47" t="s">
        <v>60</v>
      </c>
      <c r="H44" s="37">
        <v>251</v>
      </c>
      <c r="I44" s="130">
        <f>Consolidated!$H62</f>
        <v>1173</v>
      </c>
      <c r="J44" s="131">
        <f t="shared" si="9"/>
        <v>43307.16</v>
      </c>
      <c r="L44" s="3"/>
      <c r="M44" s="2"/>
      <c r="Q44" s="4"/>
      <c r="R44" s="885"/>
      <c r="S44" s="885"/>
      <c r="T44" s="867"/>
      <c r="U44" s="867"/>
      <c r="V44" s="176" t="s">
        <v>60</v>
      </c>
      <c r="W44" s="167">
        <v>251</v>
      </c>
      <c r="X44" s="128">
        <f>Consolidated!$H62</f>
        <v>1173</v>
      </c>
      <c r="Y44" s="218">
        <f t="shared" si="10"/>
        <v>0</v>
      </c>
    </row>
    <row r="45" spans="1:25" x14ac:dyDescent="0.25">
      <c r="A45" s="825"/>
      <c r="B45" s="825"/>
      <c r="C45" s="357">
        <v>1.54</v>
      </c>
      <c r="D45" s="357">
        <v>0</v>
      </c>
      <c r="E45" s="826">
        <f t="shared" si="8"/>
        <v>3.08</v>
      </c>
      <c r="F45" s="826"/>
      <c r="G45" s="47" t="s">
        <v>60</v>
      </c>
      <c r="H45" s="37">
        <v>252</v>
      </c>
      <c r="I45" s="130">
        <f>Consolidated!$H63</f>
        <v>3506</v>
      </c>
      <c r="J45" s="515">
        <f t="shared" si="9"/>
        <v>10798.48</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46">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28</v>
      </c>
      <c r="D50" s="524">
        <f>SUM(D41:D49)</f>
        <v>0</v>
      </c>
      <c r="E50" s="832">
        <f>SUM(E41:E49)</f>
        <v>56</v>
      </c>
      <c r="F50" s="832"/>
      <c r="G50" s="818" t="s">
        <v>63</v>
      </c>
      <c r="H50" s="818"/>
      <c r="I50" s="818"/>
      <c r="J50" s="225">
        <f>SUM(J41:J49)</f>
        <v>73190.64</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261.71000000000004</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1.2600000000000001E-3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273.12450000000001</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1.235E-3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261.71000000000004</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1.4630000000000001E-3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261.71000000000004</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1.261E-3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261.71000000000004</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1.4649999999999999E-3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1.261E-3</v>
      </c>
      <c r="J68" s="132">
        <f>ROUND(G68*I68,2)</f>
        <v>57538.92</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1.2600000000000001E-3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1.4649999999999999E-3</v>
      </c>
      <c r="J71" s="132">
        <f>ROUND(G71*I71,2)</f>
        <v>27738.39</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1.4630000000000001E-3</v>
      </c>
      <c r="J72" s="132">
        <f>ROUND(G72*I72,2)</f>
        <v>16531.919999999998</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1.235E-3</v>
      </c>
      <c r="J85" s="132">
        <f>ROUND(G85*I85,2)</f>
        <v>331988.09999999998</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1.235E-3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1.2600000000000001E-3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104.6284</v>
      </c>
      <c r="C90" s="80"/>
      <c r="D90" s="894">
        <f>I6</f>
        <v>1.0355000000000001</v>
      </c>
      <c r="E90" s="894"/>
      <c r="F90" s="894"/>
      <c r="G90" s="117">
        <f>Consolidated!F$118</f>
        <v>958.42</v>
      </c>
      <c r="H90" s="47" t="s">
        <v>68</v>
      </c>
      <c r="I90" s="515">
        <f>ROUND(B90*D90*G90,2)</f>
        <v>103837.82</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168.49609999999998</v>
      </c>
      <c r="C91" s="80"/>
      <c r="D91" s="894">
        <f>I6</f>
        <v>1.0355000000000001</v>
      </c>
      <c r="E91" s="894"/>
      <c r="F91" s="894"/>
      <c r="G91" s="117">
        <f>Consolidated!F$119</f>
        <v>915.09</v>
      </c>
      <c r="H91" s="47" t="s">
        <v>68</v>
      </c>
      <c r="I91" s="515">
        <f>ROUND(B91*D91*G91,2)</f>
        <v>159662.81</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273.12450000000001</v>
      </c>
      <c r="C93" s="80"/>
      <c r="D93" s="80"/>
      <c r="E93" s="846" t="s">
        <v>112</v>
      </c>
      <c r="F93" s="846"/>
      <c r="G93" s="846"/>
      <c r="H93" s="846"/>
      <c r="I93" s="846"/>
      <c r="J93" s="121">
        <f>IF(A1=75,0,I92+I91+I90)</f>
        <v>263500.63</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240</v>
      </c>
      <c r="D97" s="228">
        <v>0</v>
      </c>
      <c r="E97" s="913">
        <f>(C97+D97)</f>
        <v>240</v>
      </c>
      <c r="F97" s="850"/>
      <c r="G97" s="850"/>
      <c r="H97" s="85" t="s">
        <v>117</v>
      </c>
      <c r="I97" s="124">
        <f>Consolidated!G$127</f>
        <v>586</v>
      </c>
      <c r="J97" s="132">
        <f>ROUND(I97*E97,2)</f>
        <v>140640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2430609.5800000005</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2316010.7300000004</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638"/>
      <c r="I114" s="639">
        <f>IF(I111=1,J111,J109)</f>
        <v>2316010.7300000004</v>
      </c>
      <c r="J114" s="640">
        <f>ROUND(IF(E28=0,0,IF(E28&gt;250,-(((250/E28)*I114)*IF(H114="H",0.02,0.05)),IF(H114="H",-0.02*I114,-0.05*I114))),2)</f>
        <v>-110619.14</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2319990.4400000004</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641"/>
      <c r="I118" s="642"/>
      <c r="J118" s="647">
        <f>-'Cumulative Payments'!R87</f>
        <v>-2000563.61</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319426.83000000031</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159713.42000000001</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ROUND(IF(H114="H",(I114*0.02)+J114,(I114*0.05)+J114),2)</f>
        <v>5181.3999999999996</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642"/>
      <c r="I127" s="651"/>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40D20-9D20-4687-8A60-D4D664693457}">
  <sheetPr>
    <tabColor theme="0" tint="-0.34998626667073579"/>
  </sheetPr>
  <dimension ref="A1:Z207"/>
  <sheetViews>
    <sheetView topLeftCell="A107" workbookViewId="0">
      <selection activeCell="A111" sqref="A111:H11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444</v>
      </c>
      <c r="B2" s="101"/>
      <c r="C2" s="101"/>
      <c r="D2" s="101"/>
      <c r="E2" s="6"/>
      <c r="F2" s="6"/>
      <c r="G2" s="6"/>
      <c r="H2" s="6"/>
      <c r="I2" s="694" t="str">
        <f>RIGHT(A2,4)</f>
        <v>3391</v>
      </c>
      <c r="J2" s="693" t="s">
        <v>589</v>
      </c>
      <c r="K2" s="6"/>
      <c r="L2" s="6"/>
      <c r="M2" s="6"/>
      <c r="N2" s="6"/>
      <c r="O2" s="6"/>
      <c r="P2" s="6"/>
      <c r="Q2" s="6"/>
      <c r="R2" s="898" t="str">
        <f>Revenue_Estimate_Worksheet_for___________Charter_School</f>
        <v>Revenue Estimate Worksheet: Seagull Academy for Independent Living - 3391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0</v>
      </c>
      <c r="D14" s="357">
        <f>SUMIFS(CountData!J:J,CountData!H:H,$I$2,CountData!I:I,$O14)</f>
        <v>0</v>
      </c>
      <c r="E14" s="812">
        <f t="shared" si="0"/>
        <v>0</v>
      </c>
      <c r="F14" s="812"/>
      <c r="G14" s="813">
        <f>Consolidated!$F16</f>
        <v>1</v>
      </c>
      <c r="H14" s="813">
        <f>Consolidated!$H$9</f>
        <v>1</v>
      </c>
      <c r="I14" s="517">
        <f t="shared" si="3"/>
        <v>0</v>
      </c>
      <c r="J14" s="518">
        <f>ROUND(ROUND(ROUND(I14*$E$6,4)*($I$6),2)*(MAX($I$7,1)),2)</f>
        <v>0</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0</v>
      </c>
      <c r="D15" s="357">
        <f>SUMIFS(CountData!J:J,CountData!H:H,$I$2,CountData!I:I,$O15)</f>
        <v>0</v>
      </c>
      <c r="E15" s="812">
        <f t="shared" si="0"/>
        <v>0</v>
      </c>
      <c r="F15" s="812"/>
      <c r="G15" s="813">
        <f>Consolidated!$F17</f>
        <v>1</v>
      </c>
      <c r="H15" s="813">
        <f>Consolidated!$H$9</f>
        <v>1</v>
      </c>
      <c r="I15" s="517">
        <f t="shared" si="3"/>
        <v>0</v>
      </c>
      <c r="J15" s="518">
        <f t="shared" si="1"/>
        <v>0</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254</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255</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130</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0</v>
      </c>
      <c r="D28" s="720">
        <f>SUM(D12:D27)</f>
        <v>0</v>
      </c>
      <c r="E28" s="817">
        <f>SUM(E12:E27)</f>
        <v>0</v>
      </c>
      <c r="F28" s="817"/>
      <c r="G28" s="812"/>
      <c r="H28" s="812"/>
      <c r="I28" s="23">
        <f>SUM(I12:I27)</f>
        <v>0</v>
      </c>
      <c r="J28" s="121">
        <f>SUM(J12:J27)</f>
        <v>0</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0</v>
      </c>
      <c r="H33" s="812" t="s">
        <v>45</v>
      </c>
      <c r="I33" s="812"/>
      <c r="J33" s="32">
        <f>SUM(J32,J28)</f>
        <v>0</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0</v>
      </c>
      <c r="H36" s="37" t="s">
        <v>49</v>
      </c>
      <c r="I36" s="38">
        <v>6.6699999999999995E-2</v>
      </c>
      <c r="J36" s="125">
        <f>ROUND(G36*I36,2)</f>
        <v>0</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0</v>
      </c>
      <c r="H37" s="37" t="s">
        <v>49</v>
      </c>
      <c r="I37" s="38">
        <v>5.4000000000000003E-3</v>
      </c>
      <c r="J37" s="125">
        <f>ROUND(G37*I37,2)</f>
        <v>0</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0</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46">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46">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ht="20.25" customHeight="1" x14ac:dyDescent="0.25">
      <c r="A44" s="825"/>
      <c r="B44" s="825"/>
      <c r="C44" s="357">
        <v>0</v>
      </c>
      <c r="D44" s="357">
        <v>0</v>
      </c>
      <c r="E44" s="826">
        <f t="shared" si="8"/>
        <v>0</v>
      </c>
      <c r="F44" s="826"/>
      <c r="G44" s="47" t="s">
        <v>60</v>
      </c>
      <c r="H44" s="37">
        <v>251</v>
      </c>
      <c r="I44" s="130">
        <f>Consolidated!$H62</f>
        <v>1173</v>
      </c>
      <c r="J44" s="131">
        <f t="shared" si="9"/>
        <v>0</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46">
        <f t="shared" si="9"/>
        <v>0</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46">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0</v>
      </c>
      <c r="D50" s="524">
        <f>SUM(D41:D49)</f>
        <v>0</v>
      </c>
      <c r="E50" s="832">
        <f>SUM(E41:E49)</f>
        <v>0</v>
      </c>
      <c r="F50" s="832"/>
      <c r="G50" s="818" t="s">
        <v>63</v>
      </c>
      <c r="H50" s="818"/>
      <c r="I50" s="818"/>
      <c r="J50" s="225">
        <f>SUM(J41:J49)</f>
        <v>0</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0</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0</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E56</f>
        <v>0</v>
      </c>
      <c r="U55" s="178" t="s">
        <v>66</v>
      </c>
      <c r="V55" s="179"/>
      <c r="W55" s="180" t="s">
        <v>71</v>
      </c>
      <c r="X55" s="863">
        <f>I56</f>
        <v>221179.83999999997</v>
      </c>
      <c r="Y55" s="863"/>
    </row>
    <row r="56" spans="1:25" ht="16.5" customHeight="1" x14ac:dyDescent="0.25">
      <c r="A56" s="827" t="s">
        <v>70</v>
      </c>
      <c r="B56" s="827"/>
      <c r="C56" s="51"/>
      <c r="D56" s="51"/>
      <c r="E56" s="48">
        <f>G33</f>
        <v>0</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0</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0</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0</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0</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0</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0</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0</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0</v>
      </c>
      <c r="J68" s="132">
        <f>ROUND(G68*I68,2)</f>
        <v>0</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0</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0</v>
      </c>
      <c r="J71" s="132">
        <f>ROUND(G71*I71,2)</f>
        <v>0</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0</v>
      </c>
      <c r="J72" s="132">
        <f>ROUND(G72*I72,2)</f>
        <v>0</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0</v>
      </c>
      <c r="J85" s="132">
        <f>ROUND(G85*I85,2)</f>
        <v>0</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0</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0</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13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0</v>
      </c>
      <c r="C91" s="80"/>
      <c r="D91" s="894">
        <f>I6</f>
        <v>1.0355000000000001</v>
      </c>
      <c r="E91" s="894"/>
      <c r="F91" s="894"/>
      <c r="G91" s="117">
        <f>Consolidated!F$119</f>
        <v>915.09</v>
      </c>
      <c r="H91" s="47" t="s">
        <v>68</v>
      </c>
      <c r="I91" s="134">
        <f>ROUND(B91*D91*G91,2)</f>
        <v>0</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0</v>
      </c>
      <c r="C93" s="80"/>
      <c r="D93" s="80"/>
      <c r="E93" s="846" t="s">
        <v>112</v>
      </c>
      <c r="F93" s="846"/>
      <c r="G93" s="846"/>
      <c r="H93" s="846"/>
      <c r="I93" s="846"/>
      <c r="J93" s="121">
        <f>IF(A1=75,0,I92+I91+I90)</f>
        <v>0</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0</v>
      </c>
      <c r="D97" s="228">
        <v>0</v>
      </c>
      <c r="E97" s="913">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0</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0</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237"/>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I114" s="238">
        <f>IF(I111=1,J111,J109)</f>
        <v>0</v>
      </c>
      <c r="J114" s="239">
        <f>ROUND(IF(E28=0,0,IF(E28&gt;250,-(((250/E28)*I114)*IF(H113="H",0.02,0.05)),IF(H113="H",-0.02*I114,-0.05*I114))),2)</f>
        <v>0</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0</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Payments'!R88</f>
        <v>0</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0</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0</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ROUND(IF(H113="H",(I114*0.02)+J114,(I114*0.05)+J114),2)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7AC9E-96AC-474C-9DCC-C563D3696D69}">
  <dimension ref="A1:Z207"/>
  <sheetViews>
    <sheetView topLeftCell="A107" workbookViewId="0">
      <selection activeCell="A111" sqref="A111:H11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445</v>
      </c>
      <c r="B2" s="101"/>
      <c r="C2" s="101"/>
      <c r="D2" s="101"/>
      <c r="E2" s="6"/>
      <c r="F2" s="6"/>
      <c r="G2" s="6"/>
      <c r="H2" s="6"/>
      <c r="I2" s="686" t="str">
        <f>RIGHT(A2,4)</f>
        <v>3394</v>
      </c>
      <c r="J2" s="6"/>
      <c r="K2" s="6"/>
      <c r="L2" s="6"/>
      <c r="M2" s="6"/>
      <c r="N2" s="6"/>
      <c r="O2" s="6"/>
      <c r="P2" s="6"/>
      <c r="Q2" s="6"/>
      <c r="R2" s="898" t="str">
        <f>Revenue_Estimate_Worksheet_for___________Charter_School</f>
        <v>Revenue Estimate Worksheet: Montessori Academy of Early Enrichment - 3394</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39.61</v>
      </c>
      <c r="D12" s="719">
        <f>SUMIFS(CountData!J:J,CountData!H:H,$I$2,CountData!I:I,$O12)</f>
        <v>38.08</v>
      </c>
      <c r="E12" s="804">
        <f t="shared" ref="E12:E27" si="0">IF($D$28=0,C12*2,C12+D12)</f>
        <v>77.69</v>
      </c>
      <c r="F12" s="804"/>
      <c r="G12" s="805">
        <f>Consolidated!$F14</f>
        <v>1.1080000000000001</v>
      </c>
      <c r="H12" s="805">
        <f>Consolidated!$H$9</f>
        <v>1</v>
      </c>
      <c r="I12" s="517">
        <f>ROUND(E12*G12,4)</f>
        <v>86.080500000000001</v>
      </c>
      <c r="J12" s="518">
        <f t="shared" ref="J12:J27" si="1">ROUND(ROUND(ROUND(I12*$E$6,4)*($I$6),2)*(MAX($I$7,1)),2)</f>
        <v>478894</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4</v>
      </c>
      <c r="D13" s="357">
        <f>SUMIFS(CountData!J:J,CountData!H:H,$I$2,CountData!I:I,$O13)</f>
        <v>5</v>
      </c>
      <c r="E13" s="812">
        <f t="shared" si="0"/>
        <v>9</v>
      </c>
      <c r="F13" s="812"/>
      <c r="G13" s="813">
        <f>Consolidated!$F15</f>
        <v>1.1080000000000001</v>
      </c>
      <c r="H13" s="813">
        <f>Consolidated!$H$9</f>
        <v>1</v>
      </c>
      <c r="I13" s="517">
        <f t="shared" ref="I13:I27" si="3">ROUND(E13*G13,4)</f>
        <v>9.9719999999999995</v>
      </c>
      <c r="J13" s="518">
        <f t="shared" si="1"/>
        <v>55477.5</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14.78</v>
      </c>
      <c r="D14" s="357">
        <f>SUMIFS(CountData!J:J,CountData!H:H,$I$2,CountData!I:I,$O14)</f>
        <v>14.83</v>
      </c>
      <c r="E14" s="812">
        <f t="shared" si="0"/>
        <v>29.61</v>
      </c>
      <c r="F14" s="812"/>
      <c r="G14" s="813">
        <f>Consolidated!$F16</f>
        <v>1</v>
      </c>
      <c r="H14" s="813">
        <f>Consolidated!$H$9</f>
        <v>1</v>
      </c>
      <c r="I14" s="517">
        <f t="shared" si="3"/>
        <v>29.61</v>
      </c>
      <c r="J14" s="518">
        <f>ROUND(ROUND(ROUND(I14*$E$6,4)*($I$6),2)*(MAX($I$7,1)),2)</f>
        <v>164730.12</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4</v>
      </c>
      <c r="D15" s="357">
        <f>SUMIFS(CountData!J:J,CountData!H:H,$I$2,CountData!I:I,$O15)</f>
        <v>4.5</v>
      </c>
      <c r="E15" s="812">
        <f t="shared" si="0"/>
        <v>8.5</v>
      </c>
      <c r="F15" s="812"/>
      <c r="G15" s="813">
        <f>Consolidated!$F17</f>
        <v>1</v>
      </c>
      <c r="H15" s="813">
        <f>Consolidated!$H$9</f>
        <v>1</v>
      </c>
      <c r="I15" s="517">
        <f t="shared" si="3"/>
        <v>8.5</v>
      </c>
      <c r="J15" s="518">
        <f t="shared" si="1"/>
        <v>47288.28</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254</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255</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34.1</v>
      </c>
      <c r="D24" s="357">
        <f>SUMIFS(CountData!J:J,CountData!H:H,$I$2,CountData!I:I,$O24)</f>
        <v>34.07</v>
      </c>
      <c r="E24" s="812">
        <f t="shared" si="0"/>
        <v>68.17</v>
      </c>
      <c r="F24" s="812"/>
      <c r="G24" s="813">
        <f>Consolidated!$F26</f>
        <v>1.165</v>
      </c>
      <c r="H24" s="813">
        <f>Consolidated!$H$9</f>
        <v>1</v>
      </c>
      <c r="I24" s="517">
        <f t="shared" si="3"/>
        <v>79.418099999999995</v>
      </c>
      <c r="J24" s="518">
        <f t="shared" si="1"/>
        <v>441828.88</v>
      </c>
      <c r="M24" s="2"/>
      <c r="O24" s="2" t="str">
        <f>IF(O$7="E",LEFT(R$24,3),"")</f>
        <v>130</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96.490000000000009</v>
      </c>
      <c r="D28" s="720">
        <f>SUM(D12:D27)</f>
        <v>96.47999999999999</v>
      </c>
      <c r="E28" s="817">
        <f>SUM(E12:E27)</f>
        <v>192.97</v>
      </c>
      <c r="F28" s="817"/>
      <c r="G28" s="812"/>
      <c r="H28" s="812"/>
      <c r="I28" s="23">
        <f>SUM(I12:I27)</f>
        <v>213.5806</v>
      </c>
      <c r="J28" s="121">
        <f>SUM(J12:J27)</f>
        <v>1188218.78</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213.5806</v>
      </c>
      <c r="H33" s="812" t="s">
        <v>45</v>
      </c>
      <c r="I33" s="812"/>
      <c r="J33" s="32">
        <f>SUM(J32,J28)</f>
        <v>1188218.78</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1179988.9600000002</v>
      </c>
      <c r="H36" s="37" t="s">
        <v>49</v>
      </c>
      <c r="I36" s="38">
        <v>6.6699999999999995E-2</v>
      </c>
      <c r="J36" s="125">
        <f>ROUND(G36*I36,2)</f>
        <v>78705.259999999995</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1179988.9600000002</v>
      </c>
      <c r="H37" s="37" t="s">
        <v>49</v>
      </c>
      <c r="I37" s="38">
        <v>5.4000000000000003E-3</v>
      </c>
      <c r="J37" s="125">
        <f>ROUND(G37*I37,2)</f>
        <v>6371.94</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85077.2</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4</v>
      </c>
      <c r="D41" s="357">
        <v>0</v>
      </c>
      <c r="E41" s="826">
        <f t="shared" ref="E41:E49" si="8">IF($D$50=0,C41*2,C41+D41)</f>
        <v>8</v>
      </c>
      <c r="F41" s="826"/>
      <c r="G41" s="37" t="s">
        <v>59</v>
      </c>
      <c r="H41" s="37">
        <v>251</v>
      </c>
      <c r="I41" s="130">
        <f>Consolidated!$H59</f>
        <v>1047</v>
      </c>
      <c r="J41" s="515">
        <f t="shared" ref="J41:J49" si="9">ROUND(E41*I41,2)</f>
        <v>8376</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515">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515">
        <f t="shared" si="9"/>
        <v>0</v>
      </c>
      <c r="M43" s="2"/>
      <c r="R43" s="885"/>
      <c r="S43" s="885"/>
      <c r="T43" s="867"/>
      <c r="U43" s="867"/>
      <c r="V43" s="167" t="s">
        <v>59</v>
      </c>
      <c r="W43" s="167">
        <v>253</v>
      </c>
      <c r="X43" s="128">
        <f>Consolidated!$H61</f>
        <v>6896</v>
      </c>
      <c r="Y43" s="218">
        <f t="shared" si="10"/>
        <v>0</v>
      </c>
    </row>
    <row r="44" spans="1:25" x14ac:dyDescent="0.25">
      <c r="A44" s="825"/>
      <c r="B44" s="825"/>
      <c r="C44" s="357">
        <v>2.5</v>
      </c>
      <c r="D44" s="357">
        <v>0</v>
      </c>
      <c r="E44" s="826">
        <f t="shared" si="8"/>
        <v>5</v>
      </c>
      <c r="F44" s="826"/>
      <c r="G44" s="47" t="s">
        <v>60</v>
      </c>
      <c r="H44" s="37">
        <v>251</v>
      </c>
      <c r="I44" s="130">
        <f>Consolidated!$H62</f>
        <v>1173</v>
      </c>
      <c r="J44" s="515">
        <f t="shared" si="9"/>
        <v>5865</v>
      </c>
      <c r="L44" s="3"/>
      <c r="M44" s="2"/>
      <c r="Q44" s="4"/>
      <c r="R44" s="885"/>
      <c r="S44" s="885"/>
      <c r="T44" s="867"/>
      <c r="U44" s="867"/>
      <c r="V44" s="176" t="s">
        <v>60</v>
      </c>
      <c r="W44" s="167">
        <v>251</v>
      </c>
      <c r="X44" s="128">
        <f>Consolidated!$H62</f>
        <v>1173</v>
      </c>
      <c r="Y44" s="218">
        <f t="shared" si="10"/>
        <v>0</v>
      </c>
    </row>
    <row r="45" spans="1:25" x14ac:dyDescent="0.25">
      <c r="A45" s="825"/>
      <c r="B45" s="825"/>
      <c r="C45" s="357">
        <v>1.5</v>
      </c>
      <c r="D45" s="357">
        <v>0</v>
      </c>
      <c r="E45" s="826">
        <f t="shared" si="8"/>
        <v>3</v>
      </c>
      <c r="F45" s="826"/>
      <c r="G45" s="47" t="s">
        <v>60</v>
      </c>
      <c r="H45" s="37">
        <v>252</v>
      </c>
      <c r="I45" s="130">
        <f>Consolidated!$H63</f>
        <v>3506</v>
      </c>
      <c r="J45" s="515">
        <f t="shared" si="9"/>
        <v>10518</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515">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515">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515">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8</v>
      </c>
      <c r="D50" s="524">
        <f>SUM(D41:D49)</f>
        <v>0</v>
      </c>
      <c r="E50" s="832">
        <f>SUM(E41:E49)</f>
        <v>16</v>
      </c>
      <c r="F50" s="832"/>
      <c r="G50" s="818" t="s">
        <v>63</v>
      </c>
      <c r="H50" s="818"/>
      <c r="I50" s="818"/>
      <c r="J50" s="225">
        <f>SUM(J41:J49)</f>
        <v>24759</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192.97</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9.2900000000000003E-4</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213.5806</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9.6599999999999995E-4</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192.97</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1.078E-3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192.97</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9.3000000000000005E-4</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192.97</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1.08E-3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9.3000000000000005E-4</v>
      </c>
      <c r="J68" s="132">
        <f>ROUND(G68*I68,2)</f>
        <v>42435.519999999997</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9.2900000000000003E-4</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1.08E-3</v>
      </c>
      <c r="J71" s="132">
        <f>ROUND(G71*I71,2)</f>
        <v>20448.78</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1.078E-3</v>
      </c>
      <c r="J72" s="132">
        <f>ROUND(G72*I72,2)</f>
        <v>12181.41</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9.6599999999999995E-4</v>
      </c>
      <c r="J85" s="132">
        <f>ROUND(G85*I85,2)</f>
        <v>259676.52</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9.6599999999999995E-4</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9.2900000000000003E-4</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175.47059999999999</v>
      </c>
      <c r="C90" s="80"/>
      <c r="D90" s="894">
        <f>I6</f>
        <v>1.0355000000000001</v>
      </c>
      <c r="E90" s="894"/>
      <c r="F90" s="894"/>
      <c r="G90" s="117">
        <f>Consolidated!F$118</f>
        <v>958.42</v>
      </c>
      <c r="H90" s="47" t="s">
        <v>68</v>
      </c>
      <c r="I90" s="515">
        <f>ROUND(B90*D90*G90,2)</f>
        <v>174144.73</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38.11</v>
      </c>
      <c r="C91" s="80"/>
      <c r="D91" s="894">
        <f>I6</f>
        <v>1.0355000000000001</v>
      </c>
      <c r="E91" s="894"/>
      <c r="F91" s="894"/>
      <c r="G91" s="117">
        <f>Consolidated!F$119</f>
        <v>915.09</v>
      </c>
      <c r="H91" s="47" t="s">
        <v>68</v>
      </c>
      <c r="I91" s="515">
        <f>ROUND(B91*D91*G91,2)</f>
        <v>36112.11</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213.5806</v>
      </c>
      <c r="C93" s="80"/>
      <c r="D93" s="80"/>
      <c r="E93" s="846" t="s">
        <v>112</v>
      </c>
      <c r="F93" s="846"/>
      <c r="G93" s="846"/>
      <c r="H93" s="846"/>
      <c r="I93" s="846"/>
      <c r="J93" s="121">
        <f>IF(A1=75,0,I92+I91+I90)</f>
        <v>210256.84000000003</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8</v>
      </c>
      <c r="D97" s="228">
        <v>0</v>
      </c>
      <c r="E97" s="913">
        <f>(C97+D97)</f>
        <v>8</v>
      </c>
      <c r="F97" s="850"/>
      <c r="G97" s="850"/>
      <c r="H97" s="85" t="s">
        <v>117</v>
      </c>
      <c r="I97" s="124">
        <f>Consolidated!G$127</f>
        <v>586</v>
      </c>
      <c r="J97" s="132">
        <f>ROUND(I97*E97,2)</f>
        <v>4688</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1762664.8499999999</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1677587.65</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237"/>
      <c r="I114" s="238">
        <f>IF(I111=1,J111,J109)</f>
        <v>1677587.65</v>
      </c>
      <c r="J114" s="239">
        <f>ROUND(IF(E28=0,0,IF(E28&gt;250,-(((250/E28)*I114)*IF(H114="H",0.02,0.05)),IF(H114="H",-0.02*I114,-0.05*I114))),2)</f>
        <v>-83879.38</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1678785.4699999997</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Payments'!R89</f>
        <v>-1390713.6400000001</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288071.82999999961</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144035.92000000001</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ROUND(IF(H114="H",(I114*0.02)+J114,(I114*0.05)+J114),2)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B45D7-63B0-406D-95BB-AFD47F5F9045}">
  <dimension ref="A1:Z207"/>
  <sheetViews>
    <sheetView topLeftCell="A107" workbookViewId="0">
      <selection activeCell="A111" sqref="A111:H11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446</v>
      </c>
      <c r="B2" s="101"/>
      <c r="C2" s="101"/>
      <c r="D2" s="101"/>
      <c r="E2" s="6"/>
      <c r="F2" s="6"/>
      <c r="G2" s="6"/>
      <c r="H2" s="6"/>
      <c r="I2" s="686" t="str">
        <f>RIGHT(A2,4)</f>
        <v>3395</v>
      </c>
      <c r="J2" s="6"/>
      <c r="K2" s="6"/>
      <c r="L2" s="6"/>
      <c r="M2" s="6"/>
      <c r="N2" s="6"/>
      <c r="O2" s="6"/>
      <c r="P2" s="6"/>
      <c r="Q2" s="6"/>
      <c r="R2" s="898" t="str">
        <f>Revenue_Estimate_Worksheet_for___________Charter_School</f>
        <v>Revenue Estimate Worksheet: Somerset Academy JFK Charter School - 3395</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63.89</v>
      </c>
      <c r="D12" s="719">
        <f>SUMIFS(CountData!J:J,CountData!H:H,$I$2,CountData!I:I,$O12)</f>
        <v>62.46</v>
      </c>
      <c r="E12" s="804">
        <f t="shared" ref="E12:E27" si="0">IF($D$28=0,C12*2,C12+D12)</f>
        <v>126.35</v>
      </c>
      <c r="F12" s="804"/>
      <c r="G12" s="805">
        <f>Consolidated!$F14</f>
        <v>1.1080000000000001</v>
      </c>
      <c r="H12" s="805">
        <f>Consolidated!$H$9</f>
        <v>1</v>
      </c>
      <c r="I12" s="517">
        <f>ROUND(E12*G12,4)</f>
        <v>139.9958</v>
      </c>
      <c r="J12" s="518">
        <f t="shared" ref="J12:J27" si="1">ROUND(ROUND(ROUND(I12*$E$6,4)*($I$6),2)*(MAX($I$7,1)),2)</f>
        <v>778842.46</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10.51</v>
      </c>
      <c r="D13" s="357">
        <f>SUMIFS(CountData!J:J,CountData!H:H,$I$2,CountData!I:I,$O13)</f>
        <v>12</v>
      </c>
      <c r="E13" s="812">
        <f t="shared" si="0"/>
        <v>22.509999999999998</v>
      </c>
      <c r="F13" s="812"/>
      <c r="G13" s="813">
        <f>Consolidated!$F15</f>
        <v>1.1080000000000001</v>
      </c>
      <c r="H13" s="813">
        <f>Consolidated!$H$9</f>
        <v>1</v>
      </c>
      <c r="I13" s="517">
        <f t="shared" ref="I13:I27" si="3">ROUND(E13*G13,4)</f>
        <v>24.941099999999999</v>
      </c>
      <c r="J13" s="518">
        <f t="shared" si="1"/>
        <v>138755.5</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114.68</v>
      </c>
      <c r="D14" s="357">
        <f>SUMIFS(CountData!J:J,CountData!H:H,$I$2,CountData!I:I,$O14)</f>
        <v>111.23</v>
      </c>
      <c r="E14" s="812">
        <f t="shared" si="0"/>
        <v>225.91000000000003</v>
      </c>
      <c r="F14" s="812"/>
      <c r="G14" s="813">
        <f>Consolidated!$F16</f>
        <v>1</v>
      </c>
      <c r="H14" s="813">
        <f>Consolidated!$H$9</f>
        <v>1</v>
      </c>
      <c r="I14" s="517">
        <f t="shared" si="3"/>
        <v>225.91</v>
      </c>
      <c r="J14" s="518">
        <f>ROUND(ROUND(ROUND(I14*$E$6,4)*($I$6),2)*(MAX($I$7,1)),2)</f>
        <v>1256811.27</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17.489999999999998</v>
      </c>
      <c r="D15" s="357">
        <f>SUMIFS(CountData!J:J,CountData!H:H,$I$2,CountData!I:I,$O15)</f>
        <v>18.5</v>
      </c>
      <c r="E15" s="812">
        <f t="shared" si="0"/>
        <v>35.989999999999995</v>
      </c>
      <c r="F15" s="812"/>
      <c r="G15" s="813">
        <f>Consolidated!$F17</f>
        <v>1</v>
      </c>
      <c r="H15" s="813">
        <f>Consolidated!$H$9</f>
        <v>1</v>
      </c>
      <c r="I15" s="517">
        <f t="shared" si="3"/>
        <v>35.99</v>
      </c>
      <c r="J15" s="518">
        <f t="shared" si="1"/>
        <v>200224.15</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63.7</v>
      </c>
      <c r="D25" s="357">
        <f>SUMIFS(CountData!J:J,CountData!H:H,$I$2,CountData!I:I,$O25)</f>
        <v>62.54</v>
      </c>
      <c r="E25" s="812">
        <f t="shared" si="0"/>
        <v>126.24000000000001</v>
      </c>
      <c r="F25" s="812"/>
      <c r="G25" s="813">
        <f>Consolidated!$F27</f>
        <v>1.165</v>
      </c>
      <c r="H25" s="813">
        <f>Consolidated!$H$9</f>
        <v>1</v>
      </c>
      <c r="I25" s="517">
        <f t="shared" si="3"/>
        <v>147.06960000000001</v>
      </c>
      <c r="J25" s="518">
        <f t="shared" si="1"/>
        <v>818196.32</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270.27000000000004</v>
      </c>
      <c r="D28" s="720">
        <f>SUM(D12:D27)</f>
        <v>266.73</v>
      </c>
      <c r="E28" s="817">
        <f>SUM(E12:E27)</f>
        <v>537</v>
      </c>
      <c r="F28" s="817"/>
      <c r="G28" s="812"/>
      <c r="H28" s="812"/>
      <c r="I28" s="23">
        <f>SUM(I12:I27)</f>
        <v>573.90650000000005</v>
      </c>
      <c r="J28" s="121">
        <f>SUM(J12:J27)</f>
        <v>3192829.6999999997</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573.90650000000005</v>
      </c>
      <c r="H33" s="812" t="s">
        <v>45</v>
      </c>
      <c r="I33" s="812"/>
      <c r="J33" s="32">
        <f>SUM(J32,J28)</f>
        <v>3192829.6999999997</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3066507.69</v>
      </c>
      <c r="H36" s="37" t="s">
        <v>49</v>
      </c>
      <c r="I36" s="38">
        <v>6.6699999999999995E-2</v>
      </c>
      <c r="J36" s="125">
        <f>ROUND(G36*I36,2)</f>
        <v>204536.06</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3066507.69</v>
      </c>
      <c r="H37" s="37" t="s">
        <v>49</v>
      </c>
      <c r="I37" s="38">
        <v>5.4000000000000003E-3</v>
      </c>
      <c r="J37" s="125">
        <f>ROUND(G37*I37,2)</f>
        <v>16559.14</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221095.2</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9.5</v>
      </c>
      <c r="D41" s="357">
        <v>0</v>
      </c>
      <c r="E41" s="826">
        <f t="shared" ref="E41:E49" si="8">IF($D$50=0,C41*2,C41+D41)</f>
        <v>19</v>
      </c>
      <c r="F41" s="826"/>
      <c r="G41" s="37" t="s">
        <v>59</v>
      </c>
      <c r="H41" s="37">
        <v>251</v>
      </c>
      <c r="I41" s="130">
        <f>Consolidated!$H59</f>
        <v>1047</v>
      </c>
      <c r="J41" s="515">
        <f t="shared" ref="J41:J49" si="9">ROUND(E41*I41,2)</f>
        <v>19893</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1</v>
      </c>
      <c r="D42" s="357">
        <v>0</v>
      </c>
      <c r="E42" s="826">
        <f t="shared" si="8"/>
        <v>2</v>
      </c>
      <c r="F42" s="826"/>
      <c r="G42" s="37" t="s">
        <v>59</v>
      </c>
      <c r="H42" s="37">
        <v>252</v>
      </c>
      <c r="I42" s="130">
        <f>Consolidated!$H60</f>
        <v>3380</v>
      </c>
      <c r="J42" s="515">
        <f t="shared" si="9"/>
        <v>6760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515">
        <f t="shared" si="9"/>
        <v>0</v>
      </c>
      <c r="M43" s="2"/>
      <c r="R43" s="885"/>
      <c r="S43" s="885"/>
      <c r="T43" s="867"/>
      <c r="U43" s="867"/>
      <c r="V43" s="167" t="s">
        <v>59</v>
      </c>
      <c r="W43" s="167">
        <v>253</v>
      </c>
      <c r="X43" s="128">
        <f>Consolidated!$H61</f>
        <v>6896</v>
      </c>
      <c r="Y43" s="218">
        <f t="shared" si="10"/>
        <v>0</v>
      </c>
    </row>
    <row r="44" spans="1:25" ht="20.25" customHeight="1" x14ac:dyDescent="0.25">
      <c r="A44" s="825"/>
      <c r="B44" s="825"/>
      <c r="C44" s="357">
        <v>17</v>
      </c>
      <c r="D44" s="357">
        <v>0</v>
      </c>
      <c r="E44" s="826">
        <f t="shared" si="8"/>
        <v>34</v>
      </c>
      <c r="F44" s="826"/>
      <c r="G44" s="47" t="s">
        <v>60</v>
      </c>
      <c r="H44" s="37">
        <v>251</v>
      </c>
      <c r="I44" s="130">
        <f>Consolidated!$H62</f>
        <v>1173</v>
      </c>
      <c r="J44" s="515">
        <f t="shared" si="9"/>
        <v>39882</v>
      </c>
      <c r="L44" s="3"/>
      <c r="M44" s="2"/>
      <c r="Q44" s="4"/>
      <c r="R44" s="885"/>
      <c r="S44" s="885"/>
      <c r="T44" s="867"/>
      <c r="U44" s="867"/>
      <c r="V44" s="176" t="s">
        <v>60</v>
      </c>
      <c r="W44" s="167">
        <v>251</v>
      </c>
      <c r="X44" s="128">
        <f>Consolidated!$H62</f>
        <v>1173</v>
      </c>
      <c r="Y44" s="218">
        <f t="shared" si="10"/>
        <v>0</v>
      </c>
    </row>
    <row r="45" spans="1:25" x14ac:dyDescent="0.25">
      <c r="A45" s="825"/>
      <c r="B45" s="825"/>
      <c r="C45" s="357">
        <v>0.5</v>
      </c>
      <c r="D45" s="357">
        <v>0</v>
      </c>
      <c r="E45" s="826">
        <f t="shared" si="8"/>
        <v>1</v>
      </c>
      <c r="F45" s="826"/>
      <c r="G45" s="47" t="s">
        <v>60</v>
      </c>
      <c r="H45" s="37">
        <v>252</v>
      </c>
      <c r="I45" s="130">
        <f>Consolidated!$H63</f>
        <v>3506</v>
      </c>
      <c r="J45" s="515">
        <f t="shared" si="9"/>
        <v>3506</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515">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515">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515">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28</v>
      </c>
      <c r="D50" s="524">
        <f>SUM(D41:D49)</f>
        <v>0</v>
      </c>
      <c r="E50" s="832">
        <f>SUM(E41:E49)</f>
        <v>56</v>
      </c>
      <c r="F50" s="832"/>
      <c r="G50" s="818" t="s">
        <v>63</v>
      </c>
      <c r="H50" s="818"/>
      <c r="I50" s="818"/>
      <c r="J50" s="225">
        <f>SUM(J41:J49)</f>
        <v>70041</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537</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2.5839999999999999E-3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573.90650000000005</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2.5950000000000001E-3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537</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3.0010000000000002E-3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537</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2.588E-3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537</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3.0070000000000001E-3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2.588E-3</v>
      </c>
      <c r="J68" s="132">
        <f>ROUND(G68*I68,2)</f>
        <v>118089.39</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2.5839999999999999E-3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3.0070000000000001E-3</v>
      </c>
      <c r="J71" s="132">
        <f>ROUND(G71*I71,2)</f>
        <v>56934.71</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3.0010000000000002E-3</v>
      </c>
      <c r="J72" s="132">
        <f>ROUND(G72*I72,2)</f>
        <v>33911.339999999997</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2.5950000000000001E-3</v>
      </c>
      <c r="J85" s="132">
        <f>ROUND(G85*I85,2)</f>
        <v>697578.24</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2.5950000000000001E-3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2.5839999999999999E-3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164.93690000000001</v>
      </c>
      <c r="C90" s="80"/>
      <c r="D90" s="894">
        <f>I6</f>
        <v>1.0355000000000001</v>
      </c>
      <c r="E90" s="894"/>
      <c r="F90" s="894"/>
      <c r="G90" s="117">
        <f>Consolidated!F$118</f>
        <v>958.42</v>
      </c>
      <c r="H90" s="47" t="s">
        <v>68</v>
      </c>
      <c r="I90" s="515">
        <f>ROUND(B90*D90*G90,2)</f>
        <v>163690.62</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408.96960000000001</v>
      </c>
      <c r="C91" s="80"/>
      <c r="D91" s="894">
        <f>I6</f>
        <v>1.0355000000000001</v>
      </c>
      <c r="E91" s="894"/>
      <c r="F91" s="894"/>
      <c r="G91" s="117">
        <f>Consolidated!F$119</f>
        <v>915.09</v>
      </c>
      <c r="H91" s="47" t="s">
        <v>68</v>
      </c>
      <c r="I91" s="515">
        <f>ROUND(B91*D91*G91,2)</f>
        <v>387529.65</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573.90650000000005</v>
      </c>
      <c r="C93" s="80"/>
      <c r="D93" s="80"/>
      <c r="E93" s="846" t="s">
        <v>112</v>
      </c>
      <c r="F93" s="846"/>
      <c r="G93" s="846"/>
      <c r="H93" s="846"/>
      <c r="I93" s="846"/>
      <c r="J93" s="121">
        <f>IF(A1=75,0,I92+I91+I90)</f>
        <v>551220.27</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22</v>
      </c>
      <c r="D97" s="228">
        <v>0</v>
      </c>
      <c r="E97" s="913">
        <f>(C97+D97)</f>
        <v>22</v>
      </c>
      <c r="F97" s="850"/>
      <c r="G97" s="850"/>
      <c r="H97" s="85" t="s">
        <v>117</v>
      </c>
      <c r="I97" s="124">
        <f>Consolidated!G$127</f>
        <v>586</v>
      </c>
      <c r="J97" s="132">
        <f>ROUND(I97*E97,2)</f>
        <v>12892</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4733496.6499999994</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4512401.4499999993</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237"/>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I114" s="238">
        <f>IF(I111=1,J111,J109)</f>
        <v>4512401.4499999993</v>
      </c>
      <c r="J114" s="239">
        <f>ROUND(IF(E28=0,0,IF(E28&gt;250,-(((250/E28)*I114)*IF(H113="H",0.02,0.05)),IF(H113="H",-0.02*I114,-0.05*I114))),2)</f>
        <v>-105037.28</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4628459.3699999992</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Payments'!R90</f>
        <v>-3827864.0600000005</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800595.30999999866</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400297.65</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ROUND(IF(H113="H",(I114*0.02)+J114,(I114*0.05)+J114),2)</f>
        <v>120582.79</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69E22-647E-4303-BB2B-0912D6B33EC4}">
  <dimension ref="A1:Z207"/>
  <sheetViews>
    <sheetView topLeftCell="A107" workbookViewId="0">
      <selection activeCell="A111" sqref="A111:H11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447</v>
      </c>
      <c r="B2" s="101"/>
      <c r="C2" s="101"/>
      <c r="D2" s="101"/>
      <c r="E2" s="6"/>
      <c r="F2" s="6"/>
      <c r="G2" s="6"/>
      <c r="H2" s="6"/>
      <c r="I2" s="686" t="str">
        <f>RIGHT(A2,4)</f>
        <v>3396</v>
      </c>
      <c r="J2" s="6"/>
      <c r="K2" s="6"/>
      <c r="L2" s="6"/>
      <c r="M2" s="6"/>
      <c r="N2" s="6"/>
      <c r="O2" s="6"/>
      <c r="P2" s="6"/>
      <c r="Q2" s="6"/>
      <c r="R2" s="898" t="str">
        <f>Revenue_Estimate_Worksheet_for___________Charter_School</f>
        <v>Revenue Estimate Worksheet: G-Star School of the Arts for Motion Pictures &amp; Television - 3396</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105.68</v>
      </c>
      <c r="D14" s="357">
        <f>SUMIFS(CountData!J:J,CountData!H:H,$I$2,CountData!I:I,$O14)</f>
        <v>95.83</v>
      </c>
      <c r="E14" s="812">
        <f t="shared" si="0"/>
        <v>201.51</v>
      </c>
      <c r="F14" s="812"/>
      <c r="G14" s="813">
        <f>Consolidated!$F16</f>
        <v>1</v>
      </c>
      <c r="H14" s="813">
        <f>Consolidated!$H$9</f>
        <v>1</v>
      </c>
      <c r="I14" s="517">
        <f t="shared" si="3"/>
        <v>201.51</v>
      </c>
      <c r="J14" s="518">
        <f>ROUND(ROUND(ROUND(I14*$E$6,4)*($I$6),2)*(MAX($I$7,1)),2)</f>
        <v>1121066.08</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11.03</v>
      </c>
      <c r="D15" s="357">
        <f>SUMIFS(CountData!J:J,CountData!H:H,$I$2,CountData!I:I,$O15)</f>
        <v>10.48</v>
      </c>
      <c r="E15" s="812">
        <f t="shared" si="0"/>
        <v>21.509999999999998</v>
      </c>
      <c r="F15" s="812"/>
      <c r="G15" s="813">
        <f>Consolidated!$F17</f>
        <v>1</v>
      </c>
      <c r="H15" s="813">
        <f>Consolidated!$H$9</f>
        <v>1</v>
      </c>
      <c r="I15" s="517">
        <f t="shared" si="3"/>
        <v>21.51</v>
      </c>
      <c r="J15" s="518">
        <f t="shared" si="1"/>
        <v>119667.17</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170.06</v>
      </c>
      <c r="D16" s="357">
        <f>SUMIFS(CountData!J:J,CountData!H:H,$I$2,CountData!I:I,$O16)</f>
        <v>168.27</v>
      </c>
      <c r="E16" s="812">
        <f t="shared" si="0"/>
        <v>338.33000000000004</v>
      </c>
      <c r="F16" s="812"/>
      <c r="G16" s="813">
        <f>Consolidated!$F18</f>
        <v>0.97199999999999998</v>
      </c>
      <c r="H16" s="813">
        <f>Consolidated!$H$9</f>
        <v>1</v>
      </c>
      <c r="I16" s="517">
        <f t="shared" si="3"/>
        <v>328.85680000000002</v>
      </c>
      <c r="J16" s="518">
        <f t="shared" si="1"/>
        <v>1829538.01</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35.08</v>
      </c>
      <c r="D17" s="357">
        <f>SUMIFS(CountData!J:J,CountData!H:H,$I$2,CountData!I:I,$O17)</f>
        <v>33.880000000000003</v>
      </c>
      <c r="E17" s="812">
        <f t="shared" si="0"/>
        <v>68.960000000000008</v>
      </c>
      <c r="F17" s="812"/>
      <c r="G17" s="813">
        <f>Consolidated!$F19</f>
        <v>0.97199999999999998</v>
      </c>
      <c r="H17" s="813">
        <f>Consolidated!$H$9</f>
        <v>1</v>
      </c>
      <c r="I17" s="517">
        <f t="shared" si="3"/>
        <v>67.0291</v>
      </c>
      <c r="J17" s="518">
        <f t="shared" si="1"/>
        <v>372904.82</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254</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255</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15.75</v>
      </c>
      <c r="D26" s="357">
        <f>SUMIFS(CountData!J:J,CountData!H:H,$I$2,CountData!I:I,$O26)</f>
        <v>12.53</v>
      </c>
      <c r="E26" s="812">
        <f t="shared" si="0"/>
        <v>28.28</v>
      </c>
      <c r="F26" s="812"/>
      <c r="G26" s="813">
        <f>Consolidated!$F28</f>
        <v>1.165</v>
      </c>
      <c r="H26" s="813">
        <f>Consolidated!$H$9</f>
        <v>1</v>
      </c>
      <c r="I26" s="517">
        <f t="shared" si="3"/>
        <v>32.946199999999997</v>
      </c>
      <c r="J26" s="518">
        <f t="shared" si="1"/>
        <v>183290.49</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21.93</v>
      </c>
      <c r="D27" s="358">
        <f>SUMIFS(CountData!J:J,CountData!H:H,$I$2,CountData!I:I,$O27)</f>
        <v>22.26</v>
      </c>
      <c r="E27" s="814">
        <f t="shared" si="0"/>
        <v>44.19</v>
      </c>
      <c r="F27" s="814"/>
      <c r="G27" s="815">
        <f>Consolidated!$F29</f>
        <v>1.081</v>
      </c>
      <c r="H27" s="815">
        <f>Consolidated!$H$9</f>
        <v>1</v>
      </c>
      <c r="I27" s="22">
        <f t="shared" si="3"/>
        <v>47.769399999999997</v>
      </c>
      <c r="J27" s="121">
        <f t="shared" si="1"/>
        <v>265756.81</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359.53</v>
      </c>
      <c r="D28" s="720">
        <f>SUM(D12:D27)</f>
        <v>343.25</v>
      </c>
      <c r="E28" s="817">
        <f>SUM(E12:E27)</f>
        <v>702.78</v>
      </c>
      <c r="F28" s="817"/>
      <c r="G28" s="812"/>
      <c r="H28" s="812"/>
      <c r="I28" s="23">
        <f>SUM(I12:I27)</f>
        <v>699.62149999999997</v>
      </c>
      <c r="J28" s="121">
        <f>SUM(J12:J27)</f>
        <v>3892223.3799999994</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699.62149999999997</v>
      </c>
      <c r="H33" s="812" t="s">
        <v>45</v>
      </c>
      <c r="I33" s="812"/>
      <c r="J33" s="32">
        <f>SUM(J32,J28)</f>
        <v>3892223.3799999994</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3901661.02</v>
      </c>
      <c r="H36" s="37" t="s">
        <v>49</v>
      </c>
      <c r="I36" s="38">
        <v>6.6699999999999995E-2</v>
      </c>
      <c r="J36" s="125">
        <f>ROUND(G36*I36,2)</f>
        <v>260240.79</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3901661.02</v>
      </c>
      <c r="H37" s="37" t="s">
        <v>49</v>
      </c>
      <c r="I37" s="38">
        <v>5.4000000000000003E-3</v>
      </c>
      <c r="J37" s="125">
        <f>ROUND(G37*I37,2)</f>
        <v>21068.97</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281309.76</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515">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515">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515">
        <f t="shared" si="9"/>
        <v>0</v>
      </c>
      <c r="M43" s="2"/>
      <c r="R43" s="885"/>
      <c r="S43" s="885"/>
      <c r="T43" s="867"/>
      <c r="U43" s="867"/>
      <c r="V43" s="167" t="s">
        <v>59</v>
      </c>
      <c r="W43" s="167">
        <v>253</v>
      </c>
      <c r="X43" s="128">
        <f>Consolidated!$H61</f>
        <v>6896</v>
      </c>
      <c r="Y43" s="218">
        <f t="shared" si="10"/>
        <v>0</v>
      </c>
    </row>
    <row r="44" spans="1:25" ht="20.25" customHeight="1" x14ac:dyDescent="0.25">
      <c r="A44" s="825"/>
      <c r="B44" s="825"/>
      <c r="C44" s="357">
        <v>9.5</v>
      </c>
      <c r="D44" s="357">
        <v>0</v>
      </c>
      <c r="E44" s="826">
        <f t="shared" si="8"/>
        <v>19</v>
      </c>
      <c r="F44" s="826"/>
      <c r="G44" s="47" t="s">
        <v>60</v>
      </c>
      <c r="H44" s="37">
        <v>251</v>
      </c>
      <c r="I44" s="130">
        <f>Consolidated!$H62</f>
        <v>1173</v>
      </c>
      <c r="J44" s="515">
        <f t="shared" si="9"/>
        <v>22287</v>
      </c>
      <c r="L44" s="3"/>
      <c r="M44" s="2"/>
      <c r="Q44" s="4"/>
      <c r="R44" s="885"/>
      <c r="S44" s="885"/>
      <c r="T44" s="867"/>
      <c r="U44" s="867"/>
      <c r="V44" s="176" t="s">
        <v>60</v>
      </c>
      <c r="W44" s="167">
        <v>251</v>
      </c>
      <c r="X44" s="128">
        <f>Consolidated!$H62</f>
        <v>1173</v>
      </c>
      <c r="Y44" s="218">
        <f t="shared" si="10"/>
        <v>0</v>
      </c>
    </row>
    <row r="45" spans="1:25" x14ac:dyDescent="0.25">
      <c r="A45" s="825"/>
      <c r="B45" s="825"/>
      <c r="C45" s="357">
        <v>1.5</v>
      </c>
      <c r="D45" s="357">
        <v>0</v>
      </c>
      <c r="E45" s="826">
        <f t="shared" si="8"/>
        <v>3</v>
      </c>
      <c r="F45" s="826"/>
      <c r="G45" s="47" t="s">
        <v>60</v>
      </c>
      <c r="H45" s="37">
        <v>252</v>
      </c>
      <c r="I45" s="130">
        <f>Consolidated!$H63</f>
        <v>3506</v>
      </c>
      <c r="J45" s="515">
        <f t="shared" si="9"/>
        <v>10518</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515">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32.46</v>
      </c>
      <c r="D47" s="357">
        <v>0</v>
      </c>
      <c r="E47" s="826">
        <f t="shared" si="8"/>
        <v>64.92</v>
      </c>
      <c r="F47" s="826"/>
      <c r="G47" s="47" t="s">
        <v>61</v>
      </c>
      <c r="H47" s="37">
        <v>251</v>
      </c>
      <c r="I47" s="130">
        <f>Consolidated!$H65</f>
        <v>835</v>
      </c>
      <c r="J47" s="515">
        <f t="shared" si="9"/>
        <v>54208.2</v>
      </c>
      <c r="M47" s="2"/>
      <c r="R47" s="885"/>
      <c r="S47" s="885"/>
      <c r="T47" s="867"/>
      <c r="U47" s="867"/>
      <c r="V47" s="176" t="s">
        <v>61</v>
      </c>
      <c r="W47" s="167">
        <v>251</v>
      </c>
      <c r="X47" s="128">
        <f>Consolidated!$H65</f>
        <v>835</v>
      </c>
      <c r="Y47" s="218">
        <f t="shared" si="10"/>
        <v>0</v>
      </c>
    </row>
    <row r="48" spans="1:25" ht="15.75" customHeight="1" x14ac:dyDescent="0.25">
      <c r="A48" s="825"/>
      <c r="B48" s="825"/>
      <c r="C48" s="357">
        <v>2.54</v>
      </c>
      <c r="D48" s="357">
        <v>0</v>
      </c>
      <c r="E48" s="826">
        <f t="shared" si="8"/>
        <v>5.08</v>
      </c>
      <c r="F48" s="826"/>
      <c r="G48" s="47" t="s">
        <v>61</v>
      </c>
      <c r="H48" s="37">
        <v>252</v>
      </c>
      <c r="I48" s="130">
        <f>Consolidated!$H66</f>
        <v>3168</v>
      </c>
      <c r="J48" s="515">
        <f t="shared" si="9"/>
        <v>16093.44</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46</v>
      </c>
      <c r="D50" s="524">
        <f>SUM(D41:D49)</f>
        <v>0</v>
      </c>
      <c r="E50" s="832">
        <f>SUM(E41:E49)</f>
        <v>92</v>
      </c>
      <c r="F50" s="832"/>
      <c r="G50" s="818" t="s">
        <v>63</v>
      </c>
      <c r="H50" s="818"/>
      <c r="I50" s="818"/>
      <c r="J50" s="225">
        <f>SUM(J41:J49)</f>
        <v>103106.64</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702.78</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3.382E-3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699.62149999999997</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3.163E-3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702.78</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3.9280000000000001E-3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702.78</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3.3869999999999998E-3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702.78</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3.9350000000000001E-3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3.3869999999999998E-3</v>
      </c>
      <c r="J68" s="132">
        <f>ROUND(G68*I68,2)</f>
        <v>154547.43</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3.382E-3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3.9350000000000001E-3</v>
      </c>
      <c r="J71" s="132">
        <f>ROUND(G71*I71,2)</f>
        <v>74505.52</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3.9280000000000001E-3</v>
      </c>
      <c r="J72" s="132">
        <f>ROUND(G72*I72,2)</f>
        <v>44386.45</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v>24.88</v>
      </c>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v>36.020000000000003</v>
      </c>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v>8.9</v>
      </c>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v>0.5</v>
      </c>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70.300000000000011</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821" t="s">
        <v>101</v>
      </c>
      <c r="B84" s="821"/>
      <c r="C84" s="821"/>
      <c r="D84" s="52"/>
      <c r="G84" s="116">
        <f>Consolidated!F$106</f>
        <v>58502790</v>
      </c>
      <c r="H84" s="37" t="s">
        <v>81</v>
      </c>
      <c r="I84" s="41">
        <f>IFERROR(ROUND(J81/J82,6),0)</f>
        <v>5.4479999999999997E-3</v>
      </c>
      <c r="J84" s="656">
        <f>ROUND(G84*I84,2)</f>
        <v>318723.20000000001</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3.163E-3</v>
      </c>
      <c r="J85" s="132">
        <f>ROUND(G85*I85,2)</f>
        <v>850265.89</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3.163E-3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3.382E-3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51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223.01999999999998</v>
      </c>
      <c r="C91" s="80"/>
      <c r="D91" s="894">
        <f>I6</f>
        <v>1.0355000000000001</v>
      </c>
      <c r="E91" s="894"/>
      <c r="F91" s="894"/>
      <c r="G91" s="117">
        <f>Consolidated!F$119</f>
        <v>915.09</v>
      </c>
      <c r="H91" s="47" t="s">
        <v>68</v>
      </c>
      <c r="I91" s="515">
        <f>ROUND(B91*D91*G91,2)</f>
        <v>211328.33</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476.60149999999999</v>
      </c>
      <c r="C92" s="80"/>
      <c r="D92" s="894">
        <f>I6</f>
        <v>1.0355000000000001</v>
      </c>
      <c r="E92" s="894"/>
      <c r="F92" s="894"/>
      <c r="G92" s="117">
        <f>Consolidated!F$120</f>
        <v>917.3</v>
      </c>
      <c r="H92" s="47" t="s">
        <v>68</v>
      </c>
      <c r="I92" s="515">
        <f>ROUND(B92*D92*G92,2)</f>
        <v>452706.68</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699.62149999999997</v>
      </c>
      <c r="C93" s="80"/>
      <c r="D93" s="80"/>
      <c r="E93" s="846" t="s">
        <v>112</v>
      </c>
      <c r="F93" s="846"/>
      <c r="G93" s="846"/>
      <c r="H93" s="846"/>
      <c r="I93" s="846"/>
      <c r="J93" s="121">
        <f>IF(A1=75,0,I92+I91+I90)</f>
        <v>664035.01</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273</v>
      </c>
      <c r="D97" s="228">
        <v>0</v>
      </c>
      <c r="E97" s="913">
        <f>(C97+D97)</f>
        <v>273</v>
      </c>
      <c r="F97" s="850"/>
      <c r="G97" s="850"/>
      <c r="H97" s="85" t="s">
        <v>117</v>
      </c>
      <c r="I97" s="124">
        <f>Consolidated!G$127</f>
        <v>586</v>
      </c>
      <c r="J97" s="132">
        <f>ROUND(I97*E97,2)</f>
        <v>159978</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6261771.5199999996</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5980461.7599999998</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657" t="s">
        <v>180</v>
      </c>
      <c r="B114" s="641"/>
      <c r="C114" s="641"/>
      <c r="D114" s="641"/>
      <c r="E114" s="641"/>
      <c r="F114" s="641"/>
      <c r="G114" s="641"/>
      <c r="H114" s="638" t="s">
        <v>431</v>
      </c>
      <c r="I114" s="639">
        <f>IF(I111=1,J111,J109)</f>
        <v>5980461.7599999998</v>
      </c>
      <c r="J114" s="640">
        <f>ROUND(IF(E28=0,0,IF(E28&gt;250,-(((250/E28)*I114)*IF(H114="H",0.02,0.05)),IF(H114="H",-0.02*I114,-0.05*I114))),2)</f>
        <v>-42548.61</v>
      </c>
      <c r="M114" s="2"/>
      <c r="N114" s="3"/>
      <c r="R114" s="2"/>
      <c r="T114" s="4"/>
      <c r="W114" s="2"/>
      <c r="X114" s="5"/>
    </row>
    <row r="115" spans="1:26" ht="16.5" customHeight="1" x14ac:dyDescent="0.25">
      <c r="A115" s="641"/>
      <c r="B115" s="641"/>
      <c r="C115" s="641"/>
      <c r="D115" s="641"/>
      <c r="E115" s="641"/>
      <c r="F115" s="641"/>
      <c r="G115" s="641"/>
      <c r="H115" s="641"/>
      <c r="I115" s="642"/>
      <c r="J115" s="643"/>
      <c r="K115" s="72"/>
      <c r="M115" s="2"/>
      <c r="N115" s="3"/>
      <c r="R115" s="2"/>
      <c r="S115" s="234"/>
      <c r="T115" s="234"/>
      <c r="U115" s="234"/>
      <c r="V115" s="234"/>
      <c r="W115" s="234"/>
      <c r="X115" s="234"/>
      <c r="Y115" s="234"/>
      <c r="Z115" s="234"/>
    </row>
    <row r="116" spans="1:26" ht="16.5" customHeight="1" x14ac:dyDescent="0.25">
      <c r="A116" s="658" t="s">
        <v>181</v>
      </c>
      <c r="B116" s="644"/>
      <c r="C116" s="644"/>
      <c r="D116" s="644"/>
      <c r="E116" s="644"/>
      <c r="F116" s="644"/>
      <c r="G116" s="644"/>
      <c r="H116" s="644"/>
      <c r="I116" s="645"/>
      <c r="J116" s="646">
        <f>J107+J114</f>
        <v>6219222.9099999992</v>
      </c>
      <c r="K116" s="72"/>
      <c r="M116" s="2"/>
      <c r="N116" s="3"/>
      <c r="R116" s="2"/>
      <c r="S116" s="234"/>
      <c r="T116" s="234"/>
      <c r="U116" s="234"/>
      <c r="V116" s="234"/>
      <c r="W116" s="234"/>
      <c r="X116" s="234"/>
      <c r="Y116" s="234"/>
      <c r="Z116" s="234"/>
    </row>
    <row r="117" spans="1:26" ht="16.5" customHeight="1" x14ac:dyDescent="0.25">
      <c r="A117" s="641"/>
      <c r="B117" s="641"/>
      <c r="C117" s="641"/>
      <c r="D117" s="641"/>
      <c r="E117" s="641"/>
      <c r="F117" s="641"/>
      <c r="G117" s="641"/>
      <c r="H117" s="641"/>
      <c r="I117" s="642"/>
      <c r="J117" s="643"/>
      <c r="K117" s="72"/>
      <c r="M117" s="2"/>
      <c r="N117" s="3"/>
      <c r="R117" s="2"/>
      <c r="S117" s="234"/>
      <c r="T117" s="234"/>
      <c r="U117" s="234"/>
      <c r="V117" s="234"/>
      <c r="W117" s="234"/>
      <c r="X117" s="234"/>
      <c r="Y117" s="234"/>
      <c r="Z117" s="234"/>
    </row>
    <row r="118" spans="1:26" ht="16.5" customHeight="1" x14ac:dyDescent="0.25">
      <c r="A118" s="657" t="s">
        <v>182</v>
      </c>
      <c r="B118" s="641"/>
      <c r="C118" s="659"/>
      <c r="D118" s="641"/>
      <c r="E118" s="657"/>
      <c r="F118" s="657"/>
      <c r="G118" s="641"/>
      <c r="H118" s="641"/>
      <c r="I118" s="642"/>
      <c r="J118" s="647">
        <f>-'Cumulative Payments'!R91</f>
        <v>-5245745.5199999996</v>
      </c>
      <c r="K118" s="72"/>
      <c r="M118" s="2"/>
      <c r="N118" s="3"/>
      <c r="R118" s="2"/>
      <c r="S118" s="234"/>
      <c r="T118" s="234"/>
      <c r="U118" s="234"/>
      <c r="V118" s="234"/>
      <c r="W118" s="234"/>
      <c r="X118" s="234"/>
      <c r="Y118" s="234"/>
      <c r="Z118" s="234"/>
    </row>
    <row r="119" spans="1:26" ht="16.5" customHeight="1" x14ac:dyDescent="0.25">
      <c r="A119" s="641"/>
      <c r="B119" s="641"/>
      <c r="C119" s="641"/>
      <c r="D119" s="641"/>
      <c r="E119" s="641"/>
      <c r="F119" s="641"/>
      <c r="G119" s="641"/>
      <c r="H119" s="641"/>
      <c r="I119" s="642"/>
      <c r="J119" s="643"/>
      <c r="K119" s="72"/>
      <c r="M119" s="2"/>
      <c r="N119" s="3"/>
      <c r="R119" s="2"/>
      <c r="S119" s="234"/>
      <c r="T119" s="234"/>
      <c r="U119" s="234"/>
      <c r="V119" s="234"/>
      <c r="W119" s="234"/>
      <c r="X119" s="234"/>
      <c r="Y119" s="234"/>
      <c r="Z119" s="234"/>
    </row>
    <row r="120" spans="1:26" ht="16.5" customHeight="1" x14ac:dyDescent="0.25">
      <c r="A120" s="657" t="s">
        <v>183</v>
      </c>
      <c r="B120" s="641"/>
      <c r="C120" s="641"/>
      <c r="D120" s="641"/>
      <c r="E120" s="641"/>
      <c r="F120" s="641"/>
      <c r="G120" s="641"/>
      <c r="H120" s="641"/>
      <c r="I120" s="642"/>
      <c r="J120" s="643">
        <f>J116+J118</f>
        <v>973477.38999999966</v>
      </c>
      <c r="K120" s="72"/>
      <c r="M120" s="2"/>
      <c r="N120" s="3"/>
      <c r="R120" s="2"/>
      <c r="S120" s="234"/>
      <c r="T120" s="234"/>
      <c r="U120" s="234"/>
      <c r="V120" s="234"/>
      <c r="W120" s="234"/>
      <c r="X120" s="234"/>
      <c r="Y120" s="234"/>
      <c r="Z120" s="234"/>
    </row>
    <row r="121" spans="1:26" ht="16.5" customHeight="1" x14ac:dyDescent="0.25">
      <c r="A121" s="657"/>
      <c r="B121" s="641"/>
      <c r="C121" s="641"/>
      <c r="D121" s="641"/>
      <c r="E121" s="641"/>
      <c r="F121" s="641"/>
      <c r="G121" s="641"/>
      <c r="H121" s="641"/>
      <c r="I121" s="642"/>
      <c r="J121" s="643"/>
      <c r="K121" s="72"/>
      <c r="M121" s="2"/>
      <c r="N121" s="3"/>
      <c r="R121" s="2"/>
      <c r="S121" s="234"/>
      <c r="T121" s="234"/>
      <c r="U121" s="234"/>
      <c r="V121" s="234"/>
      <c r="W121" s="234"/>
      <c r="X121" s="234"/>
      <c r="Y121" s="234"/>
      <c r="Z121" s="234"/>
    </row>
    <row r="122" spans="1:26" ht="16.5" customHeight="1" x14ac:dyDescent="0.25">
      <c r="A122" s="657" t="s">
        <v>184</v>
      </c>
      <c r="B122" s="641"/>
      <c r="C122" s="641"/>
      <c r="D122" s="641"/>
      <c r="E122" s="641"/>
      <c r="F122" s="641"/>
      <c r="G122" s="641"/>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641"/>
      <c r="B123" s="641"/>
      <c r="C123" s="641"/>
      <c r="D123" s="641"/>
      <c r="E123" s="641"/>
      <c r="F123" s="641"/>
      <c r="G123" s="641"/>
      <c r="H123" s="641"/>
      <c r="I123" s="642"/>
      <c r="J123" s="643"/>
      <c r="K123" s="72"/>
      <c r="M123" s="2"/>
      <c r="N123" s="3"/>
      <c r="R123" s="2"/>
      <c r="S123" s="234"/>
      <c r="T123" s="234"/>
      <c r="U123" s="234"/>
      <c r="V123" s="234"/>
      <c r="W123" s="234"/>
      <c r="X123" s="234"/>
      <c r="Y123" s="234"/>
      <c r="Z123" s="234"/>
    </row>
    <row r="124" spans="1:26" ht="16.5" customHeight="1" thickBot="1" x14ac:dyDescent="0.3">
      <c r="A124" s="657" t="s">
        <v>185</v>
      </c>
      <c r="B124" s="641"/>
      <c r="C124" s="641"/>
      <c r="D124" s="641"/>
      <c r="E124" s="641"/>
      <c r="F124" s="641"/>
      <c r="G124" s="641"/>
      <c r="H124" s="641"/>
      <c r="I124" s="642"/>
      <c r="J124" s="649">
        <f>ROUND(J120/J122,2)</f>
        <v>486738.7</v>
      </c>
      <c r="K124" s="72"/>
      <c r="M124" s="2"/>
      <c r="N124" s="3"/>
      <c r="R124" s="2"/>
      <c r="S124" s="234"/>
      <c r="T124" s="234"/>
      <c r="U124" s="234"/>
      <c r="V124" s="234"/>
      <c r="W124" s="234"/>
      <c r="X124" s="234"/>
      <c r="Y124" s="234"/>
      <c r="Z124" s="234"/>
    </row>
    <row r="125" spans="1:26" ht="16.5" customHeight="1" thickTop="1" x14ac:dyDescent="0.25">
      <c r="A125" s="641"/>
      <c r="B125" s="641"/>
      <c r="C125" s="641"/>
      <c r="D125" s="641"/>
      <c r="E125" s="641"/>
      <c r="F125" s="641"/>
      <c r="G125" s="641"/>
      <c r="H125" s="641"/>
      <c r="I125" s="642"/>
      <c r="J125" s="643"/>
      <c r="K125" s="72"/>
      <c r="M125" s="2"/>
      <c r="N125" s="3"/>
      <c r="R125" s="2"/>
      <c r="S125" s="234"/>
      <c r="T125" s="234"/>
      <c r="U125" s="234"/>
      <c r="V125" s="234"/>
      <c r="W125" s="234"/>
      <c r="X125" s="234"/>
      <c r="Y125" s="234"/>
      <c r="Z125" s="234"/>
    </row>
    <row r="126" spans="1:26" ht="16.5" customHeight="1" thickBot="1" x14ac:dyDescent="0.3">
      <c r="A126" s="657" t="s">
        <v>186</v>
      </c>
      <c r="B126" s="641"/>
      <c r="C126" s="641"/>
      <c r="D126" s="641"/>
      <c r="E126" s="641"/>
      <c r="F126" s="641"/>
      <c r="G126" s="641"/>
      <c r="H126" s="641"/>
      <c r="I126" s="642"/>
      <c r="J126" s="650">
        <f>ROUND(IF(H114="H",(I114*0.02)+J114,(I114*0.05)+J114),2)</f>
        <v>77060.63</v>
      </c>
      <c r="K126" s="72"/>
      <c r="M126" s="2"/>
      <c r="N126" s="3"/>
      <c r="R126" s="2"/>
      <c r="S126" s="234"/>
      <c r="T126" s="234"/>
      <c r="U126" s="234"/>
      <c r="V126" s="234"/>
      <c r="W126" s="234"/>
      <c r="X126" s="234"/>
      <c r="Y126" s="234"/>
      <c r="Z126" s="234"/>
    </row>
    <row r="127" spans="1:26" ht="15.75" customHeight="1" thickTop="1" x14ac:dyDescent="0.25">
      <c r="A127" s="641"/>
      <c r="B127" s="641"/>
      <c r="C127" s="641"/>
      <c r="D127" s="641"/>
      <c r="E127" s="641"/>
      <c r="F127" s="641"/>
      <c r="G127" s="641"/>
      <c r="H127" s="642"/>
      <c r="I127" s="651"/>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C9480-D1A2-43E0-A4B6-7F1373A18D9B}">
  <dimension ref="A1:Z207"/>
  <sheetViews>
    <sheetView topLeftCell="A107" workbookViewId="0">
      <selection activeCell="A111" sqref="A111:H11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448</v>
      </c>
      <c r="B2" s="101"/>
      <c r="C2" s="101"/>
      <c r="D2" s="101"/>
      <c r="E2" s="6"/>
      <c r="F2" s="6"/>
      <c r="G2" s="6"/>
      <c r="H2" s="6"/>
      <c r="I2" s="686" t="str">
        <f>RIGHT(A2,4)</f>
        <v>3398</v>
      </c>
      <c r="J2" s="6"/>
      <c r="K2" s="6"/>
      <c r="L2" s="6"/>
      <c r="M2" s="6"/>
      <c r="N2" s="6"/>
      <c r="O2" s="6"/>
      <c r="P2" s="6"/>
      <c r="Q2" s="6"/>
      <c r="R2" s="898" t="str">
        <f>Revenue_Estimate_Worksheet_for___________Charter_School</f>
        <v>Revenue Estimate Worksheet: Everglades Preparatory Academy - 3398</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3</v>
      </c>
      <c r="D14" s="357">
        <f>SUMIFS(CountData!J:J,CountData!H:H,$I$2,CountData!I:I,$O14)</f>
        <v>3.52</v>
      </c>
      <c r="E14" s="812">
        <f t="shared" si="0"/>
        <v>6.52</v>
      </c>
      <c r="F14" s="812"/>
      <c r="G14" s="813">
        <f>Consolidated!$F16</f>
        <v>1</v>
      </c>
      <c r="H14" s="813">
        <f>Consolidated!$H$9</f>
        <v>1</v>
      </c>
      <c r="I14" s="517">
        <f t="shared" si="3"/>
        <v>6.52</v>
      </c>
      <c r="J14" s="518">
        <f>ROUND(ROUND(ROUND(I14*$E$6,4)*($I$6),2)*(MAX($I$7,1)),2)</f>
        <v>36272.89</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3</v>
      </c>
      <c r="D15" s="357">
        <f>SUMIFS(CountData!J:J,CountData!H:H,$I$2,CountData!I:I,$O15)</f>
        <v>2.5</v>
      </c>
      <c r="E15" s="812">
        <f t="shared" si="0"/>
        <v>5.5</v>
      </c>
      <c r="F15" s="812"/>
      <c r="G15" s="813">
        <f>Consolidated!$F17</f>
        <v>1</v>
      </c>
      <c r="H15" s="813">
        <f>Consolidated!$H$9</f>
        <v>1</v>
      </c>
      <c r="I15" s="517">
        <f t="shared" si="3"/>
        <v>5.5</v>
      </c>
      <c r="J15" s="518">
        <f t="shared" si="1"/>
        <v>30598.3</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32.659999999999997</v>
      </c>
      <c r="D16" s="357">
        <f>SUMIFS(CountData!J:J,CountData!H:H,$I$2,CountData!I:I,$O16)</f>
        <v>33.68</v>
      </c>
      <c r="E16" s="812">
        <f t="shared" si="0"/>
        <v>66.34</v>
      </c>
      <c r="F16" s="812"/>
      <c r="G16" s="813">
        <f>Consolidated!$F18</f>
        <v>0.97199999999999998</v>
      </c>
      <c r="H16" s="813">
        <f>Consolidated!$H$9</f>
        <v>1</v>
      </c>
      <c r="I16" s="517">
        <f t="shared" si="3"/>
        <v>64.482500000000002</v>
      </c>
      <c r="J16" s="518">
        <f t="shared" si="1"/>
        <v>358737.25</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9.5</v>
      </c>
      <c r="D17" s="357">
        <f>SUMIFS(CountData!J:J,CountData!H:H,$I$2,CountData!I:I,$O17)</f>
        <v>9.35</v>
      </c>
      <c r="E17" s="812">
        <f t="shared" si="0"/>
        <v>18.850000000000001</v>
      </c>
      <c r="F17" s="812"/>
      <c r="G17" s="813">
        <f>Consolidated!$F19</f>
        <v>0.97199999999999998</v>
      </c>
      <c r="H17" s="813">
        <f>Consolidated!$H$9</f>
        <v>1</v>
      </c>
      <c r="I17" s="517">
        <f t="shared" si="3"/>
        <v>18.322199999999999</v>
      </c>
      <c r="J17" s="518">
        <f t="shared" si="1"/>
        <v>101932.4</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254</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255</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0.41</v>
      </c>
      <c r="D26" s="357">
        <f>SUMIFS(CountData!J:J,CountData!H:H,$I$2,CountData!I:I,$O26)</f>
        <v>0.41</v>
      </c>
      <c r="E26" s="812">
        <f t="shared" si="0"/>
        <v>0.82</v>
      </c>
      <c r="F26" s="812"/>
      <c r="G26" s="813">
        <f>Consolidated!$F28</f>
        <v>1.165</v>
      </c>
      <c r="H26" s="813">
        <f>Consolidated!$H$9</f>
        <v>1</v>
      </c>
      <c r="I26" s="517">
        <f t="shared" si="3"/>
        <v>0.95530000000000004</v>
      </c>
      <c r="J26" s="518">
        <f t="shared" si="1"/>
        <v>5314.65</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1.74</v>
      </c>
      <c r="D27" s="358">
        <f>SUMIFS(CountData!J:J,CountData!H:H,$I$2,CountData!I:I,$O27)</f>
        <v>2.5499999999999998</v>
      </c>
      <c r="E27" s="814">
        <f t="shared" si="0"/>
        <v>4.29</v>
      </c>
      <c r="F27" s="814"/>
      <c r="G27" s="815">
        <f>Consolidated!$F29</f>
        <v>1.081</v>
      </c>
      <c r="H27" s="815">
        <f>Consolidated!$H$9</f>
        <v>1</v>
      </c>
      <c r="I27" s="22">
        <f t="shared" si="3"/>
        <v>4.6375000000000002</v>
      </c>
      <c r="J27" s="121">
        <f t="shared" si="1"/>
        <v>25799.93</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50.309999999999995</v>
      </c>
      <c r="D28" s="720">
        <f>SUM(D12:D27)</f>
        <v>52.01</v>
      </c>
      <c r="E28" s="817">
        <f>SUM(E12:E27)</f>
        <v>102.32000000000001</v>
      </c>
      <c r="F28" s="817"/>
      <c r="G28" s="812"/>
      <c r="H28" s="812"/>
      <c r="I28" s="23">
        <f>SUM(I12:I27)</f>
        <v>100.41749999999999</v>
      </c>
      <c r="J28" s="121">
        <f>SUM(J12:J27)</f>
        <v>558655.42000000004</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100.41749999999999</v>
      </c>
      <c r="H33" s="812" t="s">
        <v>45</v>
      </c>
      <c r="I33" s="812"/>
      <c r="J33" s="32">
        <f>SUM(J32,J28)</f>
        <v>558655.42000000004</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617789.14</v>
      </c>
      <c r="H36" s="37" t="s">
        <v>49</v>
      </c>
      <c r="I36" s="38">
        <v>6.6699999999999995E-2</v>
      </c>
      <c r="J36" s="125">
        <f>ROUND(G36*I36,2)</f>
        <v>41206.54</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617789.14</v>
      </c>
      <c r="H37" s="37" t="s">
        <v>49</v>
      </c>
      <c r="I37" s="38">
        <v>5.4000000000000003E-3</v>
      </c>
      <c r="J37" s="125">
        <f>ROUND(G37*I37,2)</f>
        <v>3336.06</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44542.6</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515">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515">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515">
        <f t="shared" si="9"/>
        <v>0</v>
      </c>
      <c r="M43" s="2"/>
      <c r="R43" s="885"/>
      <c r="S43" s="885"/>
      <c r="T43" s="867"/>
      <c r="U43" s="867"/>
      <c r="V43" s="167" t="s">
        <v>59</v>
      </c>
      <c r="W43" s="167">
        <v>253</v>
      </c>
      <c r="X43" s="128">
        <f>Consolidated!$H61</f>
        <v>6896</v>
      </c>
      <c r="Y43" s="218">
        <f t="shared" si="10"/>
        <v>0</v>
      </c>
    </row>
    <row r="44" spans="1:25" x14ac:dyDescent="0.25">
      <c r="A44" s="825"/>
      <c r="B44" s="825"/>
      <c r="C44" s="357">
        <v>3</v>
      </c>
      <c r="D44" s="357">
        <v>0</v>
      </c>
      <c r="E44" s="826">
        <f t="shared" si="8"/>
        <v>6</v>
      </c>
      <c r="F44" s="826"/>
      <c r="G44" s="47" t="s">
        <v>60</v>
      </c>
      <c r="H44" s="37">
        <v>251</v>
      </c>
      <c r="I44" s="130">
        <f>Consolidated!$H62</f>
        <v>1173</v>
      </c>
      <c r="J44" s="515">
        <f t="shared" si="9"/>
        <v>7038</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515">
        <f t="shared" si="9"/>
        <v>0</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515">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9</v>
      </c>
      <c r="D47" s="357">
        <v>0</v>
      </c>
      <c r="E47" s="826">
        <f t="shared" si="8"/>
        <v>18</v>
      </c>
      <c r="F47" s="826"/>
      <c r="G47" s="47" t="s">
        <v>61</v>
      </c>
      <c r="H47" s="37">
        <v>251</v>
      </c>
      <c r="I47" s="130">
        <f>Consolidated!$H65</f>
        <v>835</v>
      </c>
      <c r="J47" s="515">
        <f t="shared" si="9"/>
        <v>15030</v>
      </c>
      <c r="M47" s="2"/>
      <c r="R47" s="885"/>
      <c r="S47" s="885"/>
      <c r="T47" s="867"/>
      <c r="U47" s="867"/>
      <c r="V47" s="176" t="s">
        <v>61</v>
      </c>
      <c r="W47" s="167">
        <v>251</v>
      </c>
      <c r="X47" s="128">
        <f>Consolidated!$H65</f>
        <v>835</v>
      </c>
      <c r="Y47" s="218">
        <f t="shared" si="10"/>
        <v>0</v>
      </c>
    </row>
    <row r="48" spans="1:25" ht="15.75" customHeight="1" x14ac:dyDescent="0.25">
      <c r="A48" s="825"/>
      <c r="B48" s="825"/>
      <c r="C48" s="357">
        <v>0.5</v>
      </c>
      <c r="D48" s="357">
        <v>0</v>
      </c>
      <c r="E48" s="826">
        <f t="shared" si="8"/>
        <v>1</v>
      </c>
      <c r="F48" s="826"/>
      <c r="G48" s="47" t="s">
        <v>61</v>
      </c>
      <c r="H48" s="37">
        <v>252</v>
      </c>
      <c r="I48" s="130">
        <f>Consolidated!$H66</f>
        <v>3168</v>
      </c>
      <c r="J48" s="515">
        <f t="shared" si="9"/>
        <v>3168</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12.5</v>
      </c>
      <c r="D50" s="524">
        <f>SUM(D41:D49)</f>
        <v>0</v>
      </c>
      <c r="E50" s="832">
        <f>SUM(E41:E49)</f>
        <v>25</v>
      </c>
      <c r="F50" s="832"/>
      <c r="G50" s="818" t="s">
        <v>63</v>
      </c>
      <c r="H50" s="818"/>
      <c r="I50" s="818"/>
      <c r="J50" s="225">
        <f>SUM(J41:J49)</f>
        <v>25236</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102.32000000000001</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4.9200000000000003E-4</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100.41749999999999</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4.5399999999999998E-4</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102.32000000000001</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5.7200000000000003E-4</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102.32000000000001</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4.9299999999999995E-4</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102.32000000000001</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5.7300000000000005E-4</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4.9299999999999995E-4</v>
      </c>
      <c r="J68" s="132">
        <f>ROUND(G68*I68,2)</f>
        <v>22495.39</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4.9200000000000003E-4</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5.7300000000000005E-4</v>
      </c>
      <c r="J71" s="132">
        <f>ROUND(G71*I71,2)</f>
        <v>10849.22</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5.7200000000000003E-4</v>
      </c>
      <c r="J72" s="132">
        <f>ROUND(G72*I72,2)</f>
        <v>6463.61</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v>6.25</v>
      </c>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6.25</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4.84E-4</v>
      </c>
      <c r="J84" s="62">
        <f>ROUND(G84*I84,2)</f>
        <v>28315.35</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4.5399999999999998E-4</v>
      </c>
      <c r="J85" s="132">
        <f>ROUND(G85*I85,2)</f>
        <v>122042.59</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4.5399999999999998E-4</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4.9200000000000003E-4</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51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12.02</v>
      </c>
      <c r="C91" s="80"/>
      <c r="D91" s="894">
        <f>I6</f>
        <v>1.0355000000000001</v>
      </c>
      <c r="E91" s="894"/>
      <c r="F91" s="894"/>
      <c r="G91" s="117">
        <f>Consolidated!F$119</f>
        <v>915.09</v>
      </c>
      <c r="H91" s="47" t="s">
        <v>68</v>
      </c>
      <c r="I91" s="515">
        <f>ROUND(B91*D91*G91,2)</f>
        <v>11389.86</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88.397499999999994</v>
      </c>
      <c r="C92" s="80"/>
      <c r="D92" s="894">
        <f>I6</f>
        <v>1.0355000000000001</v>
      </c>
      <c r="E92" s="894"/>
      <c r="F92" s="894"/>
      <c r="G92" s="117">
        <f>Consolidated!F$120</f>
        <v>917.3</v>
      </c>
      <c r="H92" s="47" t="s">
        <v>68</v>
      </c>
      <c r="I92" s="515">
        <f>ROUND(B92*D92*G92,2)</f>
        <v>83965.62</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100.41749999999999</v>
      </c>
      <c r="C93" s="80"/>
      <c r="D93" s="80"/>
      <c r="E93" s="846" t="s">
        <v>112</v>
      </c>
      <c r="F93" s="846"/>
      <c r="G93" s="846"/>
      <c r="H93" s="846"/>
      <c r="I93" s="846"/>
      <c r="J93" s="121">
        <f>IF(A1=75,0,I92+I91+I90)</f>
        <v>95355.48</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73</v>
      </c>
      <c r="D97" s="228">
        <v>0</v>
      </c>
      <c r="E97" s="913">
        <f>(C97+D97)</f>
        <v>73</v>
      </c>
      <c r="F97" s="850"/>
      <c r="G97" s="850"/>
      <c r="H97" s="85" t="s">
        <v>117</v>
      </c>
      <c r="I97" s="124">
        <f>Consolidated!G$127</f>
        <v>586</v>
      </c>
      <c r="J97" s="132">
        <f>ROUND(I97*E97,2)</f>
        <v>42778</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912191.06</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867648.46000000008</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638"/>
      <c r="I114" s="639">
        <f>IF(I111=1,J111,J109)</f>
        <v>867648.46000000008</v>
      </c>
      <c r="J114" s="640">
        <f>ROUND(IF(E28=0,0,IF(E28&gt;250,-(((250/E28)*I114)*IF(H114="H",0.02,0.05)),IF(H114="H",-0.02*I114,-0.05*I114))),2)</f>
        <v>-43382.42</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868808.64</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641"/>
      <c r="I118" s="642"/>
      <c r="J118" s="647">
        <f>-'Cumulative Payments'!R92</f>
        <v>-725980.00999999989</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142828.63000000012</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71414.320000000007</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ROUND(IF(H114="H",(I114*0.02)+J114,(I114*0.05)+J114),2)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642"/>
      <c r="I127" s="651"/>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B6969-2ACC-4EE7-BBC9-F5BA0A5BF404}">
  <dimension ref="A1:Z207"/>
  <sheetViews>
    <sheetView topLeftCell="A107" workbookViewId="0">
      <selection activeCell="A111" sqref="A111:H11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449</v>
      </c>
      <c r="B2" s="101"/>
      <c r="C2" s="101"/>
      <c r="D2" s="101"/>
      <c r="E2" s="6"/>
      <c r="F2" s="6"/>
      <c r="G2" s="6"/>
      <c r="H2" s="6"/>
      <c r="I2" s="686" t="str">
        <f>RIGHT(A2,4)</f>
        <v>3400</v>
      </c>
      <c r="J2" s="6"/>
      <c r="K2" s="6"/>
      <c r="L2" s="6"/>
      <c r="M2" s="6"/>
      <c r="N2" s="6"/>
      <c r="O2" s="6"/>
      <c r="P2" s="6"/>
      <c r="Q2" s="6"/>
      <c r="R2" s="898" t="str">
        <f>Revenue_Estimate_Worksheet_for___________Charter_School</f>
        <v>Revenue Estimate Worksheet: Believers Academy - 3400</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0</v>
      </c>
      <c r="D14" s="357">
        <f>SUMIFS(CountData!J:J,CountData!H:H,$I$2,CountData!I:I,$O14)</f>
        <v>0</v>
      </c>
      <c r="E14" s="812">
        <f t="shared" si="0"/>
        <v>0</v>
      </c>
      <c r="F14" s="812"/>
      <c r="G14" s="813">
        <f>Consolidated!$F16</f>
        <v>1</v>
      </c>
      <c r="H14" s="813">
        <f>Consolidated!$H$9</f>
        <v>1</v>
      </c>
      <c r="I14" s="517">
        <f t="shared" si="3"/>
        <v>0</v>
      </c>
      <c r="J14" s="518">
        <f>ROUND(ROUND(ROUND(I14*$E$6,4)*($I$6),2)*(MAX($I$7,1)),2)</f>
        <v>0</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1.5</v>
      </c>
      <c r="D15" s="357">
        <f>SUMIFS(CountData!J:J,CountData!H:H,$I$2,CountData!I:I,$O15)</f>
        <v>1</v>
      </c>
      <c r="E15" s="812">
        <f t="shared" si="0"/>
        <v>2.5</v>
      </c>
      <c r="F15" s="812"/>
      <c r="G15" s="813">
        <f>Consolidated!$F17</f>
        <v>1</v>
      </c>
      <c r="H15" s="813">
        <f>Consolidated!$H$9</f>
        <v>1</v>
      </c>
      <c r="I15" s="517">
        <f t="shared" si="3"/>
        <v>2.5</v>
      </c>
      <c r="J15" s="518">
        <f t="shared" si="1"/>
        <v>13908.32</v>
      </c>
      <c r="M15" s="2"/>
      <c r="O15" s="2" t="str">
        <f t="shared" si="2"/>
        <v>112</v>
      </c>
      <c r="R15" s="737" t="s">
        <v>23</v>
      </c>
      <c r="S15" s="737"/>
      <c r="T15" s="876">
        <f t="shared" si="4"/>
        <v>2.5</v>
      </c>
      <c r="U15" s="876"/>
      <c r="V15" s="875">
        <v>1</v>
      </c>
      <c r="W15" s="875"/>
      <c r="X15" s="150">
        <f t="shared" si="5"/>
        <v>2.5</v>
      </c>
      <c r="Y15" s="217">
        <f t="shared" ref="Y15:Y27" si="7">ROUND(ROUND(ROUND(X15*$E$6,4)*($I$6),2)*(MAX($I$7,1)),2)</f>
        <v>13908.32</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44.56</v>
      </c>
      <c r="D17" s="357">
        <f>SUMIFS(CountData!J:J,CountData!H:H,$I$2,CountData!I:I,$O17)</f>
        <v>44.12</v>
      </c>
      <c r="E17" s="812">
        <f t="shared" si="0"/>
        <v>88.68</v>
      </c>
      <c r="F17" s="812"/>
      <c r="G17" s="813">
        <f>Consolidated!$F19</f>
        <v>0.97199999999999998</v>
      </c>
      <c r="H17" s="813">
        <f>Consolidated!$H$9</f>
        <v>1</v>
      </c>
      <c r="I17" s="517">
        <f t="shared" si="3"/>
        <v>86.197000000000003</v>
      </c>
      <c r="J17" s="518">
        <f t="shared" si="1"/>
        <v>479542.12</v>
      </c>
      <c r="M17" s="2"/>
      <c r="O17" s="2" t="str">
        <f t="shared" si="2"/>
        <v>113</v>
      </c>
      <c r="R17" s="737" t="s">
        <v>25</v>
      </c>
      <c r="S17" s="737"/>
      <c r="T17" s="876">
        <f t="shared" si="4"/>
        <v>88.68</v>
      </c>
      <c r="U17" s="876"/>
      <c r="V17" s="875">
        <v>1</v>
      </c>
      <c r="W17" s="875"/>
      <c r="X17" s="150">
        <f t="shared" si="5"/>
        <v>88.68</v>
      </c>
      <c r="Y17" s="217">
        <f t="shared" si="7"/>
        <v>493355.86</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254</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255</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46.06</v>
      </c>
      <c r="D28" s="720">
        <f>SUM(D12:D27)</f>
        <v>45.12</v>
      </c>
      <c r="E28" s="817">
        <f>SUM(E12:E27)</f>
        <v>91.18</v>
      </c>
      <c r="F28" s="817"/>
      <c r="G28" s="812"/>
      <c r="H28" s="812"/>
      <c r="I28" s="23">
        <f>SUM(I12:I27)</f>
        <v>88.697000000000003</v>
      </c>
      <c r="J28" s="121">
        <f>SUM(J12:J27)</f>
        <v>493450.44</v>
      </c>
      <c r="M28" s="2"/>
      <c r="R28" s="878" t="s">
        <v>36</v>
      </c>
      <c r="S28" s="878"/>
      <c r="T28" s="879">
        <f>SUM(T12:T27)</f>
        <v>91.18</v>
      </c>
      <c r="U28" s="879"/>
      <c r="V28" s="880"/>
      <c r="W28" s="880"/>
      <c r="X28" s="152">
        <f>SUM(X12:X27)</f>
        <v>91.18</v>
      </c>
      <c r="Y28" s="217">
        <f>SUM(Y12:Y27)</f>
        <v>507264.18</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88.697000000000003</v>
      </c>
      <c r="H33" s="812" t="s">
        <v>45</v>
      </c>
      <c r="I33" s="812"/>
      <c r="J33" s="32">
        <f>SUM(J32,J28)</f>
        <v>493450.44</v>
      </c>
      <c r="M33" s="2"/>
      <c r="R33" s="833" t="s">
        <v>44</v>
      </c>
      <c r="S33" s="833"/>
      <c r="T33" s="833"/>
      <c r="U33" s="833"/>
      <c r="V33" s="158">
        <f>V32+X28</f>
        <v>91.18</v>
      </c>
      <c r="W33" s="880" t="s">
        <v>45</v>
      </c>
      <c r="X33" s="880"/>
      <c r="Y33" s="159">
        <f>SUM(Y32,Y28)</f>
        <v>507264.18</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519146.9</v>
      </c>
      <c r="H36" s="37" t="s">
        <v>49</v>
      </c>
      <c r="I36" s="38">
        <v>6.6699999999999995E-2</v>
      </c>
      <c r="J36" s="125">
        <f>ROUND(G36*I36,2)</f>
        <v>34627.1</v>
      </c>
      <c r="K36" s="39"/>
      <c r="L36" s="33"/>
      <c r="M36" s="33"/>
      <c r="N36" s="33"/>
      <c r="O36" s="31"/>
      <c r="P36" s="34"/>
      <c r="Q36" s="34"/>
      <c r="R36" s="737" t="s">
        <v>47</v>
      </c>
      <c r="S36" s="737"/>
      <c r="T36" s="737"/>
      <c r="U36" s="163"/>
      <c r="V36" s="166">
        <v>533300.56000000006</v>
      </c>
      <c r="W36" s="167" t="s">
        <v>49</v>
      </c>
      <c r="X36" s="168">
        <v>6.6699999999999995E-2</v>
      </c>
      <c r="Y36" s="217">
        <f>J36</f>
        <v>34627.1</v>
      </c>
    </row>
    <row r="37" spans="1:25" ht="20.25" customHeight="1" x14ac:dyDescent="0.25">
      <c r="A37" s="738" t="s">
        <v>50</v>
      </c>
      <c r="B37" s="738"/>
      <c r="C37" s="738"/>
      <c r="D37" s="738"/>
      <c r="E37" s="738"/>
      <c r="F37" s="36" t="s">
        <v>48</v>
      </c>
      <c r="G37" s="126">
        <v>519146.9</v>
      </c>
      <c r="H37" s="37" t="s">
        <v>49</v>
      </c>
      <c r="I37" s="38">
        <v>5.4000000000000003E-3</v>
      </c>
      <c r="J37" s="125">
        <f>ROUND(G37*I37,2)</f>
        <v>2803.39</v>
      </c>
      <c r="K37" s="39"/>
      <c r="L37" s="33"/>
      <c r="M37" s="33"/>
      <c r="N37" s="33"/>
      <c r="O37" s="31"/>
      <c r="P37" s="34"/>
      <c r="Q37" s="34"/>
      <c r="R37" s="737" t="s">
        <v>50</v>
      </c>
      <c r="S37" s="737"/>
      <c r="T37" s="737"/>
      <c r="U37" s="163"/>
      <c r="V37" s="166">
        <v>533300.56000000006</v>
      </c>
      <c r="W37" s="167" t="s">
        <v>49</v>
      </c>
      <c r="X37" s="168">
        <v>5.4000000000000003E-3</v>
      </c>
      <c r="Y37" s="217">
        <f>J37</f>
        <v>2803.39</v>
      </c>
    </row>
    <row r="38" spans="1:25" ht="20.25" customHeight="1" x14ac:dyDescent="0.25">
      <c r="A38" s="820" t="s">
        <v>51</v>
      </c>
      <c r="B38" s="820"/>
      <c r="C38" s="820"/>
      <c r="D38" s="820"/>
      <c r="E38" s="820"/>
      <c r="F38" s="36" t="s">
        <v>52</v>
      </c>
      <c r="G38" s="40"/>
      <c r="H38" s="37"/>
      <c r="I38" s="41"/>
      <c r="J38" s="125">
        <f>SUM(J36:J37)</f>
        <v>37430.49</v>
      </c>
      <c r="K38" s="39"/>
      <c r="L38" s="33"/>
      <c r="M38" s="33"/>
      <c r="N38" s="33"/>
      <c r="O38" s="31"/>
      <c r="P38" s="34"/>
      <c r="Q38" s="34"/>
      <c r="R38" s="739" t="s">
        <v>51</v>
      </c>
      <c r="S38" s="739"/>
      <c r="T38" s="739"/>
      <c r="U38" s="163" t="s">
        <v>52</v>
      </c>
      <c r="V38" s="169"/>
      <c r="W38" s="167"/>
      <c r="X38" s="170"/>
      <c r="Y38" s="189">
        <f>Y36+Y37</f>
        <v>37430.49</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515">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515">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515">
        <f t="shared" si="9"/>
        <v>0</v>
      </c>
      <c r="M43" s="2"/>
      <c r="R43" s="885"/>
      <c r="S43" s="885"/>
      <c r="T43" s="867"/>
      <c r="U43" s="867"/>
      <c r="V43" s="167" t="s">
        <v>59</v>
      </c>
      <c r="W43" s="167">
        <v>253</v>
      </c>
      <c r="X43" s="128">
        <f>Consolidated!$H61</f>
        <v>6896</v>
      </c>
      <c r="Y43" s="218">
        <f t="shared" si="10"/>
        <v>0</v>
      </c>
    </row>
    <row r="44" spans="1:25" x14ac:dyDescent="0.25">
      <c r="A44" s="825"/>
      <c r="B44" s="825"/>
      <c r="C44" s="357">
        <v>0</v>
      </c>
      <c r="D44" s="357">
        <v>0</v>
      </c>
      <c r="E44" s="826">
        <f t="shared" si="8"/>
        <v>0</v>
      </c>
      <c r="F44" s="826"/>
      <c r="G44" s="47" t="s">
        <v>60</v>
      </c>
      <c r="H44" s="37">
        <v>251</v>
      </c>
      <c r="I44" s="130">
        <f>Consolidated!$H62</f>
        <v>1173</v>
      </c>
      <c r="J44" s="515">
        <f t="shared" si="9"/>
        <v>0</v>
      </c>
      <c r="L44" s="3"/>
      <c r="M44" s="2"/>
      <c r="Q44" s="4"/>
      <c r="R44" s="885"/>
      <c r="S44" s="885"/>
      <c r="T44" s="867"/>
      <c r="U44" s="867"/>
      <c r="V44" s="176" t="s">
        <v>60</v>
      </c>
      <c r="W44" s="167">
        <v>251</v>
      </c>
      <c r="X44" s="128">
        <f>Consolidated!$H62</f>
        <v>1173</v>
      </c>
      <c r="Y44" s="218">
        <f t="shared" si="10"/>
        <v>0</v>
      </c>
    </row>
    <row r="45" spans="1:25" x14ac:dyDescent="0.25">
      <c r="A45" s="825"/>
      <c r="B45" s="825"/>
      <c r="C45" s="357">
        <v>1</v>
      </c>
      <c r="D45" s="357">
        <v>0</v>
      </c>
      <c r="E45" s="826">
        <f t="shared" si="8"/>
        <v>2</v>
      </c>
      <c r="F45" s="826"/>
      <c r="G45" s="47" t="s">
        <v>60</v>
      </c>
      <c r="H45" s="37">
        <v>252</v>
      </c>
      <c r="I45" s="130">
        <f>Consolidated!$H63</f>
        <v>3506</v>
      </c>
      <c r="J45" s="515">
        <f t="shared" si="9"/>
        <v>7012</v>
      </c>
      <c r="M45" s="2"/>
      <c r="R45" s="885"/>
      <c r="S45" s="885"/>
      <c r="T45" s="867"/>
      <c r="U45" s="867"/>
      <c r="V45" s="176" t="s">
        <v>60</v>
      </c>
      <c r="W45" s="167">
        <v>252</v>
      </c>
      <c r="X45" s="128">
        <f>Consolidated!$H63</f>
        <v>3506</v>
      </c>
      <c r="Y45" s="218">
        <f t="shared" si="10"/>
        <v>0</v>
      </c>
    </row>
    <row r="46" spans="1:25" x14ac:dyDescent="0.25">
      <c r="A46" s="825"/>
      <c r="B46" s="825"/>
      <c r="C46" s="357">
        <v>0.5</v>
      </c>
      <c r="D46" s="357">
        <v>0</v>
      </c>
      <c r="E46" s="826">
        <f t="shared" si="8"/>
        <v>1</v>
      </c>
      <c r="F46" s="826"/>
      <c r="G46" s="47" t="s">
        <v>60</v>
      </c>
      <c r="H46" s="37">
        <v>253</v>
      </c>
      <c r="I46" s="130">
        <f>Consolidated!$H64</f>
        <v>7023</v>
      </c>
      <c r="J46" s="515">
        <f t="shared" si="9"/>
        <v>7023</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515">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27.93</v>
      </c>
      <c r="D48" s="357">
        <v>0</v>
      </c>
      <c r="E48" s="826">
        <f t="shared" si="8"/>
        <v>55.86</v>
      </c>
      <c r="F48" s="826"/>
      <c r="G48" s="47" t="s">
        <v>61</v>
      </c>
      <c r="H48" s="37">
        <v>252</v>
      </c>
      <c r="I48" s="130">
        <f>Consolidated!$H66</f>
        <v>3168</v>
      </c>
      <c r="J48" s="515">
        <f t="shared" si="9"/>
        <v>176964.48000000001</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16.510000000000002</v>
      </c>
      <c r="D49" s="357">
        <v>0</v>
      </c>
      <c r="E49" s="831">
        <f t="shared" si="8"/>
        <v>33.020000000000003</v>
      </c>
      <c r="F49" s="831"/>
      <c r="G49" s="47" t="s">
        <v>61</v>
      </c>
      <c r="H49" s="37">
        <v>253</v>
      </c>
      <c r="I49" s="130">
        <f>Consolidated!$H67</f>
        <v>6685</v>
      </c>
      <c r="J49" s="515">
        <f t="shared" si="9"/>
        <v>220738.7</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45.94</v>
      </c>
      <c r="D50" s="524">
        <f>SUM(D41:D49)</f>
        <v>0</v>
      </c>
      <c r="E50" s="832">
        <f>SUM(E41:E49)</f>
        <v>91.88</v>
      </c>
      <c r="F50" s="832"/>
      <c r="G50" s="818" t="s">
        <v>63</v>
      </c>
      <c r="H50" s="818"/>
      <c r="I50" s="818"/>
      <c r="J50" s="225">
        <f>SUM(J41:J49)</f>
        <v>411738.18000000005</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91.18</v>
      </c>
      <c r="U52" s="178" t="s">
        <v>66</v>
      </c>
      <c r="V52" s="179"/>
      <c r="W52" s="180" t="s">
        <v>67</v>
      </c>
      <c r="X52" s="863">
        <f>I53</f>
        <v>207782.75</v>
      </c>
      <c r="Y52" s="863"/>
    </row>
    <row r="53" spans="1:25" ht="16.5" customHeight="1" x14ac:dyDescent="0.25">
      <c r="A53" s="827" t="s">
        <v>65</v>
      </c>
      <c r="B53" s="827"/>
      <c r="C53" s="51"/>
      <c r="D53" s="51"/>
      <c r="E53" s="48">
        <f>E28</f>
        <v>91.18</v>
      </c>
      <c r="F53" s="49" t="s">
        <v>66</v>
      </c>
      <c r="G53" s="3"/>
      <c r="H53" s="50" t="s">
        <v>67</v>
      </c>
      <c r="I53" s="918">
        <f>Consolidated!H$71</f>
        <v>207782.75</v>
      </c>
      <c r="J53" s="918"/>
      <c r="M53" s="2"/>
      <c r="R53" s="181"/>
      <c r="S53" s="182"/>
      <c r="T53" s="164"/>
      <c r="U53" s="164"/>
      <c r="V53" s="164"/>
      <c r="W53" s="183" t="s">
        <v>68</v>
      </c>
      <c r="X53" s="864">
        <f>ROUND(T52/X52,6)</f>
        <v>4.3899999999999999E-4</v>
      </c>
      <c r="Y53" s="864"/>
    </row>
    <row r="54" spans="1:25" ht="22.5" customHeight="1" x14ac:dyDescent="0.25">
      <c r="A54" s="51"/>
      <c r="B54" s="52"/>
      <c r="C54" s="52"/>
      <c r="D54" s="52"/>
      <c r="H54" s="53" t="s">
        <v>68</v>
      </c>
      <c r="I54" s="828">
        <f>IFERROR(ROUND(E53/I53,6),0)</f>
        <v>4.3899999999999999E-4</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91.18</v>
      </c>
      <c r="U55" s="178" t="s">
        <v>66</v>
      </c>
      <c r="V55" s="179"/>
      <c r="W55" s="180" t="s">
        <v>71</v>
      </c>
      <c r="X55" s="863">
        <f>I56</f>
        <v>221179.83999999997</v>
      </c>
      <c r="Y55" s="863"/>
    </row>
    <row r="56" spans="1:25" ht="16.5" customHeight="1" x14ac:dyDescent="0.25">
      <c r="A56" s="827" t="s">
        <v>70</v>
      </c>
      <c r="B56" s="827"/>
      <c r="C56" s="51"/>
      <c r="D56" s="51"/>
      <c r="E56" s="48">
        <f>G33</f>
        <v>88.697000000000003</v>
      </c>
      <c r="F56" s="49" t="s">
        <v>66</v>
      </c>
      <c r="G56" s="3"/>
      <c r="H56" s="50" t="s">
        <v>71</v>
      </c>
      <c r="I56" s="918">
        <f>Consolidated!H$74</f>
        <v>221179.83999999997</v>
      </c>
      <c r="J56" s="918"/>
      <c r="M56" s="2"/>
      <c r="R56" s="181"/>
      <c r="S56" s="164"/>
      <c r="T56" s="164"/>
      <c r="U56" s="164"/>
      <c r="V56" s="164"/>
      <c r="W56" s="183" t="s">
        <v>68</v>
      </c>
      <c r="X56" s="864">
        <f>ROUND(T55/X55,6)</f>
        <v>4.1199999999999999E-4</v>
      </c>
      <c r="Y56" s="864"/>
    </row>
    <row r="57" spans="1:25" ht="18.75" customHeight="1" x14ac:dyDescent="0.25">
      <c r="A57" s="51"/>
      <c r="H57" s="53" t="s">
        <v>68</v>
      </c>
      <c r="I57" s="828">
        <f>IFERROR(ROUND(E56/I56,6),0)</f>
        <v>4.0099999999999999E-4</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91.18</v>
      </c>
      <c r="U58" s="178" t="s">
        <v>66</v>
      </c>
      <c r="V58" s="862" t="s">
        <v>74</v>
      </c>
      <c r="W58" s="862"/>
      <c r="X58" s="863">
        <f>I59</f>
        <v>178931.75</v>
      </c>
      <c r="Y58" s="863"/>
    </row>
    <row r="59" spans="1:25" ht="18.75" customHeight="1" x14ac:dyDescent="0.25">
      <c r="A59" s="827" t="s">
        <v>73</v>
      </c>
      <c r="B59" s="827"/>
      <c r="C59" s="51"/>
      <c r="D59" s="51"/>
      <c r="E59" s="48">
        <f>E28</f>
        <v>91.18</v>
      </c>
      <c r="F59" s="49" t="s">
        <v>66</v>
      </c>
      <c r="G59" s="911" t="s">
        <v>74</v>
      </c>
      <c r="H59" s="911"/>
      <c r="I59" s="918">
        <f>Consolidated!H$77</f>
        <v>178931.75</v>
      </c>
      <c r="J59" s="918"/>
      <c r="M59" s="2"/>
      <c r="R59" s="181"/>
      <c r="S59" s="164"/>
      <c r="T59" s="164"/>
      <c r="U59" s="164"/>
      <c r="V59" s="164"/>
      <c r="W59" s="183" t="s">
        <v>68</v>
      </c>
      <c r="X59" s="864">
        <f>ROUND(T58/X58,6)</f>
        <v>5.1000000000000004E-4</v>
      </c>
      <c r="Y59" s="864"/>
    </row>
    <row r="60" spans="1:25" ht="18" customHeight="1" x14ac:dyDescent="0.25">
      <c r="A60" s="51"/>
      <c r="H60" s="53" t="s">
        <v>68</v>
      </c>
      <c r="I60" s="828">
        <f>IFERROR(ROUND(E59/I59,6),0)</f>
        <v>5.1000000000000004E-4</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91.18</v>
      </c>
      <c r="U61" s="178" t="s">
        <v>66</v>
      </c>
      <c r="V61" s="862" t="s">
        <v>76</v>
      </c>
      <c r="W61" s="862"/>
      <c r="X61" s="863">
        <f>I62</f>
        <v>207463.82</v>
      </c>
      <c r="Y61" s="863"/>
    </row>
    <row r="62" spans="1:25" ht="30.75" customHeight="1" x14ac:dyDescent="0.25">
      <c r="A62" s="827" t="s">
        <v>73</v>
      </c>
      <c r="B62" s="827"/>
      <c r="C62" s="51"/>
      <c r="D62" s="51"/>
      <c r="E62" s="48">
        <f>E28</f>
        <v>91.18</v>
      </c>
      <c r="F62" s="49" t="s">
        <v>66</v>
      </c>
      <c r="G62" s="911" t="s">
        <v>76</v>
      </c>
      <c r="H62" s="911"/>
      <c r="I62" s="918">
        <f>Consolidated!H$80</f>
        <v>207463.82</v>
      </c>
      <c r="J62" s="918"/>
      <c r="M62" s="2"/>
      <c r="R62" s="181"/>
      <c r="S62" s="164"/>
      <c r="T62" s="164"/>
      <c r="U62" s="164"/>
      <c r="V62" s="164"/>
      <c r="W62" s="183" t="s">
        <v>68</v>
      </c>
      <c r="X62" s="864">
        <f>ROUND(T61/X61,6)</f>
        <v>4.3899999999999999E-4</v>
      </c>
      <c r="Y62" s="864"/>
    </row>
    <row r="63" spans="1:25" ht="19.5" customHeight="1" x14ac:dyDescent="0.25">
      <c r="A63" s="51"/>
      <c r="H63" s="53" t="s">
        <v>68</v>
      </c>
      <c r="I63" s="828">
        <f>IFERROR(ROUND(E62/I62,6),0)</f>
        <v>4.3899999999999999E-4</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91.18</v>
      </c>
      <c r="U64" s="178" t="s">
        <v>66</v>
      </c>
      <c r="V64" s="862" t="s">
        <v>161</v>
      </c>
      <c r="W64" s="862"/>
      <c r="X64" s="863">
        <f>I65</f>
        <v>178612.82</v>
      </c>
      <c r="Y64" s="863"/>
    </row>
    <row r="65" spans="1:26" ht="49.5" customHeight="1" x14ac:dyDescent="0.25">
      <c r="A65" s="827" t="s">
        <v>73</v>
      </c>
      <c r="B65" s="827"/>
      <c r="C65" s="51"/>
      <c r="D65" s="51"/>
      <c r="E65" s="48">
        <f>E28</f>
        <v>91.18</v>
      </c>
      <c r="F65" s="49" t="s">
        <v>66</v>
      </c>
      <c r="G65" s="911" t="s">
        <v>78</v>
      </c>
      <c r="H65" s="911"/>
      <c r="I65" s="918">
        <f>Consolidated!H$83</f>
        <v>178612.82</v>
      </c>
      <c r="J65" s="918"/>
      <c r="M65" s="2"/>
      <c r="R65" s="184"/>
      <c r="S65" s="164"/>
      <c r="T65" s="164"/>
      <c r="U65" s="164"/>
      <c r="V65" s="164"/>
      <c r="W65" s="183" t="s">
        <v>68</v>
      </c>
      <c r="X65" s="864">
        <f>ROUND(T64/X64,6)</f>
        <v>5.1000000000000004E-4</v>
      </c>
      <c r="Y65" s="864"/>
    </row>
    <row r="66" spans="1:26" ht="19.5" customHeight="1" x14ac:dyDescent="0.25">
      <c r="A66" s="51"/>
      <c r="H66" s="53" t="s">
        <v>68</v>
      </c>
      <c r="I66" s="828">
        <f>IFERROR(ROUND(E65/I65,6),0)</f>
        <v>5.1000000000000004E-4</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4.3899999999999999E-4</v>
      </c>
      <c r="Y67" s="220">
        <f>ROUND(V67*X67,2)</f>
        <v>20031.39</v>
      </c>
    </row>
    <row r="68" spans="1:26" ht="30.75" customHeight="1" x14ac:dyDescent="0.25">
      <c r="A68" s="836" t="s">
        <v>79</v>
      </c>
      <c r="B68" s="836"/>
      <c r="C68" s="836"/>
      <c r="D68" s="836"/>
      <c r="E68" s="836"/>
      <c r="F68" s="36" t="s">
        <v>80</v>
      </c>
      <c r="G68" s="226">
        <f>Consolidated!F$86</f>
        <v>45629593</v>
      </c>
      <c r="H68" s="37" t="s">
        <v>81</v>
      </c>
      <c r="I68" s="41">
        <f>I63</f>
        <v>4.3899999999999999E-4</v>
      </c>
      <c r="J68" s="132">
        <f>ROUND(G68*I68,2)</f>
        <v>20031.39</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4.3899999999999999E-4</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4.3899999999999999E-4</v>
      </c>
      <c r="J70" s="132">
        <f>ROUND(G70*I70,2)</f>
        <v>0</v>
      </c>
      <c r="M70" s="2"/>
      <c r="R70" s="739" t="s">
        <v>163</v>
      </c>
      <c r="S70" s="739"/>
      <c r="T70" s="739"/>
      <c r="U70" s="163"/>
      <c r="V70" s="187">
        <f>G71</f>
        <v>18934058</v>
      </c>
      <c r="W70" s="167" t="s">
        <v>81</v>
      </c>
      <c r="X70" s="170">
        <f>X65</f>
        <v>5.1000000000000004E-4</v>
      </c>
      <c r="Y70" s="217">
        <f t="shared" si="11"/>
        <v>9656.3700000000008</v>
      </c>
    </row>
    <row r="71" spans="1:26" ht="19.5" customHeight="1" x14ac:dyDescent="0.25">
      <c r="A71" s="820" t="s">
        <v>85</v>
      </c>
      <c r="B71" s="820"/>
      <c r="C71" s="820"/>
      <c r="D71" s="820"/>
      <c r="E71" s="820"/>
      <c r="F71" s="36" t="s">
        <v>86</v>
      </c>
      <c r="G71" s="226">
        <f>Consolidated!F$91</f>
        <v>18934058</v>
      </c>
      <c r="H71" s="37" t="s">
        <v>81</v>
      </c>
      <c r="I71" s="41">
        <f>I66</f>
        <v>5.1000000000000004E-4</v>
      </c>
      <c r="J71" s="132">
        <f>ROUND(G71*I71,2)</f>
        <v>9656.3700000000008</v>
      </c>
      <c r="M71" s="2"/>
      <c r="R71" s="171" t="s">
        <v>164</v>
      </c>
      <c r="S71" s="171"/>
      <c r="T71" s="171"/>
      <c r="U71" s="163"/>
      <c r="V71" s="165">
        <f>G72</f>
        <v>11300012</v>
      </c>
      <c r="W71" s="167" t="s">
        <v>81</v>
      </c>
      <c r="X71" s="170">
        <f>X59</f>
        <v>5.1000000000000004E-4</v>
      </c>
      <c r="Y71" s="217">
        <f t="shared" si="11"/>
        <v>5763.01</v>
      </c>
    </row>
    <row r="72" spans="1:26" ht="19.5" customHeight="1" x14ac:dyDescent="0.25">
      <c r="A72" s="42" t="s">
        <v>87</v>
      </c>
      <c r="B72" s="42"/>
      <c r="C72" s="42"/>
      <c r="D72" s="42"/>
      <c r="E72" s="42"/>
      <c r="F72" s="36" t="s">
        <v>88</v>
      </c>
      <c r="G72" s="226">
        <f>Consolidated!F$93</f>
        <v>11300012</v>
      </c>
      <c r="H72" s="37" t="s">
        <v>81</v>
      </c>
      <c r="I72" s="41">
        <f>I60</f>
        <v>5.1000000000000004E-4</v>
      </c>
      <c r="J72" s="132">
        <f>ROUND(G72*I72,2)</f>
        <v>5763.01</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4.0099999999999999E-4</v>
      </c>
      <c r="J85" s="132">
        <f>ROUND(G85*I85,2)</f>
        <v>107795.33</v>
      </c>
      <c r="K85" s="70"/>
      <c r="L85" s="70"/>
      <c r="M85" s="71"/>
      <c r="N85" s="70"/>
      <c r="O85" s="70"/>
      <c r="P85" s="70"/>
      <c r="Q85" s="70"/>
      <c r="R85" s="739" t="s">
        <v>168</v>
      </c>
      <c r="S85" s="739"/>
      <c r="T85" s="739"/>
      <c r="U85" s="163"/>
      <c r="V85" s="165">
        <f>G85</f>
        <v>268816278</v>
      </c>
      <c r="W85" s="167" t="s">
        <v>81</v>
      </c>
      <c r="X85" s="170">
        <f>X56</f>
        <v>4.1199999999999999E-4</v>
      </c>
      <c r="Y85" s="217">
        <f t="shared" ref="Y85:Y87" si="12">ROUND(V85*X85,2)</f>
        <v>110752.31</v>
      </c>
    </row>
    <row r="86" spans="1:26" ht="14.25" customHeight="1" x14ac:dyDescent="0.25">
      <c r="A86" s="820" t="s">
        <v>104</v>
      </c>
      <c r="B86" s="820"/>
      <c r="C86" s="820"/>
      <c r="D86" s="820"/>
      <c r="E86" s="820"/>
      <c r="F86" s="36" t="s">
        <v>103</v>
      </c>
      <c r="G86" s="133">
        <v>0</v>
      </c>
      <c r="H86" s="37" t="s">
        <v>81</v>
      </c>
      <c r="I86" s="41">
        <f>I57</f>
        <v>4.0099999999999999E-4</v>
      </c>
      <c r="J86" s="132">
        <f>ROUND(G86*I86,2)</f>
        <v>0</v>
      </c>
      <c r="K86" s="70"/>
      <c r="L86" s="71"/>
      <c r="M86" s="76"/>
      <c r="N86" s="76"/>
      <c r="O86" s="76"/>
      <c r="P86" s="76"/>
      <c r="Q86" s="70"/>
      <c r="R86" s="739" t="s">
        <v>169</v>
      </c>
      <c r="S86" s="739"/>
      <c r="T86" s="739"/>
      <c r="U86" s="163"/>
      <c r="V86" s="197">
        <f>G86</f>
        <v>0</v>
      </c>
      <c r="W86" s="167" t="s">
        <v>81</v>
      </c>
      <c r="X86" s="170">
        <f>X56</f>
        <v>4.1199999999999999E-4</v>
      </c>
      <c r="Y86" s="217">
        <f t="shared" si="12"/>
        <v>0</v>
      </c>
    </row>
    <row r="87" spans="1:26" ht="18" customHeight="1" x14ac:dyDescent="0.25">
      <c r="A87" s="820" t="s">
        <v>105</v>
      </c>
      <c r="B87" s="820"/>
      <c r="C87" s="820"/>
      <c r="D87" s="820"/>
      <c r="E87" s="820"/>
      <c r="F87" s="36" t="s">
        <v>84</v>
      </c>
      <c r="G87" s="133">
        <v>0</v>
      </c>
      <c r="H87" s="37" t="s">
        <v>81</v>
      </c>
      <c r="I87" s="41">
        <f>I54</f>
        <v>4.3899999999999999E-4</v>
      </c>
      <c r="J87" s="62">
        <f>ROUND(G87*I87,2)</f>
        <v>0</v>
      </c>
      <c r="K87" s="77"/>
      <c r="L87" s="70"/>
      <c r="M87" s="71"/>
      <c r="N87" s="70"/>
      <c r="O87" s="70"/>
      <c r="P87" s="70"/>
      <c r="Q87" s="70"/>
      <c r="R87" s="171" t="s">
        <v>170</v>
      </c>
      <c r="S87" s="171"/>
      <c r="T87" s="171"/>
      <c r="U87" s="163"/>
      <c r="V87" s="197">
        <f>G87</f>
        <v>0</v>
      </c>
      <c r="W87" s="167" t="s">
        <v>81</v>
      </c>
      <c r="X87" s="170">
        <f>X53</f>
        <v>4.3899999999999999E-4</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13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2.5</v>
      </c>
      <c r="C91" s="80"/>
      <c r="D91" s="894">
        <f>I6</f>
        <v>1.0355000000000001</v>
      </c>
      <c r="E91" s="894"/>
      <c r="F91" s="894"/>
      <c r="G91" s="117">
        <f>Consolidated!F$119</f>
        <v>915.09</v>
      </c>
      <c r="H91" s="47" t="s">
        <v>68</v>
      </c>
      <c r="I91" s="134">
        <f>ROUND(B91*D91*G91,2)</f>
        <v>2368.94</v>
      </c>
      <c r="K91" s="70"/>
      <c r="L91" s="70"/>
      <c r="M91" s="71"/>
      <c r="N91" s="70"/>
      <c r="O91" s="70"/>
      <c r="P91" s="70"/>
      <c r="Q91" s="70"/>
      <c r="R91" s="200" t="s">
        <v>60</v>
      </c>
      <c r="S91" s="198">
        <f>X14+X15+X19+X22+X25</f>
        <v>2.5</v>
      </c>
      <c r="T91" s="849">
        <f>X6</f>
        <v>1.0355000000000001</v>
      </c>
      <c r="U91" s="849"/>
      <c r="V91" s="117">
        <f>G91</f>
        <v>915.09</v>
      </c>
      <c r="W91" s="176" t="s">
        <v>68</v>
      </c>
      <c r="X91" s="221">
        <f>ROUND(S91*T91*V91,2)</f>
        <v>2368.94</v>
      </c>
      <c r="Y91" s="164"/>
    </row>
    <row r="92" spans="1:26" ht="19.5" customHeight="1" thickBot="1" x14ac:dyDescent="0.3">
      <c r="A92" s="83" t="s">
        <v>61</v>
      </c>
      <c r="B92" s="80">
        <f>I16+I17+I20+I23+I26+I27</f>
        <v>86.197000000000003</v>
      </c>
      <c r="C92" s="80"/>
      <c r="D92" s="894">
        <f>I6</f>
        <v>1.0355000000000001</v>
      </c>
      <c r="E92" s="894"/>
      <c r="F92" s="894"/>
      <c r="G92" s="117">
        <f>Consolidated!F$120</f>
        <v>917.3</v>
      </c>
      <c r="H92" s="47" t="s">
        <v>68</v>
      </c>
      <c r="I92" s="515">
        <f>ROUND(B92*D92*G92,2)</f>
        <v>81875.44</v>
      </c>
      <c r="K92" s="70"/>
      <c r="L92" s="70"/>
      <c r="M92" s="71"/>
      <c r="N92" s="70"/>
      <c r="O92" s="70"/>
      <c r="P92" s="70"/>
      <c r="Q92" s="70"/>
      <c r="R92" s="201" t="s">
        <v>61</v>
      </c>
      <c r="S92" s="202">
        <f>X16+X17+X20+X23+X26+X27</f>
        <v>88.68</v>
      </c>
      <c r="T92" s="849">
        <f>X6</f>
        <v>1.0355000000000001</v>
      </c>
      <c r="U92" s="849"/>
      <c r="V92" s="117">
        <f>G92</f>
        <v>917.3</v>
      </c>
      <c r="W92" s="176" t="s">
        <v>68</v>
      </c>
      <c r="X92" s="221">
        <f>ROUND(S92*T92*V92,2)</f>
        <v>84233.95</v>
      </c>
      <c r="Y92" s="164"/>
    </row>
    <row r="93" spans="1:26" ht="18.75" customHeight="1" thickBot="1" x14ac:dyDescent="0.3">
      <c r="A93" s="84" t="s">
        <v>111</v>
      </c>
      <c r="B93" s="80">
        <f>SUM(B90:B92)</f>
        <v>88.697000000000003</v>
      </c>
      <c r="C93" s="80"/>
      <c r="D93" s="80"/>
      <c r="E93" s="846" t="s">
        <v>112</v>
      </c>
      <c r="F93" s="846"/>
      <c r="G93" s="846"/>
      <c r="H93" s="846"/>
      <c r="I93" s="846"/>
      <c r="J93" s="121">
        <f>IF(A1=75,0,I92+I91+I90)</f>
        <v>84244.38</v>
      </c>
      <c r="K93" s="70"/>
      <c r="L93" s="70"/>
      <c r="M93" s="71"/>
      <c r="N93" s="70"/>
      <c r="O93" s="70"/>
      <c r="P93" s="70"/>
      <c r="Q93" s="70"/>
      <c r="R93" s="203" t="s">
        <v>111</v>
      </c>
      <c r="S93" s="204">
        <f>SUM(S90:S92)</f>
        <v>91.18</v>
      </c>
      <c r="T93" s="853" t="s">
        <v>112</v>
      </c>
      <c r="U93" s="854"/>
      <c r="V93" s="854"/>
      <c r="W93" s="854"/>
      <c r="X93" s="854"/>
      <c r="Y93" s="217">
        <f>IF(R1=75,0,X92+X91+X90)</f>
        <v>86602.89</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46</v>
      </c>
      <c r="U96" s="851"/>
      <c r="V96" s="851"/>
      <c r="W96" s="205" t="s">
        <v>117</v>
      </c>
      <c r="X96" s="206">
        <f>I97</f>
        <v>586</v>
      </c>
      <c r="Y96" s="217">
        <f>ROUND(X96*T96,2)</f>
        <v>26956</v>
      </c>
    </row>
    <row r="97" spans="1:25" ht="17.25" customHeight="1" x14ac:dyDescent="0.25">
      <c r="A97" s="818" t="s">
        <v>116</v>
      </c>
      <c r="B97" s="818"/>
      <c r="C97" s="228">
        <v>46</v>
      </c>
      <c r="D97" s="228">
        <v>0</v>
      </c>
      <c r="E97" s="913">
        <f>(C97+D97)</f>
        <v>46</v>
      </c>
      <c r="F97" s="850"/>
      <c r="G97" s="850"/>
      <c r="H97" s="85" t="s">
        <v>117</v>
      </c>
      <c r="I97" s="124">
        <f>Consolidated!G$127</f>
        <v>586</v>
      </c>
      <c r="J97" s="132">
        <f>ROUND(I97*E97,2)</f>
        <v>26956</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1159635.1000000001</v>
      </c>
      <c r="L107" s="516"/>
      <c r="R107" s="739" t="s">
        <v>125</v>
      </c>
      <c r="S107" s="739"/>
      <c r="T107" s="739"/>
      <c r="U107" s="739"/>
      <c r="V107" s="739"/>
      <c r="W107" s="739"/>
      <c r="X107" s="739"/>
      <c r="Y107" s="213">
        <f>SUM(Y106,Y105,Y97,Y96,Y93,Y86,Y85,Y84,Y70,Y69,Y67,Y33,Y71,Y50,Y87,Y83)</f>
        <v>767026.15</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1122204.6100000001</v>
      </c>
      <c r="R109" s="164" t="s">
        <v>176</v>
      </c>
      <c r="S109" s="164"/>
      <c r="T109" s="164"/>
      <c r="U109" s="164"/>
      <c r="V109" s="164"/>
      <c r="W109" s="164"/>
      <c r="X109" s="164"/>
      <c r="Y109" s="214">
        <f>Y107-Y38</f>
        <v>729595.66</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v>1</v>
      </c>
      <c r="J111" s="131">
        <f>Y109</f>
        <v>729595.66</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237"/>
      <c r="I114" s="238">
        <f>IF(I111=1,J111,J109)</f>
        <v>729595.66</v>
      </c>
      <c r="J114" s="239">
        <f>ROUND(IF(E28=0,0,IF(E28&gt;250,-(((250/E28)*I114)*IF(H114="H",0.02,0.05)),IF(H114="H",-0.02*I114,-0.05*I114))),2)</f>
        <v>-36479.78</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1123155.32</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Payments'!R93</f>
        <v>-950160.89000000013</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172994.42999999993</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86497.22</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ROUND(IF(H114="H",(I114*0.02)+J114,(I114*0.05)+J114),2)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447C1-D3C6-4039-AF75-2A49B7B2C1FB}">
  <dimension ref="A1:Z207"/>
  <sheetViews>
    <sheetView topLeftCell="A107" workbookViewId="0">
      <selection activeCell="A111" sqref="A111:H11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450</v>
      </c>
      <c r="B2" s="101"/>
      <c r="C2" s="101"/>
      <c r="D2" s="101"/>
      <c r="E2" s="6"/>
      <c r="F2" s="6"/>
      <c r="G2" s="6"/>
      <c r="H2" s="6"/>
      <c r="I2" s="686" t="str">
        <f>RIGHT(A2,4)</f>
        <v>3401</v>
      </c>
      <c r="J2" s="6"/>
      <c r="K2" s="6"/>
      <c r="L2" s="6"/>
      <c r="M2" s="6"/>
      <c r="N2" s="6"/>
      <c r="O2" s="6"/>
      <c r="P2" s="6"/>
      <c r="Q2" s="6"/>
      <c r="R2" s="898" t="str">
        <f>Revenue_Estimate_Worksheet_for___________Charter_School</f>
        <v>Revenue Estimate Worksheet: Quantum High School - 3401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3.07</v>
      </c>
      <c r="D14" s="357">
        <f>SUMIFS(CountData!J:J,CountData!H:H,$I$2,CountData!I:I,$O14)</f>
        <v>4.05</v>
      </c>
      <c r="E14" s="812">
        <f t="shared" si="0"/>
        <v>7.1199999999999992</v>
      </c>
      <c r="F14" s="812"/>
      <c r="G14" s="813">
        <f>Consolidated!$F16</f>
        <v>1</v>
      </c>
      <c r="H14" s="813">
        <f>Consolidated!$H$9</f>
        <v>1</v>
      </c>
      <c r="I14" s="517">
        <f t="shared" si="3"/>
        <v>7.12</v>
      </c>
      <c r="J14" s="518">
        <f>ROUND(ROUND(ROUND(I14*$E$6,4)*($I$6),2)*(MAX($I$7,1)),2)</f>
        <v>39610.89</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4</v>
      </c>
      <c r="D15" s="357">
        <f>SUMIFS(CountData!J:J,CountData!H:H,$I$2,CountData!I:I,$O15)</f>
        <v>2.94</v>
      </c>
      <c r="E15" s="812">
        <f t="shared" si="0"/>
        <v>6.9399999999999995</v>
      </c>
      <c r="F15" s="812"/>
      <c r="G15" s="813">
        <f>Consolidated!$F17</f>
        <v>1</v>
      </c>
      <c r="H15" s="813">
        <f>Consolidated!$H$9</f>
        <v>1</v>
      </c>
      <c r="I15" s="517">
        <f t="shared" si="3"/>
        <v>6.94</v>
      </c>
      <c r="J15" s="518">
        <f t="shared" si="1"/>
        <v>38609.49</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136.46</v>
      </c>
      <c r="D16" s="357">
        <f>SUMIFS(CountData!J:J,CountData!H:H,$I$2,CountData!I:I,$O16)</f>
        <v>142.19</v>
      </c>
      <c r="E16" s="812">
        <f t="shared" si="0"/>
        <v>278.64999999999998</v>
      </c>
      <c r="F16" s="812"/>
      <c r="G16" s="813">
        <f>Consolidated!$F18</f>
        <v>0.97199999999999998</v>
      </c>
      <c r="H16" s="813">
        <f>Consolidated!$H$9</f>
        <v>1</v>
      </c>
      <c r="I16" s="517">
        <f t="shared" si="3"/>
        <v>270.84780000000001</v>
      </c>
      <c r="J16" s="518">
        <f t="shared" si="1"/>
        <v>1506814.96</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36.18</v>
      </c>
      <c r="D17" s="357">
        <f>SUMIFS(CountData!J:J,CountData!H:H,$I$2,CountData!I:I,$O17)</f>
        <v>37.35</v>
      </c>
      <c r="E17" s="812">
        <f t="shared" si="0"/>
        <v>73.53</v>
      </c>
      <c r="F17" s="812"/>
      <c r="G17" s="813">
        <f>Consolidated!$F19</f>
        <v>0.97199999999999998</v>
      </c>
      <c r="H17" s="813">
        <f>Consolidated!$H$9</f>
        <v>1</v>
      </c>
      <c r="I17" s="517">
        <f t="shared" si="3"/>
        <v>71.471199999999996</v>
      </c>
      <c r="J17" s="518">
        <f t="shared" si="1"/>
        <v>397617.68</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254</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255</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12.2</v>
      </c>
      <c r="D26" s="357">
        <f>SUMIFS(CountData!J:J,CountData!H:H,$I$2,CountData!I:I,$O26)</f>
        <v>12.3</v>
      </c>
      <c r="E26" s="812">
        <f t="shared" ref="E26" si="8">IF($D$28=0,C26*2,C26+D26)</f>
        <v>24.5</v>
      </c>
      <c r="F26" s="812"/>
      <c r="G26" s="813">
        <f>Consolidated!$F28</f>
        <v>1.165</v>
      </c>
      <c r="H26" s="813">
        <f>Consolidated!$H$9</f>
        <v>1</v>
      </c>
      <c r="I26" s="517">
        <f t="shared" si="3"/>
        <v>28.5425</v>
      </c>
      <c r="J26" s="518">
        <f t="shared" si="1"/>
        <v>158791.26999999999</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1.99</v>
      </c>
      <c r="D27" s="358">
        <f>SUMIFS(CountData!J:J,CountData!H:H,$I$2,CountData!I:I,$O27)</f>
        <v>2.68</v>
      </c>
      <c r="E27" s="814">
        <f t="shared" si="0"/>
        <v>4.67</v>
      </c>
      <c r="F27" s="814"/>
      <c r="G27" s="815">
        <f>Consolidated!$F29</f>
        <v>1.081</v>
      </c>
      <c r="H27" s="815">
        <f>Consolidated!$H$9</f>
        <v>1</v>
      </c>
      <c r="I27" s="22">
        <f t="shared" si="3"/>
        <v>5.0483000000000002</v>
      </c>
      <c r="J27" s="121">
        <f t="shared" si="1"/>
        <v>28085.35</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193.9</v>
      </c>
      <c r="D28" s="720">
        <f>SUM(D12:D27)</f>
        <v>201.51000000000002</v>
      </c>
      <c r="E28" s="817">
        <f>SUM(E12:E27)</f>
        <v>395.41</v>
      </c>
      <c r="F28" s="817"/>
      <c r="G28" s="812"/>
      <c r="H28" s="812"/>
      <c r="I28" s="23">
        <f>SUM(I12:I27)</f>
        <v>389.96980000000002</v>
      </c>
      <c r="J28" s="121">
        <f>SUM(J12:J27)</f>
        <v>2169529.6399999997</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389.96980000000002</v>
      </c>
      <c r="H33" s="812" t="s">
        <v>45</v>
      </c>
      <c r="I33" s="812"/>
      <c r="J33" s="32">
        <f>SUM(J32,J28)</f>
        <v>2169529.6399999997</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2328441.0699999998</v>
      </c>
      <c r="H36" s="37" t="s">
        <v>49</v>
      </c>
      <c r="I36" s="38">
        <v>6.6699999999999995E-2</v>
      </c>
      <c r="J36" s="125">
        <f>ROUND(G36*I36,2)</f>
        <v>155307.01999999999</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2328441.0699999998</v>
      </c>
      <c r="H37" s="37" t="s">
        <v>49</v>
      </c>
      <c r="I37" s="38">
        <v>5.4000000000000003E-3</v>
      </c>
      <c r="J37" s="125">
        <f>ROUND(G37*I37,2)</f>
        <v>12573.58</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167880.59999999998</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9">IF($D$50=0,C41*2,C41+D41)</f>
        <v>0</v>
      </c>
      <c r="F41" s="826"/>
      <c r="G41" s="37" t="s">
        <v>59</v>
      </c>
      <c r="H41" s="37">
        <v>251</v>
      </c>
      <c r="I41" s="130">
        <f>Consolidated!$H59</f>
        <v>1047</v>
      </c>
      <c r="J41" s="515">
        <f t="shared" ref="J41:J49" si="10">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9"/>
        <v>0</v>
      </c>
      <c r="F42" s="826"/>
      <c r="G42" s="37" t="s">
        <v>59</v>
      </c>
      <c r="H42" s="37">
        <v>252</v>
      </c>
      <c r="I42" s="130">
        <f>Consolidated!$H60</f>
        <v>3380</v>
      </c>
      <c r="J42" s="515">
        <f t="shared" si="10"/>
        <v>0</v>
      </c>
      <c r="M42" s="2"/>
      <c r="R42" s="885"/>
      <c r="S42" s="885"/>
      <c r="T42" s="886"/>
      <c r="U42" s="886"/>
      <c r="V42" s="167" t="s">
        <v>59</v>
      </c>
      <c r="W42" s="167">
        <v>252</v>
      </c>
      <c r="X42" s="128">
        <f>Consolidated!$H60</f>
        <v>3380</v>
      </c>
      <c r="Y42" s="218">
        <f t="shared" ref="Y42:Y49" si="11">ROUND(T42*X42,2)</f>
        <v>0</v>
      </c>
    </row>
    <row r="43" spans="1:25" x14ac:dyDescent="0.25">
      <c r="A43" s="825"/>
      <c r="B43" s="825"/>
      <c r="C43" s="357">
        <v>0</v>
      </c>
      <c r="D43" s="357">
        <v>0</v>
      </c>
      <c r="E43" s="826">
        <f t="shared" si="9"/>
        <v>0</v>
      </c>
      <c r="F43" s="826"/>
      <c r="G43" s="37" t="s">
        <v>59</v>
      </c>
      <c r="H43" s="37">
        <v>253</v>
      </c>
      <c r="I43" s="130">
        <f>Consolidated!$H61</f>
        <v>6896</v>
      </c>
      <c r="J43" s="515">
        <f t="shared" si="10"/>
        <v>0</v>
      </c>
      <c r="M43" s="2"/>
      <c r="R43" s="885"/>
      <c r="S43" s="885"/>
      <c r="T43" s="867"/>
      <c r="U43" s="867"/>
      <c r="V43" s="167" t="s">
        <v>59</v>
      </c>
      <c r="W43" s="167">
        <v>253</v>
      </c>
      <c r="X43" s="128">
        <f>Consolidated!$H61</f>
        <v>6896</v>
      </c>
      <c r="Y43" s="218">
        <f t="shared" si="11"/>
        <v>0</v>
      </c>
    </row>
    <row r="44" spans="1:25" x14ac:dyDescent="0.25">
      <c r="A44" s="825"/>
      <c r="B44" s="825"/>
      <c r="C44" s="357">
        <v>3.5</v>
      </c>
      <c r="D44" s="357">
        <v>0</v>
      </c>
      <c r="E44" s="826">
        <f t="shared" si="9"/>
        <v>7</v>
      </c>
      <c r="F44" s="826"/>
      <c r="G44" s="47" t="s">
        <v>60</v>
      </c>
      <c r="H44" s="37">
        <v>251</v>
      </c>
      <c r="I44" s="130">
        <f>Consolidated!$H62</f>
        <v>1173</v>
      </c>
      <c r="J44" s="515">
        <f t="shared" si="10"/>
        <v>8211</v>
      </c>
      <c r="L44" s="3"/>
      <c r="M44" s="2"/>
      <c r="Q44" s="4"/>
      <c r="R44" s="885"/>
      <c r="S44" s="885"/>
      <c r="T44" s="867"/>
      <c r="U44" s="867"/>
      <c r="V44" s="176" t="s">
        <v>60</v>
      </c>
      <c r="W44" s="167">
        <v>251</v>
      </c>
      <c r="X44" s="128">
        <f>Consolidated!$H62</f>
        <v>1173</v>
      </c>
      <c r="Y44" s="218">
        <f t="shared" si="11"/>
        <v>0</v>
      </c>
    </row>
    <row r="45" spans="1:25" x14ac:dyDescent="0.25">
      <c r="A45" s="825"/>
      <c r="B45" s="825"/>
      <c r="C45" s="357">
        <v>0.5</v>
      </c>
      <c r="D45" s="357">
        <v>0</v>
      </c>
      <c r="E45" s="826">
        <f t="shared" si="9"/>
        <v>1</v>
      </c>
      <c r="F45" s="826"/>
      <c r="G45" s="47" t="s">
        <v>60</v>
      </c>
      <c r="H45" s="37">
        <v>252</v>
      </c>
      <c r="I45" s="130">
        <f>Consolidated!$H63</f>
        <v>3506</v>
      </c>
      <c r="J45" s="515">
        <f t="shared" si="10"/>
        <v>3506</v>
      </c>
      <c r="M45" s="2"/>
      <c r="R45" s="885"/>
      <c r="S45" s="885"/>
      <c r="T45" s="867"/>
      <c r="U45" s="867"/>
      <c r="V45" s="176" t="s">
        <v>60</v>
      </c>
      <c r="W45" s="167">
        <v>252</v>
      </c>
      <c r="X45" s="128">
        <f>Consolidated!$H63</f>
        <v>3506</v>
      </c>
      <c r="Y45" s="218">
        <f t="shared" si="11"/>
        <v>0</v>
      </c>
    </row>
    <row r="46" spans="1:25" x14ac:dyDescent="0.25">
      <c r="A46" s="825"/>
      <c r="B46" s="825"/>
      <c r="C46" s="357">
        <v>0</v>
      </c>
      <c r="D46" s="357">
        <v>0</v>
      </c>
      <c r="E46" s="826">
        <f t="shared" si="9"/>
        <v>0</v>
      </c>
      <c r="F46" s="826"/>
      <c r="G46" s="47" t="s">
        <v>60</v>
      </c>
      <c r="H46" s="37">
        <v>253</v>
      </c>
      <c r="I46" s="130">
        <f>Consolidated!$H64</f>
        <v>7023</v>
      </c>
      <c r="J46" s="515">
        <f t="shared" si="10"/>
        <v>0</v>
      </c>
      <c r="M46" s="2"/>
      <c r="R46" s="885"/>
      <c r="S46" s="885"/>
      <c r="T46" s="867"/>
      <c r="U46" s="867"/>
      <c r="V46" s="176" t="s">
        <v>60</v>
      </c>
      <c r="W46" s="167">
        <v>253</v>
      </c>
      <c r="X46" s="128">
        <f>Consolidated!$H64</f>
        <v>7023</v>
      </c>
      <c r="Y46" s="218">
        <f t="shared" si="11"/>
        <v>0</v>
      </c>
    </row>
    <row r="47" spans="1:25" ht="16.5" customHeight="1" x14ac:dyDescent="0.25">
      <c r="A47" s="825"/>
      <c r="B47" s="825"/>
      <c r="C47" s="357">
        <v>33.130000000000003</v>
      </c>
      <c r="D47" s="357">
        <v>0</v>
      </c>
      <c r="E47" s="826">
        <f t="shared" si="9"/>
        <v>66.260000000000005</v>
      </c>
      <c r="F47" s="826"/>
      <c r="G47" s="47" t="s">
        <v>61</v>
      </c>
      <c r="H47" s="37">
        <v>251</v>
      </c>
      <c r="I47" s="130">
        <f>Consolidated!$H65</f>
        <v>835</v>
      </c>
      <c r="J47" s="515">
        <f t="shared" si="10"/>
        <v>55327.1</v>
      </c>
      <c r="M47" s="2"/>
      <c r="R47" s="885"/>
      <c r="S47" s="885"/>
      <c r="T47" s="867"/>
      <c r="U47" s="867"/>
      <c r="V47" s="176" t="s">
        <v>61</v>
      </c>
      <c r="W47" s="167">
        <v>251</v>
      </c>
      <c r="X47" s="128">
        <f>Consolidated!$H65</f>
        <v>835</v>
      </c>
      <c r="Y47" s="218">
        <f t="shared" si="11"/>
        <v>0</v>
      </c>
    </row>
    <row r="48" spans="1:25" ht="15.75" customHeight="1" x14ac:dyDescent="0.25">
      <c r="A48" s="825"/>
      <c r="B48" s="825"/>
      <c r="C48" s="357">
        <v>3</v>
      </c>
      <c r="D48" s="357">
        <v>0</v>
      </c>
      <c r="E48" s="826">
        <f t="shared" si="9"/>
        <v>6</v>
      </c>
      <c r="F48" s="826"/>
      <c r="G48" s="47" t="s">
        <v>61</v>
      </c>
      <c r="H48" s="37">
        <v>252</v>
      </c>
      <c r="I48" s="130">
        <f>Consolidated!$H66</f>
        <v>3168</v>
      </c>
      <c r="J48" s="515">
        <f t="shared" si="10"/>
        <v>19008</v>
      </c>
      <c r="M48" s="2"/>
      <c r="R48" s="885"/>
      <c r="S48" s="885"/>
      <c r="T48" s="867"/>
      <c r="U48" s="867"/>
      <c r="V48" s="176" t="s">
        <v>61</v>
      </c>
      <c r="W48" s="167">
        <v>252</v>
      </c>
      <c r="X48" s="128">
        <f>Consolidated!$H66</f>
        <v>3168</v>
      </c>
      <c r="Y48" s="218">
        <f t="shared" si="11"/>
        <v>0</v>
      </c>
    </row>
    <row r="49" spans="1:25" ht="15.75" customHeight="1" thickBot="1" x14ac:dyDescent="0.3">
      <c r="A49" s="825"/>
      <c r="B49" s="825"/>
      <c r="C49" s="357">
        <v>0</v>
      </c>
      <c r="D49" s="357">
        <v>0</v>
      </c>
      <c r="E49" s="831">
        <f t="shared" si="9"/>
        <v>0</v>
      </c>
      <c r="F49" s="831"/>
      <c r="G49" s="47" t="s">
        <v>61</v>
      </c>
      <c r="H49" s="37">
        <v>253</v>
      </c>
      <c r="I49" s="130">
        <f>Consolidated!$H67</f>
        <v>6685</v>
      </c>
      <c r="J49" s="515">
        <f t="shared" si="10"/>
        <v>0</v>
      </c>
      <c r="M49" s="2"/>
      <c r="R49" s="885"/>
      <c r="S49" s="885"/>
      <c r="T49" s="868"/>
      <c r="U49" s="868"/>
      <c r="V49" s="176" t="s">
        <v>61</v>
      </c>
      <c r="W49" s="167">
        <v>253</v>
      </c>
      <c r="X49" s="128">
        <f>Consolidated!$H67</f>
        <v>6685</v>
      </c>
      <c r="Y49" s="218">
        <f t="shared" si="11"/>
        <v>0</v>
      </c>
    </row>
    <row r="50" spans="1:25" ht="15.75" customHeight="1" thickBot="1" x14ac:dyDescent="0.3">
      <c r="A50" s="818" t="s">
        <v>62</v>
      </c>
      <c r="B50" s="818"/>
      <c r="C50" s="524">
        <f>SUM(C41:C49)</f>
        <v>40.130000000000003</v>
      </c>
      <c r="D50" s="524">
        <f>SUM(D41:D49)</f>
        <v>0</v>
      </c>
      <c r="E50" s="832">
        <f>SUM(E41:E49)</f>
        <v>80.260000000000005</v>
      </c>
      <c r="F50" s="832"/>
      <c r="G50" s="818" t="s">
        <v>63</v>
      </c>
      <c r="H50" s="818"/>
      <c r="I50" s="818"/>
      <c r="J50" s="225">
        <f>SUM(J41:J49)</f>
        <v>86052.1</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395.41</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1.903E-3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389.96980000000002</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1.763E-3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395.41</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2.2100000000000002E-3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395.41</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1.9059999999999999E-3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395.41</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2.2139999999999998E-3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1.9059999999999999E-3</v>
      </c>
      <c r="J68" s="132">
        <f>ROUND(G68*I68,2)</f>
        <v>86970</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2">ROUND(V69*X69,2)</f>
        <v>0</v>
      </c>
    </row>
    <row r="70" spans="1:26" ht="17.25" customHeight="1" x14ac:dyDescent="0.25">
      <c r="A70" s="839" t="s">
        <v>83</v>
      </c>
      <c r="B70" s="839"/>
      <c r="C70" s="839"/>
      <c r="D70" s="839"/>
      <c r="E70" s="839"/>
      <c r="F70" s="36" t="s">
        <v>84</v>
      </c>
      <c r="G70" s="226">
        <f>Consolidated!F$89</f>
        <v>0</v>
      </c>
      <c r="H70" s="37" t="s">
        <v>81</v>
      </c>
      <c r="I70" s="41">
        <f>I54</f>
        <v>1.903E-3</v>
      </c>
      <c r="J70" s="132">
        <f>ROUND(G70*I70,2)</f>
        <v>0</v>
      </c>
      <c r="M70" s="2"/>
      <c r="R70" s="739" t="s">
        <v>163</v>
      </c>
      <c r="S70" s="739"/>
      <c r="T70" s="739"/>
      <c r="U70" s="163"/>
      <c r="V70" s="187">
        <f>G71</f>
        <v>18934058</v>
      </c>
      <c r="W70" s="167" t="s">
        <v>81</v>
      </c>
      <c r="X70" s="170">
        <f>X65</f>
        <v>0</v>
      </c>
      <c r="Y70" s="217">
        <f t="shared" si="12"/>
        <v>0</v>
      </c>
    </row>
    <row r="71" spans="1:26" ht="19.5" customHeight="1" x14ac:dyDescent="0.25">
      <c r="A71" s="820" t="s">
        <v>85</v>
      </c>
      <c r="B71" s="820"/>
      <c r="C71" s="820"/>
      <c r="D71" s="820"/>
      <c r="E71" s="820"/>
      <c r="F71" s="36" t="s">
        <v>86</v>
      </c>
      <c r="G71" s="226">
        <f>Consolidated!F$91</f>
        <v>18934058</v>
      </c>
      <c r="H71" s="37" t="s">
        <v>81</v>
      </c>
      <c r="I71" s="41">
        <f>I66</f>
        <v>2.2139999999999998E-3</v>
      </c>
      <c r="J71" s="132">
        <f>ROUND(G71*I71,2)</f>
        <v>41920</v>
      </c>
      <c r="M71" s="2"/>
      <c r="R71" s="171" t="s">
        <v>164</v>
      </c>
      <c r="S71" s="171"/>
      <c r="T71" s="171"/>
      <c r="U71" s="163"/>
      <c r="V71" s="165">
        <f>G72</f>
        <v>11300012</v>
      </c>
      <c r="W71" s="167" t="s">
        <v>81</v>
      </c>
      <c r="X71" s="170">
        <f>X59</f>
        <v>0</v>
      </c>
      <c r="Y71" s="217">
        <f t="shared" si="12"/>
        <v>0</v>
      </c>
    </row>
    <row r="72" spans="1:26" ht="19.5" customHeight="1" x14ac:dyDescent="0.25">
      <c r="A72" s="42" t="s">
        <v>87</v>
      </c>
      <c r="B72" s="42"/>
      <c r="C72" s="42"/>
      <c r="D72" s="42"/>
      <c r="E72" s="42"/>
      <c r="F72" s="36" t="s">
        <v>88</v>
      </c>
      <c r="G72" s="226">
        <f>Consolidated!F$93</f>
        <v>11300012</v>
      </c>
      <c r="H72" s="37" t="s">
        <v>81</v>
      </c>
      <c r="I72" s="41">
        <f>I60</f>
        <v>2.2100000000000002E-3</v>
      </c>
      <c r="J72" s="132">
        <f>ROUND(G72*I72,2)</f>
        <v>24973.03</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v>4.25</v>
      </c>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4.25</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821" t="s">
        <v>101</v>
      </c>
      <c r="B84" s="821"/>
      <c r="C84" s="821"/>
      <c r="D84" s="52"/>
      <c r="G84" s="116">
        <f>Consolidated!F$106</f>
        <v>58502790</v>
      </c>
      <c r="H84" s="37" t="s">
        <v>81</v>
      </c>
      <c r="I84" s="41">
        <f>IFERROR(ROUND(J81/J82,6),0)</f>
        <v>3.2899999999999997E-4</v>
      </c>
      <c r="J84" s="656">
        <f>ROUND(G84*I84,2)</f>
        <v>19247.419999999998</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1.763E-3</v>
      </c>
      <c r="J85" s="656">
        <f>ROUND(G85*I85,2)</f>
        <v>473923.1</v>
      </c>
      <c r="K85" s="70"/>
      <c r="L85" s="70"/>
      <c r="M85" s="71"/>
      <c r="N85" s="70"/>
      <c r="O85" s="70"/>
      <c r="P85" s="70"/>
      <c r="Q85" s="70"/>
      <c r="R85" s="739" t="s">
        <v>168</v>
      </c>
      <c r="S85" s="739"/>
      <c r="T85" s="739"/>
      <c r="U85" s="163"/>
      <c r="V85" s="165">
        <f>G85</f>
        <v>268816278</v>
      </c>
      <c r="W85" s="167" t="s">
        <v>81</v>
      </c>
      <c r="X85" s="170">
        <f>X56</f>
        <v>0</v>
      </c>
      <c r="Y85" s="217">
        <f t="shared" ref="Y85:Y87" si="13">ROUND(V85*X85,2)</f>
        <v>0</v>
      </c>
    </row>
    <row r="86" spans="1:26" ht="14.25" customHeight="1" x14ac:dyDescent="0.25">
      <c r="A86" s="820" t="s">
        <v>104</v>
      </c>
      <c r="B86" s="820"/>
      <c r="C86" s="820"/>
      <c r="D86" s="820"/>
      <c r="E86" s="820"/>
      <c r="F86" s="36" t="s">
        <v>103</v>
      </c>
      <c r="G86" s="133">
        <v>0</v>
      </c>
      <c r="H86" s="37" t="s">
        <v>81</v>
      </c>
      <c r="I86" s="41">
        <f>I57</f>
        <v>1.763E-3</v>
      </c>
      <c r="J86" s="656">
        <f>ROUND(G86*I86,2)</f>
        <v>0</v>
      </c>
      <c r="K86" s="70"/>
      <c r="L86" s="71"/>
      <c r="M86" s="76"/>
      <c r="N86" s="76"/>
      <c r="O86" s="76"/>
      <c r="P86" s="76"/>
      <c r="Q86" s="70"/>
      <c r="R86" s="739" t="s">
        <v>169</v>
      </c>
      <c r="S86" s="739"/>
      <c r="T86" s="739"/>
      <c r="U86" s="163"/>
      <c r="V86" s="197">
        <f>G86</f>
        <v>0</v>
      </c>
      <c r="W86" s="167" t="s">
        <v>81</v>
      </c>
      <c r="X86" s="170">
        <f>X56</f>
        <v>0</v>
      </c>
      <c r="Y86" s="217">
        <f t="shared" si="13"/>
        <v>0</v>
      </c>
    </row>
    <row r="87" spans="1:26" ht="18" customHeight="1" x14ac:dyDescent="0.25">
      <c r="A87" s="820" t="s">
        <v>105</v>
      </c>
      <c r="B87" s="820"/>
      <c r="C87" s="820"/>
      <c r="D87" s="820"/>
      <c r="E87" s="820"/>
      <c r="F87" s="36" t="s">
        <v>84</v>
      </c>
      <c r="G87" s="133">
        <v>0</v>
      </c>
      <c r="H87" s="37" t="s">
        <v>81</v>
      </c>
      <c r="I87" s="41">
        <f>I54</f>
        <v>1.903E-3</v>
      </c>
      <c r="J87" s="656">
        <f>ROUND(G87*I87,2)</f>
        <v>0</v>
      </c>
      <c r="K87" s="77"/>
      <c r="L87" s="70"/>
      <c r="M87" s="71"/>
      <c r="N87" s="70"/>
      <c r="O87" s="70"/>
      <c r="P87" s="70"/>
      <c r="Q87" s="70"/>
      <c r="R87" s="171" t="s">
        <v>170</v>
      </c>
      <c r="S87" s="171"/>
      <c r="T87" s="171"/>
      <c r="U87" s="163"/>
      <c r="V87" s="197">
        <f>G87</f>
        <v>0</v>
      </c>
      <c r="W87" s="167" t="s">
        <v>81</v>
      </c>
      <c r="X87" s="170">
        <f>X53</f>
        <v>0</v>
      </c>
      <c r="Y87" s="217">
        <f t="shared" si="13"/>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51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14.06</v>
      </c>
      <c r="C91" s="80"/>
      <c r="D91" s="894">
        <f>I6</f>
        <v>1.0355000000000001</v>
      </c>
      <c r="E91" s="894"/>
      <c r="F91" s="894"/>
      <c r="G91" s="117">
        <f>Consolidated!F$119</f>
        <v>915.09</v>
      </c>
      <c r="H91" s="47" t="s">
        <v>68</v>
      </c>
      <c r="I91" s="515">
        <f>ROUND(B91*D91*G91,2)</f>
        <v>13322.91</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375.90980000000002</v>
      </c>
      <c r="C92" s="80"/>
      <c r="D92" s="894">
        <f>I6</f>
        <v>1.0355000000000001</v>
      </c>
      <c r="E92" s="894"/>
      <c r="F92" s="894"/>
      <c r="G92" s="117">
        <f>Consolidated!F$120</f>
        <v>917.3</v>
      </c>
      <c r="H92" s="47" t="s">
        <v>68</v>
      </c>
      <c r="I92" s="515">
        <f>ROUND(B92*D92*G92,2)</f>
        <v>357063.24</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389.96980000000002</v>
      </c>
      <c r="C93" s="80"/>
      <c r="D93" s="80"/>
      <c r="E93" s="846" t="s">
        <v>112</v>
      </c>
      <c r="F93" s="846"/>
      <c r="G93" s="846"/>
      <c r="H93" s="846"/>
      <c r="I93" s="846"/>
      <c r="J93" s="121">
        <f>IF(A1=75,0,I92+I91+I90)</f>
        <v>370386.14999999997</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240</v>
      </c>
      <c r="D97" s="228">
        <v>0</v>
      </c>
      <c r="E97" s="913">
        <f>(C97+D97)</f>
        <v>240</v>
      </c>
      <c r="F97" s="850"/>
      <c r="G97" s="850"/>
      <c r="H97" s="85" t="s">
        <v>117</v>
      </c>
      <c r="I97" s="124">
        <f>Consolidated!G$127</f>
        <v>586</v>
      </c>
      <c r="J97" s="132">
        <f>ROUND(I97*E97,2)</f>
        <v>140640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3413641.4399999995</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3245760.8399999994</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237"/>
      <c r="I114" s="238">
        <f>IF(I111=1,J111,J109)</f>
        <v>3245760.8399999994</v>
      </c>
      <c r="J114" s="239">
        <f>ROUND(IF(E28=0,0,IF(E28&gt;250,-(((250/E28)*I114)*IF(H114="H",0.02,0.05)),IF(H114="H",-0.02*I114,-0.05*I114))),2)</f>
        <v>-102607.45</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3311033.9899999993</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Payments'!R94</f>
        <v>-2792159.41</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518874.57999999914</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259437.29</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ROUND(IF(H114="H",(I114*0.02)+J114,(I114*0.05)+J114),2)</f>
        <v>59680.59</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C8BF-EA8A-4C5D-89D0-AC1F2BF608C9}">
  <dimension ref="A1:Z207"/>
  <sheetViews>
    <sheetView topLeftCell="A107" workbookViewId="0">
      <selection activeCell="A111" sqref="A111:H11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451</v>
      </c>
      <c r="B2" s="101"/>
      <c r="C2" s="101"/>
      <c r="D2" s="101"/>
      <c r="E2" s="6"/>
      <c r="F2" s="6"/>
      <c r="G2" s="6"/>
      <c r="H2" s="6"/>
      <c r="I2" s="686" t="str">
        <f>RIGHT(A2,4)</f>
        <v>3413</v>
      </c>
      <c r="J2" s="6"/>
      <c r="K2" s="6"/>
      <c r="L2" s="6"/>
      <c r="M2" s="6"/>
      <c r="N2" s="6"/>
      <c r="O2" s="6"/>
      <c r="P2" s="6"/>
      <c r="Q2" s="6"/>
      <c r="R2" s="898" t="str">
        <f>Revenue_Estimate_Worksheet_for___________Charter_School</f>
        <v>Revenue Estimate Worksheet: Somerset Academy Boca East - 3413</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96.41</v>
      </c>
      <c r="D12" s="719">
        <f>SUMIFS(CountData!J:J,CountData!H:H,$I$2,CountData!I:I,$O12)</f>
        <v>91.51</v>
      </c>
      <c r="E12" s="804">
        <f t="shared" ref="E12:E27" si="0">IF($D$28=0,C12*2,C12+D12)</f>
        <v>187.92000000000002</v>
      </c>
      <c r="F12" s="804"/>
      <c r="G12" s="805">
        <f>Consolidated!$F14</f>
        <v>1.1080000000000001</v>
      </c>
      <c r="H12" s="805">
        <f>Consolidated!$H$9</f>
        <v>1</v>
      </c>
      <c r="I12" s="517">
        <f>ROUND(E12*G12,4)</f>
        <v>208.21539999999999</v>
      </c>
      <c r="J12" s="518">
        <f t="shared" ref="J12:J27" si="1">ROUND(ROUND(ROUND(I12*$E$6,4)*($I$6),2)*(MAX($I$7,1)),2)</f>
        <v>1158370.42</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22.5</v>
      </c>
      <c r="D13" s="357">
        <f>SUMIFS(CountData!J:J,CountData!H:H,$I$2,CountData!I:I,$O13)</f>
        <v>27</v>
      </c>
      <c r="E13" s="812">
        <f t="shared" si="0"/>
        <v>49.5</v>
      </c>
      <c r="F13" s="812"/>
      <c r="G13" s="813">
        <f>Consolidated!$F15</f>
        <v>1.1080000000000001</v>
      </c>
      <c r="H13" s="813">
        <f>Consolidated!$H$9</f>
        <v>1</v>
      </c>
      <c r="I13" s="517">
        <f t="shared" ref="I13:I27" si="3">ROUND(E13*G13,4)</f>
        <v>54.845999999999997</v>
      </c>
      <c r="J13" s="518">
        <f t="shared" si="1"/>
        <v>305126.25</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44.8</v>
      </c>
      <c r="D14" s="357">
        <f>SUMIFS(CountData!J:J,CountData!H:H,$I$2,CountData!I:I,$O14)</f>
        <v>44.97</v>
      </c>
      <c r="E14" s="812">
        <f t="shared" si="0"/>
        <v>89.77</v>
      </c>
      <c r="F14" s="812"/>
      <c r="G14" s="813">
        <f>Consolidated!$F16</f>
        <v>1</v>
      </c>
      <c r="H14" s="813">
        <f>Consolidated!$H$9</f>
        <v>1</v>
      </c>
      <c r="I14" s="517">
        <f t="shared" si="3"/>
        <v>89.77</v>
      </c>
      <c r="J14" s="518">
        <f>ROUND(ROUND(ROUND(I14*$E$6,4)*($I$6),2)*(MAX($I$7,1)),2)</f>
        <v>499419.89</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18</v>
      </c>
      <c r="D15" s="357">
        <f>SUMIFS(CountData!J:J,CountData!H:H,$I$2,CountData!I:I,$O15)</f>
        <v>18</v>
      </c>
      <c r="E15" s="812">
        <f t="shared" si="0"/>
        <v>36</v>
      </c>
      <c r="F15" s="812"/>
      <c r="G15" s="813">
        <f>Consolidated!$F17</f>
        <v>1</v>
      </c>
      <c r="H15" s="813">
        <f>Consolidated!$H$9</f>
        <v>1</v>
      </c>
      <c r="I15" s="517">
        <f t="shared" si="3"/>
        <v>36</v>
      </c>
      <c r="J15" s="518">
        <f t="shared" si="1"/>
        <v>200279.78</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254</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255</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14.11</v>
      </c>
      <c r="D24" s="357">
        <f>SUMIFS(CountData!J:J,CountData!H:H,$I$2,CountData!I:I,$O24)</f>
        <v>14.52</v>
      </c>
      <c r="E24" s="812">
        <f t="shared" si="0"/>
        <v>28.63</v>
      </c>
      <c r="F24" s="812"/>
      <c r="G24" s="813">
        <f>Consolidated!$F26</f>
        <v>1.165</v>
      </c>
      <c r="H24" s="813">
        <f>Consolidated!$H$9</f>
        <v>1</v>
      </c>
      <c r="I24" s="517">
        <f t="shared" si="3"/>
        <v>33.353999999999999</v>
      </c>
      <c r="J24" s="518">
        <f t="shared" si="1"/>
        <v>185559.22</v>
      </c>
      <c r="M24" s="2"/>
      <c r="O24" s="2" t="str">
        <f>IF(O$7="E",LEFT(R$24,3),"")</f>
        <v>130</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195.82</v>
      </c>
      <c r="D28" s="720">
        <f>SUM(D12:D27)</f>
        <v>196.00000000000003</v>
      </c>
      <c r="E28" s="817">
        <f>SUM(E12:E27)</f>
        <v>391.82</v>
      </c>
      <c r="F28" s="817"/>
      <c r="G28" s="812"/>
      <c r="H28" s="812"/>
      <c r="I28" s="23">
        <f>SUM(I12:I27)</f>
        <v>422.18539999999996</v>
      </c>
      <c r="J28" s="121">
        <f>SUM(J12:J27)</f>
        <v>2348755.56</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422.18539999999996</v>
      </c>
      <c r="H33" s="812" t="s">
        <v>45</v>
      </c>
      <c r="I33" s="812"/>
      <c r="J33" s="32">
        <f>SUM(J32,J28)</f>
        <v>2348755.56</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2338036.14</v>
      </c>
      <c r="H36" s="37" t="s">
        <v>49</v>
      </c>
      <c r="I36" s="38">
        <v>6.6699999999999995E-2</v>
      </c>
      <c r="J36" s="125">
        <f>ROUND(G36*I36,2)</f>
        <v>155947.01</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2338036.14</v>
      </c>
      <c r="H37" s="37" t="s">
        <v>49</v>
      </c>
      <c r="I37" s="38">
        <v>5.4000000000000003E-3</v>
      </c>
      <c r="J37" s="125">
        <f>ROUND(G37*I37,2)</f>
        <v>12625.4</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168572.41</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21.5</v>
      </c>
      <c r="D41" s="357">
        <v>0</v>
      </c>
      <c r="E41" s="826">
        <f t="shared" ref="E41:E49" si="8">IF($D$50=0,C41*2,C41+D41)</f>
        <v>43</v>
      </c>
      <c r="F41" s="826"/>
      <c r="G41" s="37" t="s">
        <v>59</v>
      </c>
      <c r="H41" s="37">
        <v>251</v>
      </c>
      <c r="I41" s="130">
        <f>Consolidated!$H59</f>
        <v>1047</v>
      </c>
      <c r="J41" s="515">
        <f t="shared" ref="J41:J49" si="9">ROUND(E41*I41,2)</f>
        <v>45021</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1</v>
      </c>
      <c r="D42" s="357">
        <v>0</v>
      </c>
      <c r="E42" s="826">
        <f t="shared" si="8"/>
        <v>2</v>
      </c>
      <c r="F42" s="826"/>
      <c r="G42" s="37" t="s">
        <v>59</v>
      </c>
      <c r="H42" s="37">
        <v>252</v>
      </c>
      <c r="I42" s="130">
        <f>Consolidated!$H60</f>
        <v>3380</v>
      </c>
      <c r="J42" s="515">
        <f t="shared" si="9"/>
        <v>6760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515">
        <f t="shared" si="9"/>
        <v>0</v>
      </c>
      <c r="M43" s="2"/>
      <c r="R43" s="885"/>
      <c r="S43" s="885"/>
      <c r="T43" s="867"/>
      <c r="U43" s="867"/>
      <c r="V43" s="167" t="s">
        <v>59</v>
      </c>
      <c r="W43" s="167">
        <v>253</v>
      </c>
      <c r="X43" s="128">
        <f>Consolidated!$H61</f>
        <v>6896</v>
      </c>
      <c r="Y43" s="218">
        <f t="shared" si="10"/>
        <v>0</v>
      </c>
    </row>
    <row r="44" spans="1:25" ht="20.25" customHeight="1" x14ac:dyDescent="0.25">
      <c r="A44" s="825"/>
      <c r="B44" s="825"/>
      <c r="C44" s="357">
        <v>16.46</v>
      </c>
      <c r="D44" s="357">
        <v>0</v>
      </c>
      <c r="E44" s="826">
        <f t="shared" si="8"/>
        <v>32.92</v>
      </c>
      <c r="F44" s="826"/>
      <c r="G44" s="47" t="s">
        <v>60</v>
      </c>
      <c r="H44" s="37">
        <v>251</v>
      </c>
      <c r="I44" s="130">
        <f>Consolidated!$H62</f>
        <v>1173</v>
      </c>
      <c r="J44" s="515">
        <f t="shared" si="9"/>
        <v>38615.160000000003</v>
      </c>
      <c r="L44" s="3"/>
      <c r="M44" s="2"/>
      <c r="Q44" s="4"/>
      <c r="R44" s="885"/>
      <c r="S44" s="885"/>
      <c r="T44" s="867"/>
      <c r="U44" s="867"/>
      <c r="V44" s="176" t="s">
        <v>60</v>
      </c>
      <c r="W44" s="167">
        <v>251</v>
      </c>
      <c r="X44" s="128">
        <f>Consolidated!$H62</f>
        <v>1173</v>
      </c>
      <c r="Y44" s="218">
        <f t="shared" si="10"/>
        <v>0</v>
      </c>
    </row>
    <row r="45" spans="1:25" x14ac:dyDescent="0.25">
      <c r="A45" s="825"/>
      <c r="B45" s="825"/>
      <c r="C45" s="357">
        <v>1.54</v>
      </c>
      <c r="D45" s="357">
        <v>0</v>
      </c>
      <c r="E45" s="826">
        <f t="shared" si="8"/>
        <v>3.08</v>
      </c>
      <c r="F45" s="826"/>
      <c r="G45" s="47" t="s">
        <v>60</v>
      </c>
      <c r="H45" s="37">
        <v>252</v>
      </c>
      <c r="I45" s="130">
        <f>Consolidated!$H63</f>
        <v>3506</v>
      </c>
      <c r="J45" s="515">
        <f t="shared" si="9"/>
        <v>10798.48</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515">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515">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515">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40.5</v>
      </c>
      <c r="D50" s="524">
        <f>SUM(D41:D49)</f>
        <v>0</v>
      </c>
      <c r="E50" s="832">
        <f>SUM(E41:E49)</f>
        <v>81</v>
      </c>
      <c r="F50" s="832"/>
      <c r="G50" s="818" t="s">
        <v>63</v>
      </c>
      <c r="H50" s="818"/>
      <c r="I50" s="818"/>
      <c r="J50" s="225">
        <f>SUM(J41:J49)</f>
        <v>101194.64</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391.82</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1.8860000000000001E-3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422.18539999999996</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1.9090000000000001E-3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391.82</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2.1900000000000001E-3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391.82</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1.8890000000000001E-3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391.82</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2.1940000000000002E-3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1.8890000000000001E-3</v>
      </c>
      <c r="J68" s="132">
        <f>ROUND(G68*I68,2)</f>
        <v>86194.3</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1.8860000000000001E-3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2.1940000000000002E-3</v>
      </c>
      <c r="J71" s="132">
        <f>ROUND(G71*I71,2)</f>
        <v>41541.32</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2.1900000000000001E-3</v>
      </c>
      <c r="J72" s="132">
        <f>ROUND(G72*I72,2)</f>
        <v>24747.03</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1.9090000000000001E-3</v>
      </c>
      <c r="J85" s="132">
        <f>ROUND(G85*I85,2)</f>
        <v>513170.27</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1.9090000000000001E-3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1.8860000000000001E-3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296.41539999999998</v>
      </c>
      <c r="C90" s="80"/>
      <c r="D90" s="894">
        <f>I6</f>
        <v>1.0355000000000001</v>
      </c>
      <c r="E90" s="894"/>
      <c r="F90" s="894"/>
      <c r="G90" s="117">
        <f>Consolidated!F$118</f>
        <v>958.42</v>
      </c>
      <c r="H90" s="47" t="s">
        <v>68</v>
      </c>
      <c r="I90" s="135">
        <f>ROUND(B90*D90*G90,2)</f>
        <v>294175.65999999997</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125.77</v>
      </c>
      <c r="C91" s="80"/>
      <c r="D91" s="894">
        <f>I6</f>
        <v>1.0355000000000001</v>
      </c>
      <c r="E91" s="894"/>
      <c r="F91" s="894"/>
      <c r="G91" s="117">
        <f>Consolidated!F$119</f>
        <v>915.09</v>
      </c>
      <c r="H91" s="47" t="s">
        <v>68</v>
      </c>
      <c r="I91" s="134">
        <f>ROUND(B91*D91*G91,2)</f>
        <v>119176.6</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422.18539999999996</v>
      </c>
      <c r="C93" s="80"/>
      <c r="D93" s="80"/>
      <c r="E93" s="846" t="s">
        <v>112</v>
      </c>
      <c r="F93" s="846"/>
      <c r="G93" s="846"/>
      <c r="H93" s="846"/>
      <c r="I93" s="846"/>
      <c r="J93" s="121">
        <f>IF(A1=75,0,I92+I91+I90)</f>
        <v>413352.26</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0</v>
      </c>
      <c r="D97" s="228">
        <v>0</v>
      </c>
      <c r="E97" s="913">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3528955.38</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3360382.9699999997</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237" t="s">
        <v>431</v>
      </c>
      <c r="I114" s="238">
        <f>IF(I111=1,J111,J109)</f>
        <v>3360382.9699999997</v>
      </c>
      <c r="J114" s="239">
        <f>ROUND(IF(E28=0,0,IF(E28&gt;250,-(((250/E28)*I114)*IF(H114="H",0.02,0.05)),IF(H114="H",-0.02*I114,-0.05*I114))),2)</f>
        <v>-42881.72</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3486073.6599999997</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Payments'!R95</f>
        <v>-2891673.18</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594400.47999999952</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297200.24</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ROUND(IF(H114="H",(I114*0.02)+J114,(I114*0.05)+J114),2)</f>
        <v>24325.94</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00756-2051-49F0-B360-298BAF76413B}">
  <dimension ref="A1:Z207"/>
  <sheetViews>
    <sheetView topLeftCell="A107" workbookViewId="0">
      <selection activeCell="A111" sqref="A111:H11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452</v>
      </c>
      <c r="B2" s="101"/>
      <c r="C2" s="101"/>
      <c r="D2" s="101"/>
      <c r="E2" s="6"/>
      <c r="F2" s="6"/>
      <c r="G2" s="6"/>
      <c r="H2" s="6"/>
      <c r="I2" s="686" t="str">
        <f>RIGHT(A2,4)</f>
        <v>3421</v>
      </c>
      <c r="J2" s="6"/>
      <c r="K2" s="6"/>
      <c r="L2" s="6"/>
      <c r="M2" s="6"/>
      <c r="N2" s="6"/>
      <c r="O2" s="6"/>
      <c r="P2" s="6"/>
      <c r="Q2" s="6"/>
      <c r="R2" s="898" t="str">
        <f>Revenue_Estimate_Worksheet_for___________Charter_School</f>
        <v>Revenue Estimate Worksheet: Worthington High School - 3421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2.5</v>
      </c>
      <c r="D14" s="357">
        <f>SUMIFS(CountData!J:J,CountData!H:H,$I$2,CountData!I:I,$O14)</f>
        <v>5.28</v>
      </c>
      <c r="E14" s="812">
        <f t="shared" si="0"/>
        <v>7.78</v>
      </c>
      <c r="F14" s="812"/>
      <c r="G14" s="813">
        <f>Consolidated!$F16</f>
        <v>1</v>
      </c>
      <c r="H14" s="813">
        <f>Consolidated!$H$9</f>
        <v>1</v>
      </c>
      <c r="I14" s="517">
        <f t="shared" si="3"/>
        <v>7.78</v>
      </c>
      <c r="J14" s="518">
        <f>ROUND(ROUND(ROUND(I14*$E$6,4)*($I$6),2)*(MAX($I$7,1)),2)</f>
        <v>43282.69</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1</v>
      </c>
      <c r="D15" s="357">
        <f>SUMIFS(CountData!J:J,CountData!H:H,$I$2,CountData!I:I,$O15)</f>
        <v>1.45</v>
      </c>
      <c r="E15" s="812">
        <f t="shared" si="0"/>
        <v>2.4500000000000002</v>
      </c>
      <c r="F15" s="812"/>
      <c r="G15" s="813">
        <f>Consolidated!$F17</f>
        <v>1</v>
      </c>
      <c r="H15" s="813">
        <f>Consolidated!$H$9</f>
        <v>1</v>
      </c>
      <c r="I15" s="517">
        <f t="shared" si="3"/>
        <v>2.4500000000000002</v>
      </c>
      <c r="J15" s="518">
        <f t="shared" si="1"/>
        <v>13630.15</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219.86</v>
      </c>
      <c r="D16" s="357">
        <f>SUMIFS(CountData!J:J,CountData!H:H,$I$2,CountData!I:I,$O16)</f>
        <v>231.05</v>
      </c>
      <c r="E16" s="812">
        <f t="shared" si="0"/>
        <v>450.91</v>
      </c>
      <c r="F16" s="812"/>
      <c r="G16" s="813">
        <f>Consolidated!$F18</f>
        <v>0.97199999999999998</v>
      </c>
      <c r="H16" s="813">
        <f>Consolidated!$H$9</f>
        <v>1</v>
      </c>
      <c r="I16" s="517">
        <f t="shared" si="3"/>
        <v>438.28449999999998</v>
      </c>
      <c r="J16" s="518">
        <f t="shared" si="1"/>
        <v>2438320.12</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48.82</v>
      </c>
      <c r="D17" s="357">
        <f>SUMIFS(CountData!J:J,CountData!H:H,$I$2,CountData!I:I,$O17)</f>
        <v>58.65</v>
      </c>
      <c r="E17" s="812">
        <f t="shared" si="0"/>
        <v>107.47</v>
      </c>
      <c r="F17" s="812"/>
      <c r="G17" s="813">
        <f>Consolidated!$F19</f>
        <v>0.97199999999999998</v>
      </c>
      <c r="H17" s="813">
        <f>Consolidated!$H$9</f>
        <v>1</v>
      </c>
      <c r="I17" s="517">
        <f t="shared" si="3"/>
        <v>104.46080000000001</v>
      </c>
      <c r="J17" s="518">
        <f t="shared" si="1"/>
        <v>581149.62</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254</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255</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5.07</v>
      </c>
      <c r="D26" s="357">
        <f>SUMIFS(CountData!J:J,CountData!H:H,$I$2,CountData!I:I,$O26)</f>
        <v>16.649999999999999</v>
      </c>
      <c r="E26" s="812">
        <f t="shared" si="0"/>
        <v>21.72</v>
      </c>
      <c r="F26" s="812"/>
      <c r="G26" s="813">
        <f>Consolidated!$F28</f>
        <v>1.165</v>
      </c>
      <c r="H26" s="813">
        <f>Consolidated!$H$9</f>
        <v>1</v>
      </c>
      <c r="I26" s="517">
        <f t="shared" si="3"/>
        <v>25.303799999999999</v>
      </c>
      <c r="J26" s="518">
        <f t="shared" si="1"/>
        <v>140773.32</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4.55</v>
      </c>
      <c r="D27" s="358">
        <f>SUMIFS(CountData!J:J,CountData!H:H,$I$2,CountData!I:I,$O27)</f>
        <v>2.58</v>
      </c>
      <c r="E27" s="814">
        <f t="shared" si="0"/>
        <v>7.13</v>
      </c>
      <c r="F27" s="814"/>
      <c r="G27" s="815">
        <f>Consolidated!$F29</f>
        <v>1.081</v>
      </c>
      <c r="H27" s="815">
        <f>Consolidated!$H$9</f>
        <v>1</v>
      </c>
      <c r="I27" s="22">
        <f t="shared" si="3"/>
        <v>7.7074999999999996</v>
      </c>
      <c r="J27" s="121">
        <f t="shared" si="1"/>
        <v>42879.35</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281.8</v>
      </c>
      <c r="D28" s="720">
        <f>SUM(D12:D27)</f>
        <v>315.65999999999997</v>
      </c>
      <c r="E28" s="817">
        <f>SUM(E12:E27)</f>
        <v>597.46</v>
      </c>
      <c r="F28" s="817"/>
      <c r="G28" s="812"/>
      <c r="H28" s="812"/>
      <c r="I28" s="23">
        <f>SUM(I12:I27)</f>
        <v>585.98660000000007</v>
      </c>
      <c r="J28" s="121">
        <f>SUM(J12:J27)</f>
        <v>3260035.25</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585.98660000000007</v>
      </c>
      <c r="H33" s="812" t="s">
        <v>45</v>
      </c>
      <c r="I33" s="812"/>
      <c r="J33" s="32">
        <f>SUM(J32,J28)</f>
        <v>3260035.25</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2604265.27</v>
      </c>
      <c r="H36" s="37" t="s">
        <v>49</v>
      </c>
      <c r="I36" s="38">
        <v>6.6699999999999995E-2</v>
      </c>
      <c r="J36" s="125">
        <f>ROUND(G36*I36,2)</f>
        <v>173704.49</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2604265.27</v>
      </c>
      <c r="H37" s="37" t="s">
        <v>49</v>
      </c>
      <c r="I37" s="38">
        <v>5.4000000000000003E-3</v>
      </c>
      <c r="J37" s="125">
        <f>ROUND(G37*I37,2)</f>
        <v>14063.03</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187767.52</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515">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515">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515">
        <f t="shared" si="9"/>
        <v>0</v>
      </c>
      <c r="M43" s="2"/>
      <c r="R43" s="885"/>
      <c r="S43" s="885"/>
      <c r="T43" s="867"/>
      <c r="U43" s="867"/>
      <c r="V43" s="167" t="s">
        <v>59</v>
      </c>
      <c r="W43" s="167">
        <v>253</v>
      </c>
      <c r="X43" s="128">
        <f>Consolidated!$H61</f>
        <v>6896</v>
      </c>
      <c r="Y43" s="218">
        <f t="shared" si="10"/>
        <v>0</v>
      </c>
    </row>
    <row r="44" spans="1:25" x14ac:dyDescent="0.25">
      <c r="A44" s="825"/>
      <c r="B44" s="825"/>
      <c r="C44" s="357">
        <v>1</v>
      </c>
      <c r="D44" s="357">
        <v>0</v>
      </c>
      <c r="E44" s="826">
        <f t="shared" si="8"/>
        <v>2</v>
      </c>
      <c r="F44" s="826"/>
      <c r="G44" s="47" t="s">
        <v>60</v>
      </c>
      <c r="H44" s="37">
        <v>251</v>
      </c>
      <c r="I44" s="130">
        <f>Consolidated!$H62</f>
        <v>1173</v>
      </c>
      <c r="J44" s="515">
        <f t="shared" si="9"/>
        <v>2346</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515">
        <f t="shared" si="9"/>
        <v>0</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515">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44.96</v>
      </c>
      <c r="D47" s="357">
        <v>0</v>
      </c>
      <c r="E47" s="826">
        <f t="shared" si="8"/>
        <v>89.92</v>
      </c>
      <c r="F47" s="826"/>
      <c r="G47" s="47" t="s">
        <v>61</v>
      </c>
      <c r="H47" s="37">
        <v>251</v>
      </c>
      <c r="I47" s="130">
        <f>Consolidated!$H65</f>
        <v>835</v>
      </c>
      <c r="J47" s="515">
        <f t="shared" si="9"/>
        <v>75083.199999999997</v>
      </c>
      <c r="M47" s="2"/>
      <c r="R47" s="885"/>
      <c r="S47" s="885"/>
      <c r="T47" s="867"/>
      <c r="U47" s="867"/>
      <c r="V47" s="176" t="s">
        <v>61</v>
      </c>
      <c r="W47" s="167">
        <v>251</v>
      </c>
      <c r="X47" s="128">
        <f>Consolidated!$H65</f>
        <v>835</v>
      </c>
      <c r="Y47" s="218">
        <f t="shared" si="10"/>
        <v>0</v>
      </c>
    </row>
    <row r="48" spans="1:25" ht="15.75" customHeight="1" x14ac:dyDescent="0.25">
      <c r="A48" s="825"/>
      <c r="B48" s="825"/>
      <c r="C48" s="357">
        <v>3.8</v>
      </c>
      <c r="D48" s="357">
        <v>0</v>
      </c>
      <c r="E48" s="826">
        <f t="shared" si="8"/>
        <v>7.6</v>
      </c>
      <c r="F48" s="826"/>
      <c r="G48" s="47" t="s">
        <v>61</v>
      </c>
      <c r="H48" s="37">
        <v>252</v>
      </c>
      <c r="I48" s="130">
        <f>Consolidated!$H66</f>
        <v>3168</v>
      </c>
      <c r="J48" s="515">
        <f t="shared" si="9"/>
        <v>24076.799999999999</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49.76</v>
      </c>
      <c r="D50" s="524">
        <f>SUM(D41:D49)</f>
        <v>0</v>
      </c>
      <c r="E50" s="832">
        <f>SUM(E41:E49)</f>
        <v>99.52</v>
      </c>
      <c r="F50" s="832"/>
      <c r="G50" s="818" t="s">
        <v>63</v>
      </c>
      <c r="H50" s="818"/>
      <c r="I50" s="818"/>
      <c r="J50" s="225">
        <f>SUM(J41:J49)</f>
        <v>101506</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597.46</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2.875E-3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585.98660000000007</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2.6489999999999999E-3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597.46</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3.339E-3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597.46</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2.8800000000000002E-3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597.46</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3.3449999999999999E-3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2.8800000000000002E-3</v>
      </c>
      <c r="J68" s="132">
        <f>ROUND(G68*I68,2)</f>
        <v>131413.23000000001</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2.875E-3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3.3449999999999999E-3</v>
      </c>
      <c r="J71" s="132">
        <f>ROUND(G71*I71,2)</f>
        <v>63334.42</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3.339E-3</v>
      </c>
      <c r="J72" s="132">
        <f>ROUND(G72*I72,2)</f>
        <v>37730.74</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v>7.5</v>
      </c>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7.5</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5.8100000000000003E-4</v>
      </c>
      <c r="J84" s="656">
        <f>ROUND(G84*I84,2)</f>
        <v>33990.120000000003</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2.6489999999999999E-3</v>
      </c>
      <c r="J85" s="656">
        <f>ROUND(G85*I85,2)</f>
        <v>712094.32</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2.6489999999999999E-3</v>
      </c>
      <c r="J86" s="656">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2.875E-3</v>
      </c>
      <c r="J87" s="656">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51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10.23</v>
      </c>
      <c r="C91" s="80"/>
      <c r="D91" s="894">
        <f>I6</f>
        <v>1.0355000000000001</v>
      </c>
      <c r="E91" s="894"/>
      <c r="F91" s="894"/>
      <c r="G91" s="117">
        <f>Consolidated!F$119</f>
        <v>915.09</v>
      </c>
      <c r="H91" s="47" t="s">
        <v>68</v>
      </c>
      <c r="I91" s="515">
        <f>ROUND(B91*D91*G91,2)</f>
        <v>9693.7000000000007</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575.75660000000005</v>
      </c>
      <c r="C92" s="80"/>
      <c r="D92" s="894">
        <f>I6</f>
        <v>1.0355000000000001</v>
      </c>
      <c r="E92" s="894"/>
      <c r="F92" s="894"/>
      <c r="G92" s="117">
        <f>Consolidated!F$120</f>
        <v>917.3</v>
      </c>
      <c r="H92" s="47" t="s">
        <v>68</v>
      </c>
      <c r="I92" s="515">
        <f>ROUND(B92*D92*G92,2)</f>
        <v>546890.55000000005</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585.98660000000007</v>
      </c>
      <c r="C93" s="80"/>
      <c r="D93" s="80"/>
      <c r="E93" s="846" t="s">
        <v>112</v>
      </c>
      <c r="F93" s="846"/>
      <c r="G93" s="846"/>
      <c r="H93" s="846"/>
      <c r="I93" s="846"/>
      <c r="J93" s="121">
        <f>IF(A1=75,0,I92+I91+I90)</f>
        <v>556584.25</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134</v>
      </c>
      <c r="D97" s="228">
        <v>0</v>
      </c>
      <c r="E97" s="913">
        <f>(C97+D97)</f>
        <v>134</v>
      </c>
      <c r="F97" s="850"/>
      <c r="G97" s="850"/>
      <c r="H97" s="85" t="s">
        <v>117</v>
      </c>
      <c r="I97" s="124">
        <f>Consolidated!G$127</f>
        <v>586</v>
      </c>
      <c r="J97" s="132">
        <f>ROUND(I97*E97,2)</f>
        <v>78524</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4975212.33</v>
      </c>
      <c r="L107" s="516"/>
      <c r="R107" s="739" t="s">
        <v>125</v>
      </c>
      <c r="S107" s="739"/>
      <c r="T107" s="739"/>
      <c r="U107" s="739"/>
      <c r="V107" s="739"/>
      <c r="W107" s="739"/>
      <c r="X107" s="739"/>
      <c r="Y107" s="213">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4787444.8100000005</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237"/>
      <c r="I114" s="238">
        <f>IF(I111=1,J111,J109)</f>
        <v>4787444.8100000005</v>
      </c>
      <c r="J114" s="239">
        <f>ROUND(IF(E28=0,0,IF(E28&gt;250,-(((250/E28)*I114)*IF(H114="H",0.02,0.05)),IF(H114="H",-0.02*I114,-0.05*I114))),2)</f>
        <v>-100162.45</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4875049.88</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Payments'!R96</f>
        <v>-3728242.1899999995</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1146807.6900000004</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573403.85</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ROUND(IF(H114="H",(I114*0.02)+J114,(I114*0.05)+J114),2)</f>
        <v>139209.79</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3E536-2A1F-443E-BF1B-F59F5A21973D}">
  <dimension ref="A1:Z207"/>
  <sheetViews>
    <sheetView topLeftCell="A107" workbookViewId="0">
      <selection activeCell="A111" sqref="A111:H11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453</v>
      </c>
      <c r="B2" s="101"/>
      <c r="C2" s="101"/>
      <c r="D2" s="101"/>
      <c r="E2" s="6"/>
      <c r="F2" s="6"/>
      <c r="G2" s="6"/>
      <c r="H2" s="6"/>
      <c r="I2" s="686" t="str">
        <f>RIGHT(A2,4)</f>
        <v>3431</v>
      </c>
      <c r="J2" s="6"/>
      <c r="K2" s="6"/>
      <c r="L2" s="6"/>
      <c r="M2" s="6"/>
      <c r="N2" s="6"/>
      <c r="O2" s="6"/>
      <c r="P2" s="6"/>
      <c r="Q2" s="6"/>
      <c r="R2" s="898" t="str">
        <f>Revenue_Estimate_Worksheet_for___________Charter_School</f>
        <v>Revenue Estimate Worksheet: Renaissance Charter School at West Palm Beach - 3431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185.44</v>
      </c>
      <c r="D12" s="719">
        <f>SUMIFS(CountData!J:J,CountData!H:H,$I$2,CountData!I:I,$O12)</f>
        <v>179.55</v>
      </c>
      <c r="E12" s="804">
        <f t="shared" ref="E12:E27" si="0">IF($D$28=0,C12*2,C12+D12)</f>
        <v>364.99</v>
      </c>
      <c r="F12" s="804"/>
      <c r="G12" s="805">
        <f>Consolidated!$F14</f>
        <v>1.1080000000000001</v>
      </c>
      <c r="H12" s="805">
        <f>Consolidated!$H$9</f>
        <v>1</v>
      </c>
      <c r="I12" s="517">
        <f>ROUND(E12*G12,4)</f>
        <v>404.40890000000002</v>
      </c>
      <c r="J12" s="518">
        <f t="shared" ref="J12:J27" si="1">ROUND(ROUND(ROUND(I12*$E$6,4)*($I$6),2)*(MAX($I$7,1)),2)</f>
        <v>2249859.0699999998</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26.5</v>
      </c>
      <c r="D13" s="357">
        <f>SUMIFS(CountData!J:J,CountData!H:H,$I$2,CountData!I:I,$O13)</f>
        <v>32</v>
      </c>
      <c r="E13" s="812">
        <f t="shared" si="0"/>
        <v>58.5</v>
      </c>
      <c r="F13" s="812"/>
      <c r="G13" s="813">
        <f>Consolidated!$F15</f>
        <v>1.1080000000000001</v>
      </c>
      <c r="H13" s="813">
        <f>Consolidated!$H$9</f>
        <v>1</v>
      </c>
      <c r="I13" s="517">
        <f t="shared" ref="I13:I27" si="3">ROUND(E13*G13,4)</f>
        <v>64.817999999999998</v>
      </c>
      <c r="J13" s="518">
        <f t="shared" si="1"/>
        <v>360603.75</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207.99</v>
      </c>
      <c r="D14" s="357">
        <f>SUMIFS(CountData!J:J,CountData!H:H,$I$2,CountData!I:I,$O14)</f>
        <v>203.47</v>
      </c>
      <c r="E14" s="812">
        <f t="shared" si="0"/>
        <v>411.46000000000004</v>
      </c>
      <c r="F14" s="812"/>
      <c r="G14" s="813">
        <f>Consolidated!$F16</f>
        <v>1</v>
      </c>
      <c r="H14" s="813">
        <f>Consolidated!$H$9</f>
        <v>1</v>
      </c>
      <c r="I14" s="517">
        <f t="shared" si="3"/>
        <v>411.46</v>
      </c>
      <c r="J14" s="518">
        <f>ROUND(ROUND(ROUND(I14*$E$6,4)*($I$6),2)*(MAX($I$7,1)),2)</f>
        <v>2289086.65</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42.5</v>
      </c>
      <c r="D15" s="357">
        <f>SUMIFS(CountData!J:J,CountData!H:H,$I$2,CountData!I:I,$O15)</f>
        <v>42.48</v>
      </c>
      <c r="E15" s="812">
        <f t="shared" si="0"/>
        <v>84.97999999999999</v>
      </c>
      <c r="F15" s="812"/>
      <c r="G15" s="813">
        <f>Consolidated!$F17</f>
        <v>1</v>
      </c>
      <c r="H15" s="813">
        <f>Consolidated!$H$9</f>
        <v>1</v>
      </c>
      <c r="I15" s="517">
        <f t="shared" si="3"/>
        <v>84.98</v>
      </c>
      <c r="J15" s="518">
        <f t="shared" si="1"/>
        <v>472771.55</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39.35</v>
      </c>
      <c r="D25" s="357">
        <f>SUMIFS(CountData!J:J,CountData!H:H,$I$2,CountData!I:I,$O25)</f>
        <v>38.11</v>
      </c>
      <c r="E25" s="812">
        <f t="shared" si="0"/>
        <v>77.460000000000008</v>
      </c>
      <c r="F25" s="812"/>
      <c r="G25" s="813">
        <f>Consolidated!$F27</f>
        <v>1.165</v>
      </c>
      <c r="H25" s="813">
        <f>Consolidated!$H$9</f>
        <v>1</v>
      </c>
      <c r="I25" s="517">
        <f t="shared" si="3"/>
        <v>90.240899999999996</v>
      </c>
      <c r="J25" s="518">
        <f t="shared" si="1"/>
        <v>502039.66</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501.78000000000003</v>
      </c>
      <c r="D28" s="720">
        <f>SUM(D12:D27)</f>
        <v>495.61</v>
      </c>
      <c r="E28" s="817">
        <f>SUM(E12:E27)</f>
        <v>997.3900000000001</v>
      </c>
      <c r="F28" s="817"/>
      <c r="G28" s="812"/>
      <c r="H28" s="812"/>
      <c r="I28" s="23">
        <f>SUM(I12:I27)</f>
        <v>1055.9078</v>
      </c>
      <c r="J28" s="121">
        <f>SUM(J12:J27)</f>
        <v>5874360.6799999997</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1055.9078</v>
      </c>
      <c r="H33" s="812" t="s">
        <v>45</v>
      </c>
      <c r="I33" s="812"/>
      <c r="J33" s="32">
        <f>SUM(J32,J28)</f>
        <v>5874360.6799999997</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5974890.0099999998</v>
      </c>
      <c r="H36" s="37" t="s">
        <v>49</v>
      </c>
      <c r="I36" s="38">
        <v>6.6699999999999995E-2</v>
      </c>
      <c r="J36" s="125">
        <f>ROUND(G36*I36,2)</f>
        <v>398525.16</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5974890.0099999998</v>
      </c>
      <c r="H37" s="37" t="s">
        <v>49</v>
      </c>
      <c r="I37" s="38">
        <v>5.4000000000000003E-3</v>
      </c>
      <c r="J37" s="125">
        <f>ROUND(G37*I37,2)</f>
        <v>32264.41</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430789.56999999995</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22.5</v>
      </c>
      <c r="D41" s="357">
        <v>0</v>
      </c>
      <c r="E41" s="826">
        <f t="shared" ref="E41:E49" si="8">IF($D$50=0,C41*2,C41+D41)</f>
        <v>45</v>
      </c>
      <c r="F41" s="826"/>
      <c r="G41" s="37" t="s">
        <v>59</v>
      </c>
      <c r="H41" s="37">
        <v>251</v>
      </c>
      <c r="I41" s="130">
        <f>Consolidated!$H59</f>
        <v>1047</v>
      </c>
      <c r="J41" s="515">
        <f t="shared" ref="J41:J49" si="9">ROUND(E41*I41,2)</f>
        <v>47115</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4</v>
      </c>
      <c r="D42" s="357">
        <v>0</v>
      </c>
      <c r="E42" s="826">
        <f t="shared" si="8"/>
        <v>8</v>
      </c>
      <c r="F42" s="826"/>
      <c r="G42" s="37" t="s">
        <v>59</v>
      </c>
      <c r="H42" s="37">
        <v>252</v>
      </c>
      <c r="I42" s="130">
        <f>Consolidated!$H60</f>
        <v>3380</v>
      </c>
      <c r="J42" s="515">
        <f t="shared" si="9"/>
        <v>27040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515">
        <f t="shared" si="9"/>
        <v>0</v>
      </c>
      <c r="M43" s="2"/>
      <c r="R43" s="885"/>
      <c r="S43" s="885"/>
      <c r="T43" s="867"/>
      <c r="U43" s="867"/>
      <c r="V43" s="167" t="s">
        <v>59</v>
      </c>
      <c r="W43" s="167">
        <v>253</v>
      </c>
      <c r="X43" s="128">
        <f>Consolidated!$H61</f>
        <v>6896</v>
      </c>
      <c r="Y43" s="218">
        <f t="shared" si="10"/>
        <v>0</v>
      </c>
    </row>
    <row r="44" spans="1:25" x14ac:dyDescent="0.25">
      <c r="A44" s="825"/>
      <c r="B44" s="825"/>
      <c r="C44" s="357">
        <v>37.89</v>
      </c>
      <c r="D44" s="357">
        <v>0</v>
      </c>
      <c r="E44" s="826">
        <f t="shared" si="8"/>
        <v>75.78</v>
      </c>
      <c r="F44" s="826"/>
      <c r="G44" s="47" t="s">
        <v>60</v>
      </c>
      <c r="H44" s="37">
        <v>251</v>
      </c>
      <c r="I44" s="130">
        <f>Consolidated!$H62</f>
        <v>1173</v>
      </c>
      <c r="J44" s="515">
        <f t="shared" si="9"/>
        <v>88889.94</v>
      </c>
      <c r="L44" s="3"/>
      <c r="M44" s="2"/>
      <c r="Q44" s="4"/>
      <c r="R44" s="885"/>
      <c r="S44" s="885"/>
      <c r="T44" s="867"/>
      <c r="U44" s="867"/>
      <c r="V44" s="176" t="s">
        <v>60</v>
      </c>
      <c r="W44" s="167">
        <v>251</v>
      </c>
      <c r="X44" s="128">
        <f>Consolidated!$H62</f>
        <v>1173</v>
      </c>
      <c r="Y44" s="218">
        <f t="shared" si="10"/>
        <v>0</v>
      </c>
    </row>
    <row r="45" spans="1:25" x14ac:dyDescent="0.25">
      <c r="A45" s="825"/>
      <c r="B45" s="825"/>
      <c r="C45" s="357">
        <v>4.6100000000000003</v>
      </c>
      <c r="D45" s="357">
        <v>0</v>
      </c>
      <c r="E45" s="826">
        <f t="shared" si="8"/>
        <v>9.2200000000000006</v>
      </c>
      <c r="F45" s="826"/>
      <c r="G45" s="47" t="s">
        <v>60</v>
      </c>
      <c r="H45" s="37">
        <v>252</v>
      </c>
      <c r="I45" s="130">
        <f>Consolidated!$H63</f>
        <v>3506</v>
      </c>
      <c r="J45" s="515">
        <f t="shared" si="9"/>
        <v>32325.32</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515">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515">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515">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69</v>
      </c>
      <c r="D50" s="524">
        <f>SUM(D41:D49)</f>
        <v>0</v>
      </c>
      <c r="E50" s="832">
        <f>SUM(E41:E49)</f>
        <v>138</v>
      </c>
      <c r="F50" s="832"/>
      <c r="G50" s="818" t="s">
        <v>63</v>
      </c>
      <c r="H50" s="818"/>
      <c r="I50" s="818"/>
      <c r="J50" s="225">
        <f>SUM(J41:J49)</f>
        <v>195370.26</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997.3900000000001</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4.7999999999999996E-3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1055.9078</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4.7739999999999996E-3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997.3900000000001</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5.574E-3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997.3900000000001</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4.8079999999999998E-3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997.3900000000001</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5.5840000000000004E-3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4.8079999999999998E-3</v>
      </c>
      <c r="J68" s="132">
        <f>ROUND(G68*I68,2)</f>
        <v>219387.08</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4.7999999999999996E-3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5.5840000000000004E-3</v>
      </c>
      <c r="J71" s="132">
        <f>ROUND(G71*I71,2)</f>
        <v>105727.78</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5.574E-3</v>
      </c>
      <c r="J72" s="132">
        <f>ROUND(G72*I72,2)</f>
        <v>62986.27</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4.7739999999999996E-3</v>
      </c>
      <c r="J85" s="132">
        <f>ROUND(G85*I85,2)</f>
        <v>1283328.9099999999</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4.7739999999999996E-3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4.7999999999999996E-3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469.2269</v>
      </c>
      <c r="C90" s="80"/>
      <c r="D90" s="894">
        <f>I6</f>
        <v>1.0355000000000001</v>
      </c>
      <c r="E90" s="894"/>
      <c r="F90" s="894"/>
      <c r="G90" s="117">
        <f>Consolidated!F$118</f>
        <v>958.42</v>
      </c>
      <c r="H90" s="47" t="s">
        <v>68</v>
      </c>
      <c r="I90" s="515">
        <f>ROUND(B90*D90*G90,2)</f>
        <v>465681.38</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586.68089999999995</v>
      </c>
      <c r="C91" s="80"/>
      <c r="D91" s="894">
        <f>I6</f>
        <v>1.0355000000000001</v>
      </c>
      <c r="E91" s="894"/>
      <c r="F91" s="894"/>
      <c r="G91" s="117">
        <f>Consolidated!F$119</f>
        <v>915.09</v>
      </c>
      <c r="H91" s="47" t="s">
        <v>68</v>
      </c>
      <c r="I91" s="515">
        <f>ROUND(B91*D91*G91,2)</f>
        <v>555924.56000000006</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1055.9078</v>
      </c>
      <c r="C93" s="80"/>
      <c r="D93" s="80"/>
      <c r="E93" s="846" t="s">
        <v>112</v>
      </c>
      <c r="F93" s="846"/>
      <c r="G93" s="846"/>
      <c r="H93" s="846"/>
      <c r="I93" s="846"/>
      <c r="J93" s="121">
        <f>IF(A1=75,0,I92+I91+I90)</f>
        <v>1021605.9400000001</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34</v>
      </c>
      <c r="D97" s="228">
        <v>0</v>
      </c>
      <c r="E97" s="913">
        <f>(C97+D97)</f>
        <v>34</v>
      </c>
      <c r="F97" s="850"/>
      <c r="G97" s="850"/>
      <c r="H97" s="85" t="s">
        <v>117</v>
      </c>
      <c r="I97" s="124">
        <f>Consolidated!G$127</f>
        <v>586</v>
      </c>
      <c r="J97" s="132">
        <f>ROUND(I97*E97,2)</f>
        <v>19924</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8782690.9199999999</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8351901.3499999996</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638" t="s">
        <v>431</v>
      </c>
      <c r="I114" s="639">
        <f>IF(I111=1,J111,J109)</f>
        <v>8351901.3499999996</v>
      </c>
      <c r="J114" s="640">
        <f>ROUND(IF(E28=0,0,IF(E28&gt;250,-(((250/E28)*I114)*IF(H114="H",0.02,0.05)),IF(H114="H",-0.02*I114,-0.05*I114))),2)</f>
        <v>-41868.78</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8740822.1400000006</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641"/>
      <c r="I118" s="642"/>
      <c r="J118" s="647">
        <f>-'Cumulative Payments'!R97</f>
        <v>-7321904.6199999992</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1418917.5200000014</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709458.76</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ROUND(IF(H114="H",(I114*0.02)+J114,(I114*0.05)+J114),2)</f>
        <v>125169.25</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642"/>
      <c r="I127" s="651"/>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DA5E0-6CFC-462B-B521-0160ED627C13}">
  <dimension ref="A1:Z207"/>
  <sheetViews>
    <sheetView topLeftCell="A107" workbookViewId="0">
      <selection activeCell="A111" sqref="A111:H11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3" t="s">
        <v>454</v>
      </c>
      <c r="B2" s="101"/>
      <c r="C2" s="101"/>
      <c r="D2" s="101"/>
      <c r="E2" s="6"/>
      <c r="F2" s="6"/>
      <c r="G2" s="6"/>
      <c r="H2" s="6"/>
      <c r="I2" s="686" t="str">
        <f>RIGHT(A2,4)</f>
        <v>3441</v>
      </c>
      <c r="J2" s="6"/>
      <c r="K2" s="6"/>
      <c r="L2" s="6"/>
      <c r="M2" s="6"/>
      <c r="N2" s="6"/>
      <c r="O2" s="6"/>
      <c r="P2" s="6"/>
      <c r="Q2" s="6"/>
      <c r="R2" s="898" t="str">
        <f>Revenue_Estimate_Worksheet_for___________Charter_School</f>
        <v>Revenue Estimate Worksheet: SouthTech Preparatory Academy - 3441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217.66</v>
      </c>
      <c r="D14" s="357">
        <f>SUMIFS(CountData!J:J,CountData!H:H,$I$2,CountData!I:I,$O14)</f>
        <v>217.62</v>
      </c>
      <c r="E14" s="812">
        <f t="shared" si="0"/>
        <v>435.28</v>
      </c>
      <c r="F14" s="812"/>
      <c r="G14" s="813">
        <f>Consolidated!$F16</f>
        <v>1</v>
      </c>
      <c r="H14" s="813">
        <f>Consolidated!$H$9</f>
        <v>1</v>
      </c>
      <c r="I14" s="517">
        <f t="shared" si="3"/>
        <v>435.28</v>
      </c>
      <c r="J14" s="518">
        <f>ROUND(ROUND(ROUND(I14*$E$6,4)*($I$6),2)*(MAX($I$7,1)),2)</f>
        <v>2421605.11</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36.01</v>
      </c>
      <c r="D15" s="357">
        <f>SUMIFS(CountData!J:J,CountData!H:H,$I$2,CountData!I:I,$O15)</f>
        <v>35</v>
      </c>
      <c r="E15" s="812">
        <f t="shared" si="0"/>
        <v>71.009999999999991</v>
      </c>
      <c r="F15" s="812"/>
      <c r="G15" s="813">
        <f>Consolidated!$F17</f>
        <v>1</v>
      </c>
      <c r="H15" s="813">
        <f>Consolidated!$H$9</f>
        <v>1</v>
      </c>
      <c r="I15" s="517">
        <f t="shared" si="3"/>
        <v>71.010000000000005</v>
      </c>
      <c r="J15" s="518">
        <f t="shared" si="1"/>
        <v>395051.87</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8.24</v>
      </c>
      <c r="D25" s="357">
        <f>SUMIFS(CountData!J:J,CountData!H:H,$I$2,CountData!I:I,$O25)</f>
        <v>8.25</v>
      </c>
      <c r="E25" s="812">
        <f t="shared" si="0"/>
        <v>16.490000000000002</v>
      </c>
      <c r="F25" s="812"/>
      <c r="G25" s="813">
        <f>Consolidated!$F27</f>
        <v>1.165</v>
      </c>
      <c r="H25" s="813">
        <f>Consolidated!$H$9</f>
        <v>1</v>
      </c>
      <c r="I25" s="517">
        <f t="shared" si="3"/>
        <v>19.210899999999999</v>
      </c>
      <c r="J25" s="518">
        <f t="shared" si="1"/>
        <v>106876.52</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261.90999999999997</v>
      </c>
      <c r="D28" s="720">
        <f>SUM(D12:D27)</f>
        <v>260.87</v>
      </c>
      <c r="E28" s="817">
        <f>SUM(E12:E27)</f>
        <v>522.78</v>
      </c>
      <c r="F28" s="817"/>
      <c r="G28" s="812"/>
      <c r="H28" s="812"/>
      <c r="I28" s="23">
        <f>SUM(I12:I27)</f>
        <v>525.5009</v>
      </c>
      <c r="J28" s="121">
        <f>SUM(J12:J27)</f>
        <v>2923533.5</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525.5009</v>
      </c>
      <c r="H33" s="812" t="s">
        <v>45</v>
      </c>
      <c r="I33" s="812"/>
      <c r="J33" s="32">
        <f>SUM(J32,J28)</f>
        <v>2923533.5</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2950265.84</v>
      </c>
      <c r="H36" s="37" t="s">
        <v>49</v>
      </c>
      <c r="I36" s="38">
        <v>6.6699999999999995E-2</v>
      </c>
      <c r="J36" s="125">
        <f>ROUND(G36*I36,2)</f>
        <v>196782.73</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2950265.84</v>
      </c>
      <c r="H37" s="37" t="s">
        <v>49</v>
      </c>
      <c r="I37" s="38">
        <v>5.4000000000000003E-3</v>
      </c>
      <c r="J37" s="125">
        <f>ROUND(G37*I37,2)</f>
        <v>15931.44</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212714.17</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515">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515">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515">
        <f t="shared" si="9"/>
        <v>0</v>
      </c>
      <c r="M43" s="2"/>
      <c r="R43" s="885"/>
      <c r="S43" s="885"/>
      <c r="T43" s="867"/>
      <c r="U43" s="867"/>
      <c r="V43" s="167" t="s">
        <v>59</v>
      </c>
      <c r="W43" s="167">
        <v>253</v>
      </c>
      <c r="X43" s="128">
        <f>Consolidated!$H61</f>
        <v>6896</v>
      </c>
      <c r="Y43" s="218">
        <f t="shared" si="10"/>
        <v>0</v>
      </c>
    </row>
    <row r="44" spans="1:25" x14ac:dyDescent="0.25">
      <c r="A44" s="825"/>
      <c r="B44" s="825"/>
      <c r="C44" s="357">
        <v>34.479999999999997</v>
      </c>
      <c r="D44" s="357">
        <v>0</v>
      </c>
      <c r="E44" s="826">
        <f t="shared" si="8"/>
        <v>68.959999999999994</v>
      </c>
      <c r="F44" s="826"/>
      <c r="G44" s="47" t="s">
        <v>60</v>
      </c>
      <c r="H44" s="37">
        <v>251</v>
      </c>
      <c r="I44" s="130">
        <f>Consolidated!$H62</f>
        <v>1173</v>
      </c>
      <c r="J44" s="515">
        <f t="shared" si="9"/>
        <v>80890.080000000002</v>
      </c>
      <c r="L44" s="3"/>
      <c r="M44" s="2"/>
      <c r="Q44" s="4"/>
      <c r="R44" s="885"/>
      <c r="S44" s="885"/>
      <c r="T44" s="867"/>
      <c r="U44" s="867"/>
      <c r="V44" s="176" t="s">
        <v>60</v>
      </c>
      <c r="W44" s="167">
        <v>251</v>
      </c>
      <c r="X44" s="128">
        <f>Consolidated!$H62</f>
        <v>1173</v>
      </c>
      <c r="Y44" s="218">
        <f t="shared" si="10"/>
        <v>0</v>
      </c>
    </row>
    <row r="45" spans="1:25" x14ac:dyDescent="0.25">
      <c r="A45" s="825"/>
      <c r="B45" s="825"/>
      <c r="C45" s="357">
        <v>1.52</v>
      </c>
      <c r="D45" s="357">
        <v>0</v>
      </c>
      <c r="E45" s="826">
        <f t="shared" si="8"/>
        <v>3.04</v>
      </c>
      <c r="F45" s="826"/>
      <c r="G45" s="47" t="s">
        <v>60</v>
      </c>
      <c r="H45" s="37">
        <v>252</v>
      </c>
      <c r="I45" s="130">
        <f>Consolidated!$H63</f>
        <v>3506</v>
      </c>
      <c r="J45" s="515">
        <f t="shared" si="9"/>
        <v>10658.24</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515">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515">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515">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36</v>
      </c>
      <c r="D50" s="524">
        <f>SUM(D41:D49)</f>
        <v>0</v>
      </c>
      <c r="E50" s="832">
        <f>SUM(E41:E49)</f>
        <v>72</v>
      </c>
      <c r="F50" s="832"/>
      <c r="G50" s="818" t="s">
        <v>63</v>
      </c>
      <c r="H50" s="818"/>
      <c r="I50" s="818"/>
      <c r="J50" s="225">
        <f>SUM(J41:J49)</f>
        <v>91548.32</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522.78</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2.516E-3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v>0</v>
      </c>
      <c r="U55" s="178" t="s">
        <v>66</v>
      </c>
      <c r="V55" s="179"/>
      <c r="W55" s="180" t="s">
        <v>71</v>
      </c>
      <c r="X55" s="863">
        <f>I56</f>
        <v>221179.83999999997</v>
      </c>
      <c r="Y55" s="863"/>
    </row>
    <row r="56" spans="1:25" ht="16.5" customHeight="1" x14ac:dyDescent="0.25">
      <c r="A56" s="827" t="s">
        <v>70</v>
      </c>
      <c r="B56" s="827"/>
      <c r="C56" s="51"/>
      <c r="D56" s="51"/>
      <c r="E56" s="48">
        <f>G33</f>
        <v>525.5009</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2.3760000000000001E-3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522.78</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2.9220000000000001E-3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522.78</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2.5200000000000001E-3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522.78</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2.9269999999999999E-3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2.5200000000000001E-3</v>
      </c>
      <c r="J68" s="132">
        <f>ROUND(G68*I68,2)</f>
        <v>114986.57</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2.516E-3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2.9269999999999999E-3</v>
      </c>
      <c r="J71" s="132">
        <f>ROUND(G71*I71,2)</f>
        <v>55419.99</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2.9220000000000001E-3</v>
      </c>
      <c r="J72" s="132">
        <f>ROUND(G72*I72,2)</f>
        <v>33018.639999999999</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v>16.399999999999999</v>
      </c>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16.399999999999999</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1.271E-3</v>
      </c>
      <c r="J84" s="62">
        <f>ROUND(G84*I84,2)</f>
        <v>74357.05</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2.3760000000000001E-3</v>
      </c>
      <c r="J85" s="132">
        <f>ROUND(G85*I85,2)</f>
        <v>638707.48</v>
      </c>
      <c r="K85" s="70"/>
      <c r="L85" s="70"/>
      <c r="M85" s="71"/>
      <c r="N85" s="70"/>
      <c r="O85" s="70"/>
      <c r="P85" s="70"/>
      <c r="Q85" s="70"/>
      <c r="R85" s="739" t="s">
        <v>168</v>
      </c>
      <c r="S85" s="739"/>
      <c r="T85" s="739"/>
      <c r="U85" s="163"/>
      <c r="V85" s="165">
        <f>G85</f>
        <v>268816278</v>
      </c>
      <c r="W85" s="167" t="s">
        <v>81</v>
      </c>
      <c r="X85" s="170">
        <f>X56</f>
        <v>0</v>
      </c>
      <c r="Y85" s="217">
        <f>ROUND(V85*X85,2)</f>
        <v>0</v>
      </c>
    </row>
    <row r="86" spans="1:26" ht="14.25" customHeight="1" x14ac:dyDescent="0.25">
      <c r="A86" s="820" t="s">
        <v>104</v>
      </c>
      <c r="B86" s="820"/>
      <c r="C86" s="820"/>
      <c r="D86" s="820"/>
      <c r="E86" s="820"/>
      <c r="F86" s="36" t="s">
        <v>103</v>
      </c>
      <c r="G86" s="133">
        <v>0</v>
      </c>
      <c r="H86" s="37" t="s">
        <v>81</v>
      </c>
      <c r="I86" s="41">
        <f>I57</f>
        <v>2.3760000000000001E-3</v>
      </c>
      <c r="J86" s="132">
        <f>ROUND(G86*I86,2)</f>
        <v>0</v>
      </c>
      <c r="K86" s="70"/>
      <c r="L86" s="71"/>
      <c r="M86" s="76"/>
      <c r="N86" s="76"/>
      <c r="O86" s="76"/>
      <c r="P86" s="76"/>
      <c r="Q86" s="70"/>
      <c r="R86" s="739" t="s">
        <v>169</v>
      </c>
      <c r="S86" s="739"/>
      <c r="T86" s="739"/>
      <c r="U86" s="163"/>
      <c r="V86" s="197">
        <f>G86</f>
        <v>0</v>
      </c>
      <c r="W86" s="167" t="s">
        <v>81</v>
      </c>
      <c r="X86" s="170">
        <f>X56</f>
        <v>0</v>
      </c>
      <c r="Y86" s="217">
        <f t="shared" ref="Y86:Y87" si="12">ROUND(V86*X86,2)</f>
        <v>0</v>
      </c>
    </row>
    <row r="87" spans="1:26" ht="18" customHeight="1" x14ac:dyDescent="0.25">
      <c r="A87" s="820" t="s">
        <v>105</v>
      </c>
      <c r="B87" s="820"/>
      <c r="C87" s="820"/>
      <c r="D87" s="820"/>
      <c r="E87" s="820"/>
      <c r="F87" s="36" t="s">
        <v>84</v>
      </c>
      <c r="G87" s="133">
        <v>0</v>
      </c>
      <c r="H87" s="37" t="s">
        <v>81</v>
      </c>
      <c r="I87" s="41">
        <f>I54</f>
        <v>2.516E-3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51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525.5009</v>
      </c>
      <c r="C91" s="80"/>
      <c r="D91" s="894">
        <f>I6</f>
        <v>1.0355000000000001</v>
      </c>
      <c r="E91" s="894"/>
      <c r="F91" s="894"/>
      <c r="G91" s="117">
        <f>Consolidated!F$119</f>
        <v>915.09</v>
      </c>
      <c r="H91" s="47" t="s">
        <v>68</v>
      </c>
      <c r="I91" s="515">
        <f>ROUND(B91*D91*G91,2)</f>
        <v>497951.88</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525.5009</v>
      </c>
      <c r="C93" s="80"/>
      <c r="D93" s="80"/>
      <c r="E93" s="846" t="s">
        <v>112</v>
      </c>
      <c r="F93" s="846"/>
      <c r="G93" s="846"/>
      <c r="H93" s="846"/>
      <c r="I93" s="846"/>
      <c r="J93" s="121">
        <f>IF(A1=75,0,I92+I91+I90)</f>
        <v>497951.88</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350</v>
      </c>
      <c r="D97" s="228">
        <v>0</v>
      </c>
      <c r="E97" s="913">
        <f>(C97+D97)</f>
        <v>350</v>
      </c>
      <c r="F97" s="850"/>
      <c r="G97" s="850"/>
      <c r="H97" s="85" t="s">
        <v>117</v>
      </c>
      <c r="I97" s="124">
        <f>Consolidated!G$127</f>
        <v>586</v>
      </c>
      <c r="J97" s="132">
        <f>ROUND(I97*E97,2)</f>
        <v>205100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4634623.43</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4421909.26</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237" t="s">
        <v>431</v>
      </c>
      <c r="I114" s="238">
        <f>IF(I111=1,J111,J109)</f>
        <v>4421909.26</v>
      </c>
      <c r="J114" s="239">
        <f>ROUND(IF(E28=0,0,IF(E28&gt;250,-(((250/E28)*I114)*IF(H114="H",0.02,0.05)),IF(H114="H",-0.02*I114,-0.05*I114))),2)</f>
        <v>-42292.26</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4592331.17</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Payments'!R98</f>
        <v>-3828266.1</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764065.06999999983</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382032.54</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ROUND(IF(H114="H",(I114*0.02)+J114,(I114*0.05)+J114),2)</f>
        <v>46145.93</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1D735-08D2-4D51-8DA8-3092C94DB3C7}">
  <dimension ref="A1:Z207"/>
  <sheetViews>
    <sheetView topLeftCell="A107" workbookViewId="0">
      <selection activeCell="A119" sqref="A119"/>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455</v>
      </c>
      <c r="B2" s="101"/>
      <c r="C2" s="101"/>
      <c r="D2" s="101"/>
      <c r="E2" s="6"/>
      <c r="F2" s="6"/>
      <c r="G2" s="6"/>
      <c r="H2" s="6"/>
      <c r="I2" s="686" t="str">
        <f>RIGHT(A2,4)</f>
        <v>3924</v>
      </c>
      <c r="J2" s="6"/>
      <c r="K2" s="6"/>
      <c r="L2" s="6"/>
      <c r="M2" s="6"/>
      <c r="N2" s="6"/>
      <c r="O2" s="6"/>
      <c r="P2" s="6"/>
      <c r="Q2" s="6"/>
      <c r="R2" s="898" t="str">
        <f>Revenue_Estimate_Worksheet_for___________Charter_School</f>
        <v>Revenue Estimate Worksheet: Palm Beach Maritime Academy Secondary - 3924</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95.58</v>
      </c>
      <c r="D14" s="357">
        <f>SUMIFS(CountData!J:J,CountData!H:H,$I$2,CountData!I:I,$O14)</f>
        <v>92.91</v>
      </c>
      <c r="E14" s="812">
        <f t="shared" si="0"/>
        <v>188.49</v>
      </c>
      <c r="F14" s="812"/>
      <c r="G14" s="813">
        <f>Consolidated!$F16</f>
        <v>1</v>
      </c>
      <c r="H14" s="813">
        <f>Consolidated!$H$9</f>
        <v>1</v>
      </c>
      <c r="I14" s="517">
        <f t="shared" si="3"/>
        <v>188.49</v>
      </c>
      <c r="J14" s="518">
        <f>ROUND(ROUND(ROUND(I14*$E$6,4)*($I$6),2)*(MAX($I$7,1)),2)</f>
        <v>1048631.56</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27.52</v>
      </c>
      <c r="D15" s="357">
        <f>SUMIFS(CountData!J:J,CountData!H:H,$I$2,CountData!I:I,$O15)</f>
        <v>26</v>
      </c>
      <c r="E15" s="812">
        <f t="shared" si="0"/>
        <v>53.519999999999996</v>
      </c>
      <c r="F15" s="812"/>
      <c r="G15" s="813">
        <f>Consolidated!$F17</f>
        <v>1</v>
      </c>
      <c r="H15" s="813">
        <f>Consolidated!$H$9</f>
        <v>1</v>
      </c>
      <c r="I15" s="517">
        <f t="shared" si="3"/>
        <v>53.52</v>
      </c>
      <c r="J15" s="518">
        <f t="shared" si="1"/>
        <v>297749.28000000003</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55.36</v>
      </c>
      <c r="D16" s="357">
        <f>SUMIFS(CountData!J:J,CountData!H:H,$I$2,CountData!I:I,$O16)</f>
        <v>56.72</v>
      </c>
      <c r="E16" s="812">
        <f t="shared" si="0"/>
        <v>112.08</v>
      </c>
      <c r="F16" s="812"/>
      <c r="G16" s="813">
        <f>Consolidated!$F18</f>
        <v>0.97199999999999998</v>
      </c>
      <c r="H16" s="813">
        <f>Consolidated!$H$9</f>
        <v>1</v>
      </c>
      <c r="I16" s="517">
        <f t="shared" si="3"/>
        <v>108.9418</v>
      </c>
      <c r="J16" s="518">
        <f t="shared" si="1"/>
        <v>606078.89</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11.54</v>
      </c>
      <c r="D17" s="357">
        <f>SUMIFS(CountData!J:J,CountData!H:H,$I$2,CountData!I:I,$O17)</f>
        <v>10.97</v>
      </c>
      <c r="E17" s="812">
        <f t="shared" si="0"/>
        <v>22.509999999999998</v>
      </c>
      <c r="F17" s="812"/>
      <c r="G17" s="813">
        <f>Consolidated!$F19</f>
        <v>0.97199999999999998</v>
      </c>
      <c r="H17" s="813">
        <f>Consolidated!$H$9</f>
        <v>1</v>
      </c>
      <c r="I17" s="517">
        <f t="shared" si="3"/>
        <v>21.8797</v>
      </c>
      <c r="J17" s="518">
        <f t="shared" si="1"/>
        <v>121723.93</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14.37</v>
      </c>
      <c r="D25" s="357">
        <f>SUMIFS(CountData!J:J,CountData!H:H,$I$2,CountData!I:I,$O25)</f>
        <v>14.63</v>
      </c>
      <c r="E25" s="812">
        <f t="shared" si="0"/>
        <v>29</v>
      </c>
      <c r="F25" s="812"/>
      <c r="G25" s="813">
        <f>Consolidated!$F27</f>
        <v>1.165</v>
      </c>
      <c r="H25" s="813">
        <f>Consolidated!$H$9</f>
        <v>1</v>
      </c>
      <c r="I25" s="517">
        <f t="shared" si="3"/>
        <v>33.784999999999997</v>
      </c>
      <c r="J25" s="518">
        <f t="shared" si="1"/>
        <v>187957.01</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0.78</v>
      </c>
      <c r="D27" s="358">
        <f>SUMIFS(CountData!J:J,CountData!H:H,$I$2,CountData!I:I,$O27)</f>
        <v>0.79</v>
      </c>
      <c r="E27" s="814">
        <f t="shared" si="0"/>
        <v>1.57</v>
      </c>
      <c r="F27" s="814"/>
      <c r="G27" s="815">
        <f>Consolidated!$F29</f>
        <v>1.081</v>
      </c>
      <c r="H27" s="815">
        <f>Consolidated!$H$9</f>
        <v>1</v>
      </c>
      <c r="I27" s="22">
        <f t="shared" si="3"/>
        <v>1.6972</v>
      </c>
      <c r="J27" s="121">
        <f t="shared" si="1"/>
        <v>9442.08</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205.14999999999998</v>
      </c>
      <c r="D28" s="720">
        <f>SUM(D12:D27)</f>
        <v>202.01999999999998</v>
      </c>
      <c r="E28" s="817">
        <f>SUM(E12:E27)</f>
        <v>407.16999999999996</v>
      </c>
      <c r="F28" s="817"/>
      <c r="G28" s="812"/>
      <c r="H28" s="812"/>
      <c r="I28" s="23">
        <f>SUM(I12:I27)</f>
        <v>408.3137000000001</v>
      </c>
      <c r="J28" s="121">
        <f>SUM(J12:J27)</f>
        <v>2271582.75</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408.3137000000001</v>
      </c>
      <c r="H33" s="812" t="s">
        <v>45</v>
      </c>
      <c r="I33" s="812"/>
      <c r="J33" s="32">
        <f>SUM(J32,J28)</f>
        <v>2271582.75</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2459765.64</v>
      </c>
      <c r="H36" s="37" t="s">
        <v>49</v>
      </c>
      <c r="I36" s="38">
        <v>6.6699999999999995E-2</v>
      </c>
      <c r="J36" s="125">
        <f>ROUND(G36*I36,2)</f>
        <v>164066.37</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2459765.64</v>
      </c>
      <c r="H37" s="37" t="s">
        <v>49</v>
      </c>
      <c r="I37" s="38">
        <v>5.4000000000000003E-3</v>
      </c>
      <c r="J37" s="125">
        <f>ROUND(G37*I37,2)</f>
        <v>13282.73</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177349.1</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46">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46">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x14ac:dyDescent="0.25">
      <c r="A44" s="825"/>
      <c r="B44" s="825"/>
      <c r="C44" s="357">
        <v>25.42</v>
      </c>
      <c r="D44" s="357">
        <v>0</v>
      </c>
      <c r="E44" s="826">
        <f t="shared" si="8"/>
        <v>50.84</v>
      </c>
      <c r="F44" s="826"/>
      <c r="G44" s="47" t="s">
        <v>60</v>
      </c>
      <c r="H44" s="37">
        <v>251</v>
      </c>
      <c r="I44" s="130">
        <f>Consolidated!$H62</f>
        <v>1173</v>
      </c>
      <c r="J44" s="131">
        <f t="shared" si="9"/>
        <v>59635.32</v>
      </c>
      <c r="L44" s="3"/>
      <c r="M44" s="2"/>
      <c r="Q44" s="4"/>
      <c r="R44" s="885"/>
      <c r="S44" s="885"/>
      <c r="T44" s="867"/>
      <c r="U44" s="867"/>
      <c r="V44" s="176" t="s">
        <v>60</v>
      </c>
      <c r="W44" s="167">
        <v>251</v>
      </c>
      <c r="X44" s="128">
        <f>Consolidated!$H62</f>
        <v>1173</v>
      </c>
      <c r="Y44" s="218">
        <f t="shared" si="10"/>
        <v>0</v>
      </c>
    </row>
    <row r="45" spans="1:25" x14ac:dyDescent="0.25">
      <c r="A45" s="825"/>
      <c r="B45" s="825"/>
      <c r="C45" s="357">
        <v>2.08</v>
      </c>
      <c r="D45" s="357">
        <v>0</v>
      </c>
      <c r="E45" s="826">
        <f t="shared" si="8"/>
        <v>4.16</v>
      </c>
      <c r="F45" s="826"/>
      <c r="G45" s="47" t="s">
        <v>60</v>
      </c>
      <c r="H45" s="37">
        <v>252</v>
      </c>
      <c r="I45" s="130">
        <f>Consolidated!$H63</f>
        <v>3506</v>
      </c>
      <c r="J45" s="46">
        <f t="shared" si="9"/>
        <v>14584.96</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10.98</v>
      </c>
      <c r="D47" s="357">
        <v>0</v>
      </c>
      <c r="E47" s="826">
        <f t="shared" si="8"/>
        <v>21.96</v>
      </c>
      <c r="F47" s="826"/>
      <c r="G47" s="47" t="s">
        <v>61</v>
      </c>
      <c r="H47" s="37">
        <v>251</v>
      </c>
      <c r="I47" s="130">
        <f>Consolidated!$H65</f>
        <v>835</v>
      </c>
      <c r="J47" s="46">
        <f t="shared" si="9"/>
        <v>18336.599999999999</v>
      </c>
      <c r="M47" s="2"/>
      <c r="R47" s="885"/>
      <c r="S47" s="885"/>
      <c r="T47" s="867"/>
      <c r="U47" s="867"/>
      <c r="V47" s="176" t="s">
        <v>61</v>
      </c>
      <c r="W47" s="167">
        <v>251</v>
      </c>
      <c r="X47" s="128">
        <f>Consolidated!$H65</f>
        <v>835</v>
      </c>
      <c r="Y47" s="218">
        <f t="shared" si="10"/>
        <v>0</v>
      </c>
    </row>
    <row r="48" spans="1:25" ht="15.75" customHeight="1" x14ac:dyDescent="0.25">
      <c r="A48" s="825"/>
      <c r="B48" s="825"/>
      <c r="C48" s="357">
        <v>0.52</v>
      </c>
      <c r="D48" s="357">
        <v>0</v>
      </c>
      <c r="E48" s="826">
        <f t="shared" si="8"/>
        <v>1.04</v>
      </c>
      <c r="F48" s="826"/>
      <c r="G48" s="47" t="s">
        <v>61</v>
      </c>
      <c r="H48" s="37">
        <v>252</v>
      </c>
      <c r="I48" s="130">
        <f>Consolidated!$H66</f>
        <v>3168</v>
      </c>
      <c r="J48" s="46">
        <f t="shared" si="9"/>
        <v>3294.72</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39.000000000000007</v>
      </c>
      <c r="D50" s="524">
        <f>SUM(D41:D49)</f>
        <v>0</v>
      </c>
      <c r="E50" s="832">
        <f>SUM(E41:E49)</f>
        <v>78.000000000000014</v>
      </c>
      <c r="F50" s="832"/>
      <c r="G50" s="818" t="s">
        <v>63</v>
      </c>
      <c r="H50" s="818"/>
      <c r="I50" s="818"/>
      <c r="J50" s="225">
        <f>SUM(J41:J49)</f>
        <v>95851.6</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407.16999999999996</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1.9599999999999999E-3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v>0</v>
      </c>
      <c r="U55" s="178" t="s">
        <v>66</v>
      </c>
      <c r="V55" s="179"/>
      <c r="W55" s="180" t="s">
        <v>71</v>
      </c>
      <c r="X55" s="863">
        <f>I56</f>
        <v>221179.83999999997</v>
      </c>
      <c r="Y55" s="863"/>
    </row>
    <row r="56" spans="1:25" ht="16.5" customHeight="1" x14ac:dyDescent="0.25">
      <c r="A56" s="827" t="s">
        <v>70</v>
      </c>
      <c r="B56" s="827"/>
      <c r="C56" s="51"/>
      <c r="D56" s="51"/>
      <c r="E56" s="48">
        <f>G33</f>
        <v>408.3137000000001</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1.846E-3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407.16999999999996</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2.2759999999999998E-3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407.16999999999996</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1.9629999999999999E-3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407.16999999999996</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2.2799999999999999E-3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1.9629999999999999E-3</v>
      </c>
      <c r="J68" s="132">
        <f>ROUND(G68*I68,2)</f>
        <v>89570.89</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1.9599999999999999E-3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2.2799999999999999E-3</v>
      </c>
      <c r="J71" s="132">
        <f>ROUND(G71*I71,2)</f>
        <v>43169.65</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2.2759999999999998E-3</v>
      </c>
      <c r="J72" s="132">
        <f>ROUND(G72*I72,2)</f>
        <v>25718.83</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v>1.44</v>
      </c>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v>0</v>
      </c>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v>0.16</v>
      </c>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1.5999999999999999</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1.2400000000000001E-4</v>
      </c>
      <c r="J84" s="656">
        <f>ROUND(G84*I84,2)</f>
        <v>7254.35</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1.846E-3</v>
      </c>
      <c r="J85" s="656">
        <f>ROUND(G85*I85,2)</f>
        <v>496234.85</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1.846E-3</v>
      </c>
      <c r="J86" s="656">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1.9599999999999999E-3</v>
      </c>
      <c r="J87" s="656">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51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275.79500000000002</v>
      </c>
      <c r="C91" s="80"/>
      <c r="D91" s="894">
        <f>I6</f>
        <v>1.0355000000000001</v>
      </c>
      <c r="E91" s="894"/>
      <c r="F91" s="894"/>
      <c r="G91" s="117">
        <f>Consolidated!F$119</f>
        <v>915.09</v>
      </c>
      <c r="H91" s="47" t="s">
        <v>68</v>
      </c>
      <c r="I91" s="515">
        <f>ROUND(B91*D91*G91,2)</f>
        <v>261336.64</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132.51870000000002</v>
      </c>
      <c r="C92" s="80"/>
      <c r="D92" s="894">
        <f>I6</f>
        <v>1.0355000000000001</v>
      </c>
      <c r="E92" s="894"/>
      <c r="F92" s="894"/>
      <c r="G92" s="117">
        <f>Consolidated!F$120</f>
        <v>917.3</v>
      </c>
      <c r="H92" s="47" t="s">
        <v>68</v>
      </c>
      <c r="I92" s="515">
        <f>ROUND(B92*D92*G92,2)</f>
        <v>125874.76</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408.31370000000004</v>
      </c>
      <c r="C93" s="80"/>
      <c r="D93" s="80"/>
      <c r="E93" s="846" t="s">
        <v>112</v>
      </c>
      <c r="F93" s="846"/>
      <c r="G93" s="846"/>
      <c r="H93" s="846"/>
      <c r="I93" s="846"/>
      <c r="J93" s="121">
        <f>IF(A1=75,0,I92+I91+I90)</f>
        <v>387211.4</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237</v>
      </c>
      <c r="D97" s="228">
        <v>0</v>
      </c>
      <c r="E97" s="913">
        <f>(C97+D97)</f>
        <v>237</v>
      </c>
      <c r="F97" s="850"/>
      <c r="G97" s="850"/>
      <c r="H97" s="85" t="s">
        <v>117</v>
      </c>
      <c r="I97" s="124">
        <f>Consolidated!G$127</f>
        <v>586</v>
      </c>
      <c r="J97" s="132">
        <f>ROUND(I97*E97,2)</f>
        <v>138882</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3555476.3200000003</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3378127.22</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237"/>
      <c r="I114" s="238">
        <f>IF(I111=1,J111,J109)</f>
        <v>3378127.22</v>
      </c>
      <c r="J114" s="239">
        <f>ROUND(IF(E28=0,0,IF(E28&gt;250,-(((250/E28)*I114)*IF(H114="H",0.02,0.05)),IF(H114="H",-0.02*I114,-0.05*I114))),2)</f>
        <v>-103707.52</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3451768.8000000003</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Payments'!R99</f>
        <v>-2942972.39</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508796.41000000015</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254398.21</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ROUND(IF(H114="H",(I114*0.02)+J114,(I114*0.05)+J114),2)</f>
        <v>65198.84</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D8974-23AA-4E42-A270-45138934B444}">
  <dimension ref="A1:Z207"/>
  <sheetViews>
    <sheetView topLeftCell="A106" zoomScale="90" zoomScaleNormal="90" workbookViewId="0">
      <selection activeCell="A111" sqref="A111:H11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456</v>
      </c>
      <c r="B2" s="101"/>
      <c r="C2" s="101"/>
      <c r="D2" s="101"/>
      <c r="E2" s="6"/>
      <c r="F2" s="6"/>
      <c r="G2" s="6"/>
      <c r="H2" s="6"/>
      <c r="I2" s="686" t="str">
        <f>RIGHT(A2,4)</f>
        <v>3941</v>
      </c>
      <c r="J2" s="6"/>
      <c r="K2" s="6"/>
      <c r="L2" s="6"/>
      <c r="M2" s="6"/>
      <c r="N2" s="6"/>
      <c r="O2" s="6"/>
      <c r="P2" s="6"/>
      <c r="Q2" s="6"/>
      <c r="R2" s="898" t="str">
        <f>Revenue_Estimate_Worksheet_for___________Charter_School</f>
        <v>Revenue Estimate Worksheet: Ben Gamla Charter School - 3941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55.05</v>
      </c>
      <c r="D12" s="719">
        <f>SUMIFS(CountData!J:J,CountData!H:H,$I$2,CountData!I:I,$O12)</f>
        <v>52</v>
      </c>
      <c r="E12" s="804">
        <f t="shared" ref="E12:E27" si="0">IF($D$28=0,C12*2,C12+D12)</f>
        <v>107.05</v>
      </c>
      <c r="F12" s="804"/>
      <c r="G12" s="805">
        <f>Consolidated!$F14</f>
        <v>1.1080000000000001</v>
      </c>
      <c r="H12" s="805">
        <f>Consolidated!$H$9</f>
        <v>1</v>
      </c>
      <c r="I12" s="517">
        <f>ROUND(E12*G12,4)</f>
        <v>118.6114</v>
      </c>
      <c r="J12" s="518">
        <f t="shared" ref="J12:J27" si="1">ROUND(ROUND(ROUND(I12*$E$6,4)*($I$6),2)*(MAX($I$7,1)),2)</f>
        <v>659874.04</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10.51</v>
      </c>
      <c r="D13" s="357">
        <f>SUMIFS(CountData!J:J,CountData!H:H,$I$2,CountData!I:I,$O13)</f>
        <v>11.01</v>
      </c>
      <c r="E13" s="812">
        <f t="shared" si="0"/>
        <v>21.52</v>
      </c>
      <c r="F13" s="812"/>
      <c r="G13" s="813">
        <f>Consolidated!$F15</f>
        <v>1.1080000000000001</v>
      </c>
      <c r="H13" s="813">
        <f>Consolidated!$H$9</f>
        <v>1</v>
      </c>
      <c r="I13" s="517">
        <f t="shared" ref="I13:I27" si="3">ROUND(E13*G13,4)</f>
        <v>23.844200000000001</v>
      </c>
      <c r="J13" s="518">
        <f t="shared" si="1"/>
        <v>132653.09</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29.57</v>
      </c>
      <c r="D14" s="357">
        <f>SUMIFS(CountData!J:J,CountData!H:H,$I$2,CountData!I:I,$O14)</f>
        <v>29.56</v>
      </c>
      <c r="E14" s="812">
        <f t="shared" si="0"/>
        <v>59.129999999999995</v>
      </c>
      <c r="F14" s="812"/>
      <c r="G14" s="813">
        <f>Consolidated!$F16</f>
        <v>1</v>
      </c>
      <c r="H14" s="813">
        <f>Consolidated!$H$9</f>
        <v>1</v>
      </c>
      <c r="I14" s="517">
        <f t="shared" si="3"/>
        <v>59.13</v>
      </c>
      <c r="J14" s="518">
        <f>ROUND(ROUND(ROUND(I14*$E$6,4)*($I$6),2)*(MAX($I$7,1)),2)</f>
        <v>328959.53999999998</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6.03</v>
      </c>
      <c r="D15" s="357">
        <f>SUMIFS(CountData!J:J,CountData!H:H,$I$2,CountData!I:I,$O15)</f>
        <v>5.52</v>
      </c>
      <c r="E15" s="812">
        <f t="shared" si="0"/>
        <v>11.55</v>
      </c>
      <c r="F15" s="812"/>
      <c r="G15" s="813">
        <f>Consolidated!$F17</f>
        <v>1</v>
      </c>
      <c r="H15" s="813">
        <f>Consolidated!$H$9</f>
        <v>1</v>
      </c>
      <c r="I15" s="517">
        <f t="shared" si="3"/>
        <v>11.55</v>
      </c>
      <c r="J15" s="518">
        <f t="shared" si="1"/>
        <v>64256.43</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254</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255</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12.98</v>
      </c>
      <c r="D24" s="357">
        <f>SUMIFS(CountData!J:J,CountData!H:H,$I$2,CountData!I:I,$O24)</f>
        <v>12.21</v>
      </c>
      <c r="E24" s="812">
        <f t="shared" si="0"/>
        <v>25.19</v>
      </c>
      <c r="F24" s="812"/>
      <c r="G24" s="813">
        <f>Consolidated!$F26</f>
        <v>1.165</v>
      </c>
      <c r="H24" s="813">
        <f>Consolidated!$H$9</f>
        <v>1</v>
      </c>
      <c r="I24" s="517">
        <f t="shared" si="3"/>
        <v>29.346399999999999</v>
      </c>
      <c r="J24" s="518">
        <f t="shared" si="1"/>
        <v>163263.63</v>
      </c>
      <c r="M24" s="2"/>
      <c r="O24" s="2" t="str">
        <f>IF(O$7="E",LEFT(R$24,3),"")</f>
        <v>130</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114.14</v>
      </c>
      <c r="D28" s="720">
        <f>SUM(D12:D27)</f>
        <v>110.29999999999998</v>
      </c>
      <c r="E28" s="817">
        <f>SUM(E12:E27)</f>
        <v>224.44</v>
      </c>
      <c r="F28" s="817"/>
      <c r="G28" s="812"/>
      <c r="H28" s="812"/>
      <c r="I28" s="23">
        <f>SUM(I12:I27)</f>
        <v>242.482</v>
      </c>
      <c r="J28" s="121">
        <f>SUM(J12:J27)</f>
        <v>1349006.73</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242.482</v>
      </c>
      <c r="H33" s="812" t="s">
        <v>45</v>
      </c>
      <c r="I33" s="812"/>
      <c r="J33" s="32">
        <f>SUM(J32,J28)</f>
        <v>1349006.73</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1381017</v>
      </c>
      <c r="H36" s="37" t="s">
        <v>49</v>
      </c>
      <c r="I36" s="38">
        <v>6.6699999999999995E-2</v>
      </c>
      <c r="J36" s="125">
        <f>ROUND(G36*I36,2)</f>
        <v>92113.83</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1381017</v>
      </c>
      <c r="H37" s="37" t="s">
        <v>49</v>
      </c>
      <c r="I37" s="38">
        <v>5.4000000000000003E-3</v>
      </c>
      <c r="J37" s="125">
        <f>ROUND(G37*I37,2)</f>
        <v>7457.49</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99571.32</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8</v>
      </c>
      <c r="D41" s="357">
        <v>0</v>
      </c>
      <c r="E41" s="826">
        <f t="shared" ref="E41:E49" si="8">IF($D$50=0,C41*2,C41+D41)</f>
        <v>16</v>
      </c>
      <c r="F41" s="826"/>
      <c r="G41" s="37" t="s">
        <v>59</v>
      </c>
      <c r="H41" s="37">
        <v>251</v>
      </c>
      <c r="I41" s="130">
        <f>Consolidated!$H59</f>
        <v>1047</v>
      </c>
      <c r="J41" s="515">
        <f t="shared" ref="J41:J49" si="9">ROUND(E41*I41,2)</f>
        <v>16752</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2.5</v>
      </c>
      <c r="D42" s="357">
        <v>0</v>
      </c>
      <c r="E42" s="826">
        <f t="shared" si="8"/>
        <v>5</v>
      </c>
      <c r="F42" s="826"/>
      <c r="G42" s="37" t="s">
        <v>59</v>
      </c>
      <c r="H42" s="37">
        <v>252</v>
      </c>
      <c r="I42" s="130">
        <f>Consolidated!$H60</f>
        <v>3380</v>
      </c>
      <c r="J42" s="515">
        <f t="shared" si="9"/>
        <v>16900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515">
        <f t="shared" si="9"/>
        <v>0</v>
      </c>
      <c r="M43" s="2"/>
      <c r="R43" s="885"/>
      <c r="S43" s="885"/>
      <c r="T43" s="867"/>
      <c r="U43" s="867"/>
      <c r="V43" s="167" t="s">
        <v>59</v>
      </c>
      <c r="W43" s="167">
        <v>253</v>
      </c>
      <c r="X43" s="128">
        <f>Consolidated!$H61</f>
        <v>6896</v>
      </c>
      <c r="Y43" s="218">
        <f t="shared" si="10"/>
        <v>0</v>
      </c>
    </row>
    <row r="44" spans="1:25" ht="20.25" customHeight="1" x14ac:dyDescent="0.25">
      <c r="A44" s="825"/>
      <c r="B44" s="825"/>
      <c r="C44" s="357">
        <v>4.5</v>
      </c>
      <c r="D44" s="357">
        <v>0</v>
      </c>
      <c r="E44" s="826">
        <f t="shared" si="8"/>
        <v>9</v>
      </c>
      <c r="F44" s="826"/>
      <c r="G44" s="47" t="s">
        <v>60</v>
      </c>
      <c r="H44" s="37">
        <v>251</v>
      </c>
      <c r="I44" s="130">
        <f>Consolidated!$H62</f>
        <v>1173</v>
      </c>
      <c r="J44" s="515">
        <f t="shared" si="9"/>
        <v>10557</v>
      </c>
      <c r="L44" s="3"/>
      <c r="M44" s="2"/>
      <c r="Q44" s="4"/>
      <c r="R44" s="885"/>
      <c r="S44" s="885"/>
      <c r="T44" s="867"/>
      <c r="U44" s="867"/>
      <c r="V44" s="176" t="s">
        <v>60</v>
      </c>
      <c r="W44" s="167">
        <v>251</v>
      </c>
      <c r="X44" s="128">
        <f>Consolidated!$H62</f>
        <v>1173</v>
      </c>
      <c r="Y44" s="218">
        <f t="shared" si="10"/>
        <v>0</v>
      </c>
    </row>
    <row r="45" spans="1:25" x14ac:dyDescent="0.25">
      <c r="A45" s="825"/>
      <c r="B45" s="825"/>
      <c r="C45" s="357">
        <v>1.5</v>
      </c>
      <c r="D45" s="357">
        <v>0</v>
      </c>
      <c r="E45" s="826">
        <f t="shared" si="8"/>
        <v>3</v>
      </c>
      <c r="F45" s="826"/>
      <c r="G45" s="47" t="s">
        <v>60</v>
      </c>
      <c r="H45" s="37">
        <v>252</v>
      </c>
      <c r="I45" s="130">
        <f>Consolidated!$H63</f>
        <v>3506</v>
      </c>
      <c r="J45" s="515">
        <f t="shared" si="9"/>
        <v>10518</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515">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515">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515">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8">
        <v>0</v>
      </c>
      <c r="D49" s="358">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16.5</v>
      </c>
      <c r="D50" s="524">
        <f>SUM(D41:D49)</f>
        <v>0</v>
      </c>
      <c r="E50" s="832">
        <f>SUM(E41:E49)</f>
        <v>33</v>
      </c>
      <c r="F50" s="832"/>
      <c r="G50" s="818" t="s">
        <v>63</v>
      </c>
      <c r="H50" s="818"/>
      <c r="I50" s="818"/>
      <c r="J50" s="225">
        <f>SUM(J41:J49)</f>
        <v>54727</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224.44</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1.08E-3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242.482</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1.096E-3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224.44</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1.2539999999999999E-3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224.44</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1.0820000000000001E-3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224.44</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1.2570000000000001E-3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1.0820000000000001E-3</v>
      </c>
      <c r="J68" s="132">
        <f>ROUND(G68*I68,2)</f>
        <v>49371.22</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1.08E-3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1.2570000000000001E-3</v>
      </c>
      <c r="J71" s="132">
        <f>ROUND(G71*I71,2)</f>
        <v>23800.11</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1.2539999999999999E-3</v>
      </c>
      <c r="J72" s="132">
        <f>ROUND(G72*I72,2)</f>
        <v>14170.22</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1.096E-3</v>
      </c>
      <c r="J85" s="132">
        <f>ROUND(G85*I85,2)</f>
        <v>294622.64</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1.096E-3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1.08E-3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171.80199999999999</v>
      </c>
      <c r="C90" s="80"/>
      <c r="D90" s="894">
        <f>I6</f>
        <v>1.0355000000000001</v>
      </c>
      <c r="E90" s="894"/>
      <c r="F90" s="894"/>
      <c r="G90" s="117">
        <f>Consolidated!F$118</f>
        <v>958.42</v>
      </c>
      <c r="H90" s="47" t="s">
        <v>68</v>
      </c>
      <c r="I90" s="515">
        <f>ROUND(B90*D90*G90,2)</f>
        <v>170503.85</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70.680000000000007</v>
      </c>
      <c r="C91" s="80"/>
      <c r="D91" s="894">
        <f>I6</f>
        <v>1.0355000000000001</v>
      </c>
      <c r="E91" s="894"/>
      <c r="F91" s="894"/>
      <c r="G91" s="117">
        <f>Consolidated!F$119</f>
        <v>915.09</v>
      </c>
      <c r="H91" s="47" t="s">
        <v>68</v>
      </c>
      <c r="I91" s="515">
        <f>ROUND(B91*D91*G91,2)</f>
        <v>66974.649999999994</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242.482</v>
      </c>
      <c r="C93" s="80"/>
      <c r="D93" s="80"/>
      <c r="E93" s="846" t="s">
        <v>112</v>
      </c>
      <c r="F93" s="846"/>
      <c r="G93" s="846"/>
      <c r="H93" s="846"/>
      <c r="I93" s="846"/>
      <c r="J93" s="121">
        <f>IF(A1=75,0,I92+I91+I90)</f>
        <v>237478.5</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0</v>
      </c>
      <c r="D97" s="228">
        <v>0</v>
      </c>
      <c r="E97" s="913">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2023176.42</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1923605.0999999999</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638" t="s">
        <v>431</v>
      </c>
      <c r="I114" s="639">
        <f>IF(I111=1,J111,J109)</f>
        <v>1923605.0999999999</v>
      </c>
      <c r="J114" s="640">
        <f>ROUND(IF(E28=0,0,IF(E28&gt;250,-(((250/E28)*I114)*IF(H114="H",0.02,0.05)),IF(H114="H",-0.02*I114,-0.05*I114))),2)</f>
        <v>-38472.1</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1984704.3199999998</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641"/>
      <c r="I118" s="642"/>
      <c r="J118" s="647">
        <f>-'Cumulative Payments'!R100</f>
        <v>-1680991.1400000001</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303713.1799999997</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151856.59</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ROUND(IF(H114="H",(I114*0.02)+J114,(I114*0.05)+J114),2)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EA032-7DA8-426C-94D0-052776C3AD89}">
  <sheetPr>
    <tabColor theme="0" tint="-0.34998626667073579"/>
  </sheetPr>
  <dimension ref="A1:Z207"/>
  <sheetViews>
    <sheetView topLeftCell="A107" workbookViewId="0">
      <selection activeCell="A111" sqref="A111:H11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457</v>
      </c>
      <c r="B2" s="101"/>
      <c r="C2" s="101"/>
      <c r="D2" s="101"/>
      <c r="E2" s="6"/>
      <c r="F2" s="6"/>
      <c r="G2" s="6"/>
      <c r="H2" s="6"/>
      <c r="I2" s="686" t="str">
        <f>RIGHT(A2,4)</f>
        <v>3961</v>
      </c>
      <c r="J2" s="660" t="s">
        <v>544</v>
      </c>
      <c r="K2" s="660"/>
      <c r="L2" s="6"/>
      <c r="M2" s="6"/>
      <c r="N2" s="6"/>
      <c r="O2" s="6"/>
      <c r="P2" s="6"/>
      <c r="Q2" s="6"/>
      <c r="R2" s="898" t="str">
        <f>Revenue_Estimate_Worksheet_for___________Charter_School</f>
        <v>Revenue Estimate Worksheet: Gardens School of Technology Arts - 3961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0</v>
      </c>
      <c r="D14" s="357">
        <f>SUMIFS(CountData!J:J,CountData!H:H,$I$2,CountData!I:I,$O14)</f>
        <v>0</v>
      </c>
      <c r="E14" s="812">
        <f t="shared" si="0"/>
        <v>0</v>
      </c>
      <c r="F14" s="812"/>
      <c r="G14" s="813">
        <f>Consolidated!$F16</f>
        <v>1</v>
      </c>
      <c r="H14" s="813">
        <f>Consolidated!$H$9</f>
        <v>1</v>
      </c>
      <c r="I14" s="517">
        <f t="shared" si="3"/>
        <v>0</v>
      </c>
      <c r="J14" s="518">
        <f>ROUND(ROUND(ROUND(I14*$E$6,4)*($I$6),2)*(MAX($I$7,1)),2)</f>
        <v>0</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0</v>
      </c>
      <c r="D15" s="357">
        <f>SUMIFS(CountData!J:J,CountData!H:H,$I$2,CountData!I:I,$O15)</f>
        <v>0</v>
      </c>
      <c r="E15" s="812">
        <f t="shared" si="0"/>
        <v>0</v>
      </c>
      <c r="F15" s="812"/>
      <c r="G15" s="813">
        <f>Consolidated!$F17</f>
        <v>1</v>
      </c>
      <c r="H15" s="813">
        <f>Consolidated!$H$9</f>
        <v>1</v>
      </c>
      <c r="I15" s="517">
        <f t="shared" si="3"/>
        <v>0</v>
      </c>
      <c r="J15" s="518">
        <f t="shared" si="1"/>
        <v>0</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254</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255</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130</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0</v>
      </c>
      <c r="D28" s="720">
        <f>SUM(D12:D27)</f>
        <v>0</v>
      </c>
      <c r="E28" s="817">
        <f>SUM(E12:E27)</f>
        <v>0</v>
      </c>
      <c r="F28" s="817"/>
      <c r="G28" s="812"/>
      <c r="H28" s="812"/>
      <c r="I28" s="23">
        <f>SUM(I12:I27)</f>
        <v>0</v>
      </c>
      <c r="J28" s="121">
        <f>SUM(J12:J27)</f>
        <v>0</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0</v>
      </c>
      <c r="H33" s="812" t="s">
        <v>45</v>
      </c>
      <c r="I33" s="812"/>
      <c r="J33" s="32">
        <f>SUM(J32,J28)</f>
        <v>0</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0</v>
      </c>
      <c r="H36" s="37" t="s">
        <v>49</v>
      </c>
      <c r="I36" s="38">
        <v>6.6699999999999995E-2</v>
      </c>
      <c r="J36" s="125">
        <f>ROUND(G36*I36,2)</f>
        <v>0</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0</v>
      </c>
      <c r="H37" s="37" t="s">
        <v>49</v>
      </c>
      <c r="I37" s="38">
        <v>5.4000000000000003E-3</v>
      </c>
      <c r="J37" s="125">
        <f>ROUND(G37*I37,2)</f>
        <v>0</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0</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46">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46">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ht="20.25" customHeight="1" x14ac:dyDescent="0.25">
      <c r="A44" s="825"/>
      <c r="B44" s="825"/>
      <c r="C44" s="357">
        <v>0</v>
      </c>
      <c r="D44" s="357">
        <v>0</v>
      </c>
      <c r="E44" s="826">
        <f t="shared" si="8"/>
        <v>0</v>
      </c>
      <c r="F44" s="826"/>
      <c r="G44" s="47" t="s">
        <v>60</v>
      </c>
      <c r="H44" s="37">
        <v>251</v>
      </c>
      <c r="I44" s="130">
        <f>Consolidated!$H62</f>
        <v>1173</v>
      </c>
      <c r="J44" s="131">
        <f t="shared" si="9"/>
        <v>0</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46">
        <f t="shared" si="9"/>
        <v>0</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46">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0</v>
      </c>
      <c r="D50" s="524">
        <f>SUM(D41:D49)</f>
        <v>0</v>
      </c>
      <c r="E50" s="832">
        <f>SUM(E41:E49)</f>
        <v>0</v>
      </c>
      <c r="F50" s="832"/>
      <c r="G50" s="818" t="s">
        <v>63</v>
      </c>
      <c r="H50" s="818"/>
      <c r="I50" s="818"/>
      <c r="J50" s="225">
        <f>SUM(J41:J49)</f>
        <v>0</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0</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0</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E56</f>
        <v>0</v>
      </c>
      <c r="U55" s="178" t="s">
        <v>66</v>
      </c>
      <c r="V55" s="179"/>
      <c r="W55" s="180" t="s">
        <v>71</v>
      </c>
      <c r="X55" s="863">
        <f>I56</f>
        <v>221179.83999999997</v>
      </c>
      <c r="Y55" s="863"/>
    </row>
    <row r="56" spans="1:25" ht="16.5" customHeight="1" x14ac:dyDescent="0.25">
      <c r="A56" s="827" t="s">
        <v>70</v>
      </c>
      <c r="B56" s="827"/>
      <c r="C56" s="51"/>
      <c r="D56" s="51"/>
      <c r="E56" s="48">
        <f>G33</f>
        <v>0</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0</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0</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0</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0</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0</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0</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0</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0</v>
      </c>
      <c r="J68" s="132">
        <f>ROUND(G68*I68,2)</f>
        <v>0</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0</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0</v>
      </c>
      <c r="J71" s="132">
        <f>ROUND(G71*I71,2)</f>
        <v>0</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0</v>
      </c>
      <c r="J72" s="132">
        <f>ROUND(G72*I72,2)</f>
        <v>0</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0</v>
      </c>
      <c r="J85" s="132">
        <f>ROUND(G85*I85,2)</f>
        <v>0</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0</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0</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13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0</v>
      </c>
      <c r="C91" s="80"/>
      <c r="D91" s="894">
        <f>I6</f>
        <v>1.0355000000000001</v>
      </c>
      <c r="E91" s="894"/>
      <c r="F91" s="894"/>
      <c r="G91" s="117">
        <f>Consolidated!F$119</f>
        <v>915.09</v>
      </c>
      <c r="H91" s="47" t="s">
        <v>68</v>
      </c>
      <c r="I91" s="134">
        <f>ROUND(B91*D91*G91,2)</f>
        <v>0</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0</v>
      </c>
      <c r="C93" s="80"/>
      <c r="D93" s="80"/>
      <c r="E93" s="846" t="s">
        <v>112</v>
      </c>
      <c r="F93" s="846"/>
      <c r="G93" s="846"/>
      <c r="H93" s="846"/>
      <c r="I93" s="846"/>
      <c r="J93" s="121">
        <f>IF(A1=75,0,I92+I91+I90)</f>
        <v>0</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0</v>
      </c>
      <c r="D97" s="228">
        <v>0</v>
      </c>
      <c r="E97" s="913">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0</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0</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237" t="s">
        <v>431</v>
      </c>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I114" s="238">
        <f>IF(I111=1,J111,J109)</f>
        <v>0</v>
      </c>
      <c r="J114" s="239">
        <f>ROUND(IF(E28=0,0,IF(E28&gt;250,-(((250/E28)*I114)*IF(H113="H",0.02,0.05)),IF(H113="H",-0.02*I114,-0.05*I114))),2)</f>
        <v>0</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0</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Payments'!R101</f>
        <v>0</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0</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0</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ROUND(IF(H113="H",(I114*0.02)+J114,(I114*0.05)+J114),2)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93E64-4DB6-4474-9207-57D94554FBEA}">
  <dimension ref="A1:Z207"/>
  <sheetViews>
    <sheetView topLeftCell="A107" workbookViewId="0">
      <selection activeCell="A111" sqref="A111:H11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458</v>
      </c>
      <c r="B2" s="101"/>
      <c r="C2" s="101"/>
      <c r="D2" s="101"/>
      <c r="E2" s="6"/>
      <c r="F2" s="6"/>
      <c r="G2" s="6"/>
      <c r="H2" s="6"/>
      <c r="I2" s="686" t="str">
        <f>RIGHT(A2,4)</f>
        <v>3971</v>
      </c>
      <c r="J2" s="6"/>
      <c r="K2" s="6"/>
      <c r="L2" s="6"/>
      <c r="M2" s="6"/>
      <c r="N2" s="6"/>
      <c r="O2" s="6"/>
      <c r="P2" s="6"/>
      <c r="Q2" s="6"/>
      <c r="R2" s="898" t="str">
        <f>Revenue_Estimate_Worksheet_for___________Charter_School</f>
        <v>Revenue Estimate Worksheet: Palm Beach Preparatory Charter Academy - 3971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0</v>
      </c>
      <c r="D14" s="357">
        <f>SUMIFS(CountData!J:J,CountData!H:H,$I$2,CountData!I:I,$O14)</f>
        <v>0</v>
      </c>
      <c r="E14" s="812">
        <f t="shared" si="0"/>
        <v>0</v>
      </c>
      <c r="F14" s="812"/>
      <c r="G14" s="813">
        <f>Consolidated!$F16</f>
        <v>1</v>
      </c>
      <c r="H14" s="813">
        <f>Consolidated!$H$9</f>
        <v>1</v>
      </c>
      <c r="I14" s="517">
        <f t="shared" si="3"/>
        <v>0</v>
      </c>
      <c r="J14" s="518">
        <f>ROUND(ROUND(ROUND(I14*$E$6,4)*($I$6),2)*(MAX($I$7,1)),2)</f>
        <v>0</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0</v>
      </c>
      <c r="D15" s="357">
        <f>SUMIFS(CountData!J:J,CountData!H:H,$I$2,CountData!I:I,$O15)</f>
        <v>0</v>
      </c>
      <c r="E15" s="812">
        <f t="shared" si="0"/>
        <v>0</v>
      </c>
      <c r="F15" s="812"/>
      <c r="G15" s="813">
        <f>Consolidated!$F17</f>
        <v>1</v>
      </c>
      <c r="H15" s="813">
        <f>Consolidated!$H$9</f>
        <v>1</v>
      </c>
      <c r="I15" s="517">
        <f t="shared" si="3"/>
        <v>0</v>
      </c>
      <c r="J15" s="518">
        <f t="shared" si="1"/>
        <v>0</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223.06</v>
      </c>
      <c r="D16" s="357">
        <f>SUMIFS(CountData!J:J,CountData!H:H,$I$2,CountData!I:I,$O16)</f>
        <v>229.33</v>
      </c>
      <c r="E16" s="812">
        <f t="shared" si="0"/>
        <v>452.39</v>
      </c>
      <c r="F16" s="812"/>
      <c r="G16" s="813">
        <f>Consolidated!$F18</f>
        <v>0.97199999999999998</v>
      </c>
      <c r="H16" s="813">
        <f>Consolidated!$H$9</f>
        <v>1</v>
      </c>
      <c r="I16" s="517">
        <f t="shared" si="3"/>
        <v>439.72309999999999</v>
      </c>
      <c r="J16" s="518">
        <f t="shared" si="1"/>
        <v>2446323.5299999998</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57.81</v>
      </c>
      <c r="D17" s="357">
        <f>SUMIFS(CountData!J:J,CountData!H:H,$I$2,CountData!I:I,$O17)</f>
        <v>68.64</v>
      </c>
      <c r="E17" s="812">
        <f t="shared" si="0"/>
        <v>126.45</v>
      </c>
      <c r="F17" s="812"/>
      <c r="G17" s="813">
        <f>Consolidated!$F19</f>
        <v>0.97199999999999998</v>
      </c>
      <c r="H17" s="813">
        <f>Consolidated!$H$9</f>
        <v>1</v>
      </c>
      <c r="I17" s="517">
        <f t="shared" si="3"/>
        <v>122.90940000000001</v>
      </c>
      <c r="J17" s="518">
        <f t="shared" si="1"/>
        <v>683785.22</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254</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255</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23.87</v>
      </c>
      <c r="D26" s="357">
        <f>SUMIFS(CountData!J:J,CountData!H:H,$I$2,CountData!I:I,$O26)</f>
        <v>24.66</v>
      </c>
      <c r="E26" s="812">
        <f t="shared" si="0"/>
        <v>48.53</v>
      </c>
      <c r="F26" s="812"/>
      <c r="G26" s="813">
        <f>Consolidated!$F28</f>
        <v>1.165</v>
      </c>
      <c r="H26" s="813">
        <f>Consolidated!$H$9</f>
        <v>1</v>
      </c>
      <c r="I26" s="517">
        <f t="shared" si="3"/>
        <v>56.537500000000001</v>
      </c>
      <c r="J26" s="518">
        <f t="shared" si="1"/>
        <v>314536.62</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304.74</v>
      </c>
      <c r="D28" s="720">
        <f>SUM(D12:D27)</f>
        <v>322.63000000000005</v>
      </c>
      <c r="E28" s="817">
        <f>SUM(E12:E27)</f>
        <v>627.37</v>
      </c>
      <c r="F28" s="817"/>
      <c r="G28" s="812"/>
      <c r="H28" s="812"/>
      <c r="I28" s="23">
        <f>SUM(I12:I27)</f>
        <v>619.16999999999996</v>
      </c>
      <c r="J28" s="121">
        <f>SUM(J12:J27)</f>
        <v>3444645.37</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619.16999999999996</v>
      </c>
      <c r="H33" s="812" t="s">
        <v>45</v>
      </c>
      <c r="I33" s="812"/>
      <c r="J33" s="32">
        <f>SUM(J32,J28)</f>
        <v>3444645.37</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3482820.36</v>
      </c>
      <c r="H36" s="37" t="s">
        <v>49</v>
      </c>
      <c r="I36" s="38">
        <v>6.6699999999999995E-2</v>
      </c>
      <c r="J36" s="125">
        <f>ROUND(G36*I36,2)</f>
        <v>232304.12</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3482820.36</v>
      </c>
      <c r="H37" s="37" t="s">
        <v>49</v>
      </c>
      <c r="I37" s="38">
        <v>5.4000000000000003E-3</v>
      </c>
      <c r="J37" s="125">
        <f>ROUND(G37*I37,2)</f>
        <v>18807.23</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251111.35</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515">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515">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515">
        <f t="shared" si="9"/>
        <v>0</v>
      </c>
      <c r="M43" s="2"/>
      <c r="R43" s="885"/>
      <c r="S43" s="885"/>
      <c r="T43" s="867"/>
      <c r="U43" s="867"/>
      <c r="V43" s="167" t="s">
        <v>59</v>
      </c>
      <c r="W43" s="167">
        <v>253</v>
      </c>
      <c r="X43" s="128">
        <f>Consolidated!$H61</f>
        <v>6896</v>
      </c>
      <c r="Y43" s="218">
        <f t="shared" si="10"/>
        <v>0</v>
      </c>
    </row>
    <row r="44" spans="1:25" ht="20.25" customHeight="1" x14ac:dyDescent="0.25">
      <c r="A44" s="825"/>
      <c r="B44" s="825"/>
      <c r="C44" s="357">
        <v>0</v>
      </c>
      <c r="D44" s="357">
        <v>0</v>
      </c>
      <c r="E44" s="826">
        <f t="shared" si="8"/>
        <v>0</v>
      </c>
      <c r="F44" s="826"/>
      <c r="G44" s="47" t="s">
        <v>60</v>
      </c>
      <c r="H44" s="37">
        <v>251</v>
      </c>
      <c r="I44" s="130">
        <f>Consolidated!$H62</f>
        <v>1173</v>
      </c>
      <c r="J44" s="515">
        <f t="shared" si="9"/>
        <v>0</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515">
        <f t="shared" si="9"/>
        <v>0</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515">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54.22</v>
      </c>
      <c r="D47" s="357">
        <v>0</v>
      </c>
      <c r="E47" s="826">
        <f t="shared" si="8"/>
        <v>108.44</v>
      </c>
      <c r="F47" s="826"/>
      <c r="G47" s="47" t="s">
        <v>61</v>
      </c>
      <c r="H47" s="37">
        <v>251</v>
      </c>
      <c r="I47" s="130">
        <f>Consolidated!$H65</f>
        <v>835</v>
      </c>
      <c r="J47" s="515">
        <f t="shared" si="9"/>
        <v>90547.4</v>
      </c>
      <c r="M47" s="2"/>
      <c r="R47" s="885"/>
      <c r="S47" s="885"/>
      <c r="T47" s="867"/>
      <c r="U47" s="867"/>
      <c r="V47" s="176" t="s">
        <v>61</v>
      </c>
      <c r="W47" s="167">
        <v>251</v>
      </c>
      <c r="X47" s="128">
        <f>Consolidated!$H65</f>
        <v>835</v>
      </c>
      <c r="Y47" s="218">
        <f t="shared" si="10"/>
        <v>0</v>
      </c>
    </row>
    <row r="48" spans="1:25" ht="15.75" customHeight="1" x14ac:dyDescent="0.25">
      <c r="A48" s="825"/>
      <c r="B48" s="825"/>
      <c r="C48" s="357">
        <v>3.5</v>
      </c>
      <c r="D48" s="357">
        <v>0</v>
      </c>
      <c r="E48" s="826">
        <f t="shared" si="8"/>
        <v>7</v>
      </c>
      <c r="F48" s="826"/>
      <c r="G48" s="47" t="s">
        <v>61</v>
      </c>
      <c r="H48" s="37">
        <v>252</v>
      </c>
      <c r="I48" s="130">
        <f>Consolidated!$H66</f>
        <v>3168</v>
      </c>
      <c r="J48" s="515">
        <f t="shared" si="9"/>
        <v>22176</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57.72</v>
      </c>
      <c r="D50" s="524">
        <f>SUM(D41:D49)</f>
        <v>0</v>
      </c>
      <c r="E50" s="832">
        <f>SUM(E41:E49)</f>
        <v>115.44</v>
      </c>
      <c r="F50" s="832"/>
      <c r="G50" s="818" t="s">
        <v>63</v>
      </c>
      <c r="H50" s="818"/>
      <c r="I50" s="818"/>
      <c r="J50" s="225">
        <f>SUM(J41:J49)</f>
        <v>112723.4</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627.37</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3.019E-3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619.16999999999996</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2.7989999999999998E-3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627.37</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3.506E-3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627.37</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3.0240000000000002E-3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627.37</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3.5119999999999999E-3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3.0240000000000002E-3</v>
      </c>
      <c r="J68" s="132">
        <f>ROUND(G68*I68,2)</f>
        <v>137983.89000000001</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3.019E-3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3.5119999999999999E-3</v>
      </c>
      <c r="J71" s="132">
        <f>ROUND(G71*I71,2)</f>
        <v>66496.41</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3.506E-3</v>
      </c>
      <c r="J72" s="132">
        <f>ROUND(G72*I72,2)</f>
        <v>39617.839999999997</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v>7</v>
      </c>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7</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5.4299999999999997E-4</v>
      </c>
      <c r="J84" s="62">
        <f>ROUND(G84*I84,2)</f>
        <v>31767.01</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2.7989999999999998E-3</v>
      </c>
      <c r="J85" s="132">
        <f>ROUND(G85*I85,2)</f>
        <v>752416.76</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2.7989999999999998E-3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3.019E-3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51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0</v>
      </c>
      <c r="C91" s="80"/>
      <c r="D91" s="894">
        <f>I6</f>
        <v>1.0355000000000001</v>
      </c>
      <c r="E91" s="894"/>
      <c r="F91" s="894"/>
      <c r="G91" s="117">
        <f>Consolidated!F$119</f>
        <v>915.09</v>
      </c>
      <c r="H91" s="47" t="s">
        <v>68</v>
      </c>
      <c r="I91" s="515">
        <f>ROUND(B91*D91*G91,2)</f>
        <v>0</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619.16999999999996</v>
      </c>
      <c r="C92" s="80"/>
      <c r="D92" s="894">
        <f>I6</f>
        <v>1.0355000000000001</v>
      </c>
      <c r="E92" s="894"/>
      <c r="F92" s="894"/>
      <c r="G92" s="117">
        <f>Consolidated!F$120</f>
        <v>917.3</v>
      </c>
      <c r="H92" s="47" t="s">
        <v>68</v>
      </c>
      <c r="I92" s="515">
        <f>ROUND(B92*D92*G92,2)</f>
        <v>588127.39</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619.16999999999996</v>
      </c>
      <c r="C93" s="80"/>
      <c r="D93" s="80"/>
      <c r="E93" s="846" t="s">
        <v>112</v>
      </c>
      <c r="F93" s="846"/>
      <c r="G93" s="846"/>
      <c r="H93" s="846"/>
      <c r="I93" s="846"/>
      <c r="J93" s="121">
        <f>IF(A1=75,0,I92+I91+I90)</f>
        <v>588127.39</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119</v>
      </c>
      <c r="D97" s="228">
        <v>0</v>
      </c>
      <c r="E97" s="913">
        <f>(C97+D97)</f>
        <v>119</v>
      </c>
      <c r="F97" s="850"/>
      <c r="G97" s="850"/>
      <c r="H97" s="85" t="s">
        <v>117</v>
      </c>
      <c r="I97" s="124">
        <f>Consolidated!G$127</f>
        <v>586</v>
      </c>
      <c r="J97" s="132">
        <f>ROUND(I97*E97,2)</f>
        <v>69734</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5243512.07</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4992400.7200000007</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638"/>
      <c r="I114" s="639">
        <f>IF(I111=1,J111,J109)</f>
        <v>4992400.7200000007</v>
      </c>
      <c r="J114" s="640">
        <f>ROUND(IF(E28=0,0,IF(E28&gt;250,-(((250/E28)*I114)*IF(H114="H",0.02,0.05)),IF(H114="H",-0.02*I114,-0.05*I114))),2)</f>
        <v>-99470.82</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5144041.25</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641"/>
      <c r="I118" s="642"/>
      <c r="J118" s="647">
        <f>-'Cumulative Payments'!R102</f>
        <v>-4259759.3600000003</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884281.88999999966</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442140.95</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ROUND(IF(H114="H",(I114*0.02)+J114,(I114*0.05)+J114),2)</f>
        <v>150149.22</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ECA24-E1C0-4582-B6B1-2F57AA4B9C2F}">
  <dimension ref="A1:Z207"/>
  <sheetViews>
    <sheetView topLeftCell="A107" workbookViewId="0">
      <selection activeCell="A131" sqref="A131:J13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459</v>
      </c>
      <c r="B2" s="101"/>
      <c r="C2" s="101"/>
      <c r="D2" s="101"/>
      <c r="E2" s="6"/>
      <c r="F2" s="6"/>
      <c r="G2" s="6"/>
      <c r="H2" s="6"/>
      <c r="I2" s="686" t="str">
        <f>RIGHT(A2,4)</f>
        <v>4001</v>
      </c>
      <c r="J2" s="6"/>
      <c r="K2" s="6"/>
      <c r="L2" s="6"/>
      <c r="M2" s="6"/>
      <c r="N2" s="6"/>
      <c r="O2" s="6"/>
      <c r="P2" s="6"/>
      <c r="Q2" s="6"/>
      <c r="R2" s="898" t="str">
        <f>Revenue_Estimate_Worksheet_for___________Charter_School</f>
        <v>Revenue Estimate Worksheet: Renaissance Charter School at Wellington - 4001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91.22</v>
      </c>
      <c r="D12" s="719">
        <f>SUMIFS(CountData!J:J,CountData!H:H,$I$2,CountData!I:I,$O12)</f>
        <v>88.04</v>
      </c>
      <c r="E12" s="804">
        <f t="shared" ref="E12:E27" si="0">IF($D$28=0,C12*2,C12+D12)</f>
        <v>179.26</v>
      </c>
      <c r="F12" s="804"/>
      <c r="G12" s="805">
        <f>Consolidated!$F14</f>
        <v>1.1080000000000001</v>
      </c>
      <c r="H12" s="805">
        <f>Consolidated!$H$9</f>
        <v>1</v>
      </c>
      <c r="I12" s="517">
        <f>ROUND(E12*G12,4)</f>
        <v>198.62010000000001</v>
      </c>
      <c r="J12" s="518">
        <f t="shared" ref="J12:J27" si="1">ROUND(ROUND(ROUND(I12*$E$6,4)*($I$6),2)*(MAX($I$7,1)),2)</f>
        <v>1104988.6200000001</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13.04</v>
      </c>
      <c r="D13" s="357">
        <f>SUMIFS(CountData!J:J,CountData!H:H,$I$2,CountData!I:I,$O13)</f>
        <v>15.06</v>
      </c>
      <c r="E13" s="812">
        <f t="shared" si="0"/>
        <v>28.1</v>
      </c>
      <c r="F13" s="812"/>
      <c r="G13" s="813">
        <f>Consolidated!$F15</f>
        <v>1.1080000000000001</v>
      </c>
      <c r="H13" s="813">
        <f>Consolidated!$H$9</f>
        <v>1</v>
      </c>
      <c r="I13" s="517">
        <f t="shared" ref="I13:I27" si="3">ROUND(E13*G13,4)</f>
        <v>31.134799999999998</v>
      </c>
      <c r="J13" s="518">
        <f t="shared" si="1"/>
        <v>173213.08</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149.97</v>
      </c>
      <c r="D14" s="357">
        <f>SUMIFS(CountData!J:J,CountData!H:H,$I$2,CountData!I:I,$O14)</f>
        <v>148.94</v>
      </c>
      <c r="E14" s="812">
        <f t="shared" si="0"/>
        <v>298.90999999999997</v>
      </c>
      <c r="F14" s="812"/>
      <c r="G14" s="813">
        <f>Consolidated!$F16</f>
        <v>1</v>
      </c>
      <c r="H14" s="813">
        <f>Consolidated!$H$9</f>
        <v>1</v>
      </c>
      <c r="I14" s="517">
        <f t="shared" si="3"/>
        <v>298.91000000000003</v>
      </c>
      <c r="J14" s="518">
        <f>ROUND(ROUND(ROUND(I14*$E$6,4)*($I$6),2)*(MAX($I$7,1)),2)</f>
        <v>1662934.16</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24.08</v>
      </c>
      <c r="D15" s="357">
        <f>SUMIFS(CountData!J:J,CountData!H:H,$I$2,CountData!I:I,$O15)</f>
        <v>23.5</v>
      </c>
      <c r="E15" s="812">
        <f t="shared" si="0"/>
        <v>47.58</v>
      </c>
      <c r="F15" s="812"/>
      <c r="G15" s="813">
        <f>Consolidated!$F17</f>
        <v>1</v>
      </c>
      <c r="H15" s="813">
        <f>Consolidated!$H$9</f>
        <v>1</v>
      </c>
      <c r="I15" s="517">
        <f t="shared" si="3"/>
        <v>47.58</v>
      </c>
      <c r="J15" s="518">
        <f t="shared" si="1"/>
        <v>264703.11</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43.93</v>
      </c>
      <c r="D25" s="357">
        <f>SUMIFS(CountData!J:J,CountData!H:H,$I$2,CountData!I:I,$O25)</f>
        <v>41.74</v>
      </c>
      <c r="E25" s="812">
        <f t="shared" si="0"/>
        <v>85.67</v>
      </c>
      <c r="F25" s="812"/>
      <c r="G25" s="813">
        <f>Consolidated!$F27</f>
        <v>1.165</v>
      </c>
      <c r="H25" s="813">
        <f>Consolidated!$H$9</f>
        <v>1</v>
      </c>
      <c r="I25" s="517">
        <f t="shared" si="3"/>
        <v>99.805599999999998</v>
      </c>
      <c r="J25" s="518">
        <f t="shared" si="1"/>
        <v>555251.22</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322.24</v>
      </c>
      <c r="D28" s="720">
        <f>SUM(D12:D27)</f>
        <v>317.28000000000003</v>
      </c>
      <c r="E28" s="817">
        <f>SUM(E12:E27)</f>
        <v>639.52</v>
      </c>
      <c r="F28" s="817"/>
      <c r="G28" s="812"/>
      <c r="H28" s="812"/>
      <c r="I28" s="23">
        <f>SUM(I12:I27)</f>
        <v>676.05050000000006</v>
      </c>
      <c r="J28" s="121">
        <f>SUM(J12:J27)</f>
        <v>3761090.1900000004</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676.05050000000006</v>
      </c>
      <c r="H33" s="812" t="s">
        <v>45</v>
      </c>
      <c r="I33" s="812"/>
      <c r="J33" s="32">
        <f>SUM(J32,J28)</f>
        <v>3761090.1900000004</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4028326.8499999996</v>
      </c>
      <c r="H36" s="37" t="s">
        <v>49</v>
      </c>
      <c r="I36" s="38">
        <v>6.6699999999999995E-2</v>
      </c>
      <c r="J36" s="125">
        <f>ROUND(G36*I36,2)</f>
        <v>268689.40000000002</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4028326.8499999996</v>
      </c>
      <c r="H37" s="37" t="s">
        <v>49</v>
      </c>
      <c r="I37" s="38">
        <v>5.4000000000000003E-3</v>
      </c>
      <c r="J37" s="125">
        <f>ROUND(G37*I37,2)</f>
        <v>21752.959999999999</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290442.36000000004</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9</v>
      </c>
      <c r="D41" s="357">
        <v>0</v>
      </c>
      <c r="E41" s="826">
        <f t="shared" ref="E41:E49" si="8">IF($D$50=0,C41*2,C41+D41)</f>
        <v>18</v>
      </c>
      <c r="F41" s="826"/>
      <c r="G41" s="37" t="s">
        <v>59</v>
      </c>
      <c r="H41" s="37">
        <v>251</v>
      </c>
      <c r="I41" s="130">
        <f>Consolidated!$H59</f>
        <v>1047</v>
      </c>
      <c r="J41" s="515">
        <f t="shared" ref="J41:J49" si="9">ROUND(E41*I41,2)</f>
        <v>18846</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4</v>
      </c>
      <c r="D42" s="357">
        <v>0</v>
      </c>
      <c r="E42" s="826">
        <f t="shared" si="8"/>
        <v>8</v>
      </c>
      <c r="F42" s="826"/>
      <c r="G42" s="37" t="s">
        <v>59</v>
      </c>
      <c r="H42" s="37">
        <v>252</v>
      </c>
      <c r="I42" s="130">
        <f>Consolidated!$H60</f>
        <v>3380</v>
      </c>
      <c r="J42" s="515">
        <f t="shared" si="9"/>
        <v>27040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515">
        <f t="shared" si="9"/>
        <v>0</v>
      </c>
      <c r="M43" s="2"/>
      <c r="R43" s="885"/>
      <c r="S43" s="885"/>
      <c r="T43" s="867"/>
      <c r="U43" s="867"/>
      <c r="V43" s="167" t="s">
        <v>59</v>
      </c>
      <c r="W43" s="167">
        <v>253</v>
      </c>
      <c r="X43" s="128">
        <f>Consolidated!$H61</f>
        <v>6896</v>
      </c>
      <c r="Y43" s="218">
        <f t="shared" si="10"/>
        <v>0</v>
      </c>
    </row>
    <row r="44" spans="1:25" x14ac:dyDescent="0.25">
      <c r="A44" s="825"/>
      <c r="B44" s="825"/>
      <c r="C44" s="357">
        <v>21.5</v>
      </c>
      <c r="D44" s="357">
        <v>0</v>
      </c>
      <c r="E44" s="826">
        <f t="shared" si="8"/>
        <v>43</v>
      </c>
      <c r="F44" s="826"/>
      <c r="G44" s="47" t="s">
        <v>60</v>
      </c>
      <c r="H44" s="37">
        <v>251</v>
      </c>
      <c r="I44" s="130">
        <f>Consolidated!$H62</f>
        <v>1173</v>
      </c>
      <c r="J44" s="515">
        <f t="shared" si="9"/>
        <v>50439</v>
      </c>
      <c r="L44" s="3"/>
      <c r="M44" s="2"/>
      <c r="Q44" s="4"/>
      <c r="R44" s="885"/>
      <c r="S44" s="885"/>
      <c r="T44" s="867"/>
      <c r="U44" s="867"/>
      <c r="V44" s="176" t="s">
        <v>60</v>
      </c>
      <c r="W44" s="167">
        <v>251</v>
      </c>
      <c r="X44" s="128">
        <f>Consolidated!$H62</f>
        <v>1173</v>
      </c>
      <c r="Y44" s="218">
        <f t="shared" si="10"/>
        <v>0</v>
      </c>
    </row>
    <row r="45" spans="1:25" x14ac:dyDescent="0.25">
      <c r="A45" s="825"/>
      <c r="B45" s="825"/>
      <c r="C45" s="357">
        <v>2</v>
      </c>
      <c r="D45" s="357">
        <v>0</v>
      </c>
      <c r="E45" s="826">
        <f t="shared" si="8"/>
        <v>4</v>
      </c>
      <c r="F45" s="826"/>
      <c r="G45" s="47" t="s">
        <v>60</v>
      </c>
      <c r="H45" s="37">
        <v>252</v>
      </c>
      <c r="I45" s="130">
        <f>Consolidated!$H63</f>
        <v>3506</v>
      </c>
      <c r="J45" s="515">
        <f t="shared" si="9"/>
        <v>14024</v>
      </c>
      <c r="M45" s="2"/>
      <c r="R45" s="885"/>
      <c r="S45" s="885"/>
      <c r="T45" s="867"/>
      <c r="U45" s="867"/>
      <c r="V45" s="176" t="s">
        <v>60</v>
      </c>
      <c r="W45" s="167">
        <v>252</v>
      </c>
      <c r="X45" s="128">
        <f>Consolidated!$H63</f>
        <v>3506</v>
      </c>
      <c r="Y45" s="218">
        <f t="shared" si="10"/>
        <v>0</v>
      </c>
    </row>
    <row r="46" spans="1:25" x14ac:dyDescent="0.25">
      <c r="A46" s="825"/>
      <c r="B46" s="825"/>
      <c r="C46" s="357">
        <v>0.5</v>
      </c>
      <c r="D46" s="357">
        <v>0</v>
      </c>
      <c r="E46" s="826">
        <f t="shared" si="8"/>
        <v>1</v>
      </c>
      <c r="F46" s="826"/>
      <c r="G46" s="47" t="s">
        <v>60</v>
      </c>
      <c r="H46" s="37">
        <v>253</v>
      </c>
      <c r="I46" s="130">
        <f>Consolidated!$H64</f>
        <v>7023</v>
      </c>
      <c r="J46" s="515">
        <f t="shared" si="9"/>
        <v>7023</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515">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515">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37</v>
      </c>
      <c r="D50" s="524">
        <f>SUM(D41:D49)</f>
        <v>0</v>
      </c>
      <c r="E50" s="832">
        <f>SUM(E41:E49)</f>
        <v>74</v>
      </c>
      <c r="F50" s="832"/>
      <c r="G50" s="818" t="s">
        <v>63</v>
      </c>
      <c r="H50" s="818"/>
      <c r="I50" s="818"/>
      <c r="J50" s="225">
        <f>SUM(J41:J49)</f>
        <v>117372</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639.52</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3.078E-3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676.05050000000006</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3.0569999999999998E-3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639.52</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3.5739999999999999E-3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639.52</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3.0829999999999998E-3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639.52</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3.5799999999999998E-3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3.0829999999999998E-3</v>
      </c>
      <c r="J68" s="132">
        <f>ROUND(G68*I68,2)</f>
        <v>140676.04</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3.078E-3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3.5799999999999998E-3</v>
      </c>
      <c r="J71" s="132">
        <f>ROUND(G71*I71,2)</f>
        <v>67783.929999999993</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3.5739999999999999E-3</v>
      </c>
      <c r="J72" s="132">
        <f>ROUND(G72*I72,2)</f>
        <v>40386.239999999998</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3.0569999999999998E-3</v>
      </c>
      <c r="J85" s="132">
        <f>ROUND(G85*I85,2)</f>
        <v>821771.36</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3.0569999999999998E-3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3.078E-3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229.75490000000002</v>
      </c>
      <c r="C90" s="80"/>
      <c r="D90" s="894">
        <f>I6</f>
        <v>1.0355000000000001</v>
      </c>
      <c r="E90" s="894"/>
      <c r="F90" s="894"/>
      <c r="G90" s="117">
        <f>Consolidated!F$118</f>
        <v>958.42</v>
      </c>
      <c r="H90" s="47" t="s">
        <v>68</v>
      </c>
      <c r="I90" s="515">
        <f>ROUND(B90*D90*G90,2)</f>
        <v>228018.85</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446.29560000000004</v>
      </c>
      <c r="C91" s="80"/>
      <c r="D91" s="894">
        <f>I6</f>
        <v>1.0355000000000001</v>
      </c>
      <c r="E91" s="894"/>
      <c r="F91" s="894"/>
      <c r="G91" s="117">
        <f>Consolidated!F$119</f>
        <v>915.09</v>
      </c>
      <c r="H91" s="47" t="s">
        <v>68</v>
      </c>
      <c r="I91" s="515">
        <f>ROUND(B91*D91*G91,2)</f>
        <v>422898.86</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676.05050000000006</v>
      </c>
      <c r="C93" s="80"/>
      <c r="D93" s="80"/>
      <c r="E93" s="846" t="s">
        <v>112</v>
      </c>
      <c r="F93" s="846"/>
      <c r="G93" s="846"/>
      <c r="H93" s="846"/>
      <c r="I93" s="846"/>
      <c r="J93" s="121">
        <f>IF(A1=75,0,I92+I91+I90)</f>
        <v>650917.71</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89</v>
      </c>
      <c r="D97" s="228">
        <v>0</v>
      </c>
      <c r="E97" s="913">
        <f>(C97+D97)</f>
        <v>89</v>
      </c>
      <c r="F97" s="850"/>
      <c r="G97" s="850"/>
      <c r="H97" s="85" t="s">
        <v>117</v>
      </c>
      <c r="I97" s="124">
        <f>Consolidated!G$127</f>
        <v>586</v>
      </c>
      <c r="J97" s="132">
        <f>ROUND(I97*E97,2)</f>
        <v>52154</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5652151.4700000007</v>
      </c>
      <c r="L107" s="516"/>
      <c r="R107" s="739" t="s">
        <v>125</v>
      </c>
      <c r="S107" s="739"/>
      <c r="T107" s="739"/>
      <c r="U107" s="739"/>
      <c r="V107" s="739"/>
      <c r="W107" s="739"/>
      <c r="X107" s="739"/>
      <c r="Y107" s="213">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5361709.1100000003</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237"/>
      <c r="I114" s="238">
        <f>IF(I111=1,J111,J109)</f>
        <v>5361709.1100000003</v>
      </c>
      <c r="J114" s="239">
        <f>ROUND(IF(E28=0,0,IF(E28&gt;250,-(((250/E28)*I114)*IF(H114="H",0.02,0.05)),IF(H114="H",-0.02*I114,-0.05*I114))),2)</f>
        <v>-104799.48</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5547351.9900000002</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Payments'!R103</f>
        <v>-4726701.8000000007</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820650.18999999948</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410325.1</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ROUND(IF(H114="H",(I114*0.02)+J114,(I114*0.05)+J114),2)</f>
        <v>163285.98000000001</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9059D-29DC-455A-97BC-3EE0077BD69A}">
  <dimension ref="A1:Z207"/>
  <sheetViews>
    <sheetView topLeftCell="A107" workbookViewId="0">
      <selection activeCell="L131" sqref="L13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460</v>
      </c>
      <c r="B2" s="101"/>
      <c r="C2" s="101"/>
      <c r="D2" s="101"/>
      <c r="E2" s="6"/>
      <c r="F2" s="6"/>
      <c r="G2" s="6"/>
      <c r="H2" s="6"/>
      <c r="I2" s="686" t="str">
        <f>RIGHT(A2,4)</f>
        <v>4002</v>
      </c>
      <c r="J2" s="6"/>
      <c r="K2" s="6"/>
      <c r="L2" s="6"/>
      <c r="M2" s="6"/>
      <c r="N2" s="6"/>
      <c r="O2" s="6"/>
      <c r="P2" s="6"/>
      <c r="Q2" s="6"/>
      <c r="R2" s="898" t="str">
        <f>Revenue_Estimate_Worksheet_for___________Charter_School</f>
        <v>Revenue Estimate Worksheet: Renaissance Charter School at Summit - 4002</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97.68</v>
      </c>
      <c r="D12" s="719">
        <f>SUMIFS(CountData!J:J,CountData!H:H,$I$2,CountData!I:I,$O12)</f>
        <v>93.34</v>
      </c>
      <c r="E12" s="804">
        <f t="shared" ref="E12:E27" si="0">IF($D$28=0,C12*2,C12+D12)</f>
        <v>191.02</v>
      </c>
      <c r="F12" s="804"/>
      <c r="G12" s="805">
        <f>Consolidated!$F14</f>
        <v>1.1080000000000001</v>
      </c>
      <c r="H12" s="805">
        <f>Consolidated!$H$9</f>
        <v>1</v>
      </c>
      <c r="I12" s="517">
        <f>ROUND(E12*G12,4)</f>
        <v>211.65020000000001</v>
      </c>
      <c r="J12" s="518">
        <f t="shared" ref="J12:J27" si="1">ROUND(ROUND(ROUND(I12*$E$6,4)*($I$6),2)*(MAX($I$7,1)),2)</f>
        <v>1177479.3400000001</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14.08</v>
      </c>
      <c r="D13" s="357">
        <f>SUMIFS(CountData!J:J,CountData!H:H,$I$2,CountData!I:I,$O13)</f>
        <v>13</v>
      </c>
      <c r="E13" s="812">
        <f t="shared" si="0"/>
        <v>27.08</v>
      </c>
      <c r="F13" s="812"/>
      <c r="G13" s="813">
        <f>Consolidated!$F15</f>
        <v>1.1080000000000001</v>
      </c>
      <c r="H13" s="813">
        <f>Consolidated!$H$9</f>
        <v>1</v>
      </c>
      <c r="I13" s="517">
        <f t="shared" ref="I13:I27" si="3">ROUND(E13*G13,4)</f>
        <v>30.0046</v>
      </c>
      <c r="J13" s="518">
        <f t="shared" si="1"/>
        <v>166925.41</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177.15</v>
      </c>
      <c r="D14" s="357">
        <f>SUMIFS(CountData!J:J,CountData!H:H,$I$2,CountData!I:I,$O14)</f>
        <v>173.72</v>
      </c>
      <c r="E14" s="812">
        <f t="shared" si="0"/>
        <v>350.87</v>
      </c>
      <c r="F14" s="812"/>
      <c r="G14" s="813">
        <f>Consolidated!$F16</f>
        <v>1</v>
      </c>
      <c r="H14" s="813">
        <f>Consolidated!$H$9</f>
        <v>1</v>
      </c>
      <c r="I14" s="517">
        <f t="shared" si="3"/>
        <v>350.87</v>
      </c>
      <c r="J14" s="518">
        <f>ROUND(ROUND(ROUND(I14*$E$6,4)*($I$6),2)*(MAX($I$7,1)),2)</f>
        <v>1952004.65</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25.52</v>
      </c>
      <c r="D15" s="357">
        <f>SUMIFS(CountData!J:J,CountData!H:H,$I$2,CountData!I:I,$O15)</f>
        <v>23.94</v>
      </c>
      <c r="E15" s="812">
        <f t="shared" si="0"/>
        <v>49.46</v>
      </c>
      <c r="F15" s="812"/>
      <c r="G15" s="813">
        <f>Consolidated!$F17</f>
        <v>1</v>
      </c>
      <c r="H15" s="813">
        <f>Consolidated!$H$9</f>
        <v>1</v>
      </c>
      <c r="I15" s="517">
        <f t="shared" si="3"/>
        <v>49.46</v>
      </c>
      <c r="J15" s="518">
        <f t="shared" si="1"/>
        <v>275162.17</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131.12</v>
      </c>
      <c r="D25" s="357">
        <f>SUMIFS(CountData!J:J,CountData!H:H,$I$2,CountData!I:I,$O25)</f>
        <v>125.47</v>
      </c>
      <c r="E25" s="812">
        <f t="shared" si="0"/>
        <v>256.59000000000003</v>
      </c>
      <c r="F25" s="812"/>
      <c r="G25" s="813">
        <f>Consolidated!$F27</f>
        <v>1.165</v>
      </c>
      <c r="H25" s="813">
        <f>Consolidated!$H$9</f>
        <v>1</v>
      </c>
      <c r="I25" s="517">
        <f t="shared" si="3"/>
        <v>298.92739999999998</v>
      </c>
      <c r="J25" s="518">
        <f t="shared" si="1"/>
        <v>1663030.97</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445.55</v>
      </c>
      <c r="D28" s="720">
        <f>SUM(D12:D27)</f>
        <v>429.47</v>
      </c>
      <c r="E28" s="817">
        <f>SUM(E12:E27)</f>
        <v>875.0200000000001</v>
      </c>
      <c r="F28" s="817"/>
      <c r="G28" s="812"/>
      <c r="H28" s="812"/>
      <c r="I28" s="23">
        <f>SUM(I12:I27)</f>
        <v>940.91219999999998</v>
      </c>
      <c r="J28" s="121">
        <f>SUM(J12:J27)</f>
        <v>5234602.54</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940.91219999999998</v>
      </c>
      <c r="H33" s="812" t="s">
        <v>45</v>
      </c>
      <c r="I33" s="812"/>
      <c r="J33" s="32">
        <f>SUM(J32,J28)</f>
        <v>5234602.54</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5896605.1099999994</v>
      </c>
      <c r="H36" s="37" t="s">
        <v>49</v>
      </c>
      <c r="I36" s="38">
        <v>6.6699999999999995E-2</v>
      </c>
      <c r="J36" s="125">
        <f>ROUND(G36*I36,2)</f>
        <v>393303.56</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5896605.1099999994</v>
      </c>
      <c r="H37" s="37" t="s">
        <v>49</v>
      </c>
      <c r="I37" s="38">
        <v>5.4000000000000003E-3</v>
      </c>
      <c r="J37" s="125">
        <f>ROUND(G37*I37,2)</f>
        <v>31841.67</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425145.23</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8.5</v>
      </c>
      <c r="D41" s="357">
        <v>0</v>
      </c>
      <c r="E41" s="826">
        <f t="shared" ref="E41:E49" si="8">IF($D$50=0,C41*2,C41+D41)</f>
        <v>17</v>
      </c>
      <c r="F41" s="826"/>
      <c r="G41" s="37" t="s">
        <v>59</v>
      </c>
      <c r="H41" s="37">
        <v>251</v>
      </c>
      <c r="I41" s="130">
        <f>Consolidated!$H59</f>
        <v>1047</v>
      </c>
      <c r="J41" s="515">
        <f t="shared" ref="J41:J49" si="9">ROUND(E41*I41,2)</f>
        <v>17799</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4.5</v>
      </c>
      <c r="D42" s="357">
        <v>0</v>
      </c>
      <c r="E42" s="826">
        <f t="shared" si="8"/>
        <v>9</v>
      </c>
      <c r="F42" s="826"/>
      <c r="G42" s="37" t="s">
        <v>59</v>
      </c>
      <c r="H42" s="37">
        <v>252</v>
      </c>
      <c r="I42" s="130">
        <f>Consolidated!$H60</f>
        <v>3380</v>
      </c>
      <c r="J42" s="515">
        <f t="shared" si="9"/>
        <v>30420</v>
      </c>
      <c r="M42" s="2"/>
      <c r="R42" s="885"/>
      <c r="S42" s="885"/>
      <c r="T42" s="886"/>
      <c r="U42" s="886"/>
      <c r="V42" s="167" t="s">
        <v>59</v>
      </c>
      <c r="W42" s="167">
        <v>252</v>
      </c>
      <c r="X42" s="128">
        <f>Consolidated!$H60</f>
        <v>3380</v>
      </c>
      <c r="Y42" s="218">
        <f t="shared" ref="Y42:Y49" si="10">ROUND(T42*X42,2)</f>
        <v>0</v>
      </c>
    </row>
    <row r="43" spans="1:25" x14ac:dyDescent="0.25">
      <c r="A43" s="825"/>
      <c r="B43" s="825"/>
      <c r="C43" s="357">
        <v>1</v>
      </c>
      <c r="D43" s="357">
        <v>0</v>
      </c>
      <c r="E43" s="826">
        <f t="shared" si="8"/>
        <v>2</v>
      </c>
      <c r="F43" s="826"/>
      <c r="G43" s="37" t="s">
        <v>59</v>
      </c>
      <c r="H43" s="37">
        <v>253</v>
      </c>
      <c r="I43" s="130">
        <f>Consolidated!$H61</f>
        <v>6896</v>
      </c>
      <c r="J43" s="515">
        <f t="shared" si="9"/>
        <v>13792</v>
      </c>
      <c r="M43" s="2"/>
      <c r="R43" s="885"/>
      <c r="S43" s="885"/>
      <c r="T43" s="867"/>
      <c r="U43" s="867"/>
      <c r="V43" s="167" t="s">
        <v>59</v>
      </c>
      <c r="W43" s="167">
        <v>253</v>
      </c>
      <c r="X43" s="128">
        <f>Consolidated!$H61</f>
        <v>6896</v>
      </c>
      <c r="Y43" s="218">
        <f t="shared" si="10"/>
        <v>0</v>
      </c>
    </row>
    <row r="44" spans="1:25" x14ac:dyDescent="0.25">
      <c r="A44" s="825"/>
      <c r="B44" s="825"/>
      <c r="C44" s="357">
        <v>21.5</v>
      </c>
      <c r="D44" s="357">
        <v>0</v>
      </c>
      <c r="E44" s="826">
        <f t="shared" si="8"/>
        <v>43</v>
      </c>
      <c r="F44" s="826"/>
      <c r="G44" s="47" t="s">
        <v>60</v>
      </c>
      <c r="H44" s="37">
        <v>251</v>
      </c>
      <c r="I44" s="130">
        <f>Consolidated!$H62</f>
        <v>1173</v>
      </c>
      <c r="J44" s="515">
        <f t="shared" si="9"/>
        <v>50439</v>
      </c>
      <c r="L44" s="3"/>
      <c r="M44" s="2"/>
      <c r="Q44" s="4"/>
      <c r="R44" s="885"/>
      <c r="S44" s="885"/>
      <c r="T44" s="867"/>
      <c r="U44" s="867"/>
      <c r="V44" s="176" t="s">
        <v>60</v>
      </c>
      <c r="W44" s="167">
        <v>251</v>
      </c>
      <c r="X44" s="128">
        <f>Consolidated!$H62</f>
        <v>1173</v>
      </c>
      <c r="Y44" s="218">
        <f t="shared" si="10"/>
        <v>0</v>
      </c>
    </row>
    <row r="45" spans="1:25" x14ac:dyDescent="0.25">
      <c r="A45" s="825"/>
      <c r="B45" s="825"/>
      <c r="C45" s="357">
        <v>4</v>
      </c>
      <c r="D45" s="357">
        <v>0</v>
      </c>
      <c r="E45" s="826">
        <f t="shared" si="8"/>
        <v>8</v>
      </c>
      <c r="F45" s="826"/>
      <c r="G45" s="47" t="s">
        <v>60</v>
      </c>
      <c r="H45" s="37">
        <v>252</v>
      </c>
      <c r="I45" s="130">
        <f>Consolidated!$H63</f>
        <v>3506</v>
      </c>
      <c r="J45" s="515">
        <f t="shared" si="9"/>
        <v>28048</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515">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515">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515">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39.5</v>
      </c>
      <c r="D50" s="524">
        <f>SUM(D41:D49)</f>
        <v>0</v>
      </c>
      <c r="E50" s="832">
        <f>SUM(E41:E49)</f>
        <v>79</v>
      </c>
      <c r="F50" s="832"/>
      <c r="G50" s="818" t="s">
        <v>63</v>
      </c>
      <c r="H50" s="818"/>
      <c r="I50" s="818"/>
      <c r="J50" s="225">
        <f>SUM(J41:J49)</f>
        <v>140498</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875.0200000000001</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4.2110000000000003E-3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940.91219999999998</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4.254E-3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875.0200000000001</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4.8900000000000002E-3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875.0200000000001</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4.2180000000000004E-3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875.0200000000001</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4.8989999999999997E-3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4.2180000000000004E-3</v>
      </c>
      <c r="J68" s="132">
        <f>ROUND(G68*I68,2)</f>
        <v>192465.62</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4.2110000000000003E-3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4.8989999999999997E-3</v>
      </c>
      <c r="J71" s="132">
        <f>ROUND(G71*I71,2)</f>
        <v>92757.95</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4.8900000000000002E-3</v>
      </c>
      <c r="J72" s="132">
        <f>ROUND(G72*I72,2)</f>
        <v>55257.06</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4.254E-3</v>
      </c>
      <c r="J85" s="132">
        <f>ROUND(G85*I85,2)</f>
        <v>1143544.45</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4.254E-3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4.2110000000000003E-3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241.65480000000002</v>
      </c>
      <c r="C90" s="80"/>
      <c r="D90" s="894">
        <f>I6</f>
        <v>1.0355000000000001</v>
      </c>
      <c r="E90" s="894"/>
      <c r="F90" s="894"/>
      <c r="G90" s="117">
        <f>Consolidated!F$118</f>
        <v>958.42</v>
      </c>
      <c r="H90" s="47" t="s">
        <v>68</v>
      </c>
      <c r="I90" s="135">
        <f>ROUND(B90*D90*G90,2)</f>
        <v>239828.83</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699.25739999999996</v>
      </c>
      <c r="C91" s="80"/>
      <c r="D91" s="894">
        <f>I6</f>
        <v>1.0355000000000001</v>
      </c>
      <c r="E91" s="894"/>
      <c r="F91" s="894"/>
      <c r="G91" s="117">
        <f>Consolidated!F$119</f>
        <v>915.09</v>
      </c>
      <c r="H91" s="47" t="s">
        <v>68</v>
      </c>
      <c r="I91" s="134">
        <f>ROUND(B91*D91*G91,2)</f>
        <v>662599.31999999995</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940.91219999999998</v>
      </c>
      <c r="C93" s="80"/>
      <c r="D93" s="80"/>
      <c r="E93" s="846" t="s">
        <v>112</v>
      </c>
      <c r="F93" s="846"/>
      <c r="G93" s="846"/>
      <c r="H93" s="846"/>
      <c r="I93" s="846"/>
      <c r="J93" s="121">
        <f>IF(A1=75,0,I92+I91+I90)</f>
        <v>902428.14999999991</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0</v>
      </c>
      <c r="D97" s="228">
        <v>0</v>
      </c>
      <c r="E97" s="913">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7761553.7699999996</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7336408.5399999991</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638"/>
      <c r="I114" s="639">
        <f>IF(I111=1,J111,J109)</f>
        <v>7336408.5399999991</v>
      </c>
      <c r="J114" s="640">
        <f>ROUND(IF(E28=0,0,IF(E28&gt;250,-(((250/E28)*I114)*IF(H114="H",0.02,0.05)),IF(H114="H",-0.02*I114,-0.05*I114))),2)</f>
        <v>-104803.44</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7656750.3299999991</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641"/>
      <c r="I118" s="642"/>
      <c r="J118" s="647">
        <f>-'Cumulative Payments'!R104</f>
        <v>-6668590.2000000011</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988160.12999999803</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494080.06</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ROUND(IF(H114="H",(I114*0.02)+J114,(I114*0.05)+J114),2)</f>
        <v>262016.99</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1382C-0C61-48E7-BEF0-2DA4B2E25161}">
  <dimension ref="A1:Z207"/>
  <sheetViews>
    <sheetView topLeftCell="A107" workbookViewId="0">
      <selection activeCell="L132" sqref="L132"/>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461</v>
      </c>
      <c r="B2" s="101"/>
      <c r="C2" s="101"/>
      <c r="D2" s="101"/>
      <c r="E2" s="6"/>
      <c r="F2" s="6"/>
      <c r="G2" s="6"/>
      <c r="H2" s="6"/>
      <c r="I2" s="686" t="str">
        <f>RIGHT(A2,4)</f>
        <v>4012</v>
      </c>
      <c r="J2" s="6"/>
      <c r="K2" s="6"/>
      <c r="L2" s="6"/>
      <c r="M2" s="6"/>
      <c r="N2" s="6"/>
      <c r="O2" s="6"/>
      <c r="P2" s="6"/>
      <c r="Q2" s="6"/>
      <c r="R2" s="898" t="str">
        <f>Revenue_Estimate_Worksheet_for___________Charter_School</f>
        <v>Revenue Estimate Worksheet: Somerset Academy Canyons Middle School - 4012</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223.32</v>
      </c>
      <c r="D14" s="357">
        <f>SUMIFS(CountData!J:J,CountData!H:H,$I$2,CountData!I:I,$O14)</f>
        <v>216.48</v>
      </c>
      <c r="E14" s="812">
        <f t="shared" si="0"/>
        <v>439.79999999999995</v>
      </c>
      <c r="F14" s="812"/>
      <c r="G14" s="813">
        <f>Consolidated!$F16</f>
        <v>1</v>
      </c>
      <c r="H14" s="813">
        <f>Consolidated!$H$9</f>
        <v>1</v>
      </c>
      <c r="I14" s="517">
        <f t="shared" si="3"/>
        <v>439.8</v>
      </c>
      <c r="J14" s="518">
        <f>ROUND(ROUND(ROUND(I14*$E$6,4)*($I$6),2)*(MAX($I$7,1)),2)</f>
        <v>2446751.35</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41.97</v>
      </c>
      <c r="D15" s="357">
        <f>SUMIFS(CountData!J:J,CountData!H:H,$I$2,CountData!I:I,$O15)</f>
        <v>38.44</v>
      </c>
      <c r="E15" s="812">
        <f t="shared" si="0"/>
        <v>80.41</v>
      </c>
      <c r="F15" s="812"/>
      <c r="G15" s="813">
        <f>Consolidated!$F17</f>
        <v>1</v>
      </c>
      <c r="H15" s="813">
        <f>Consolidated!$H$9</f>
        <v>1</v>
      </c>
      <c r="I15" s="517">
        <f t="shared" si="3"/>
        <v>80.41</v>
      </c>
      <c r="J15" s="518">
        <f t="shared" si="1"/>
        <v>447347.15</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5.86</v>
      </c>
      <c r="D25" s="357">
        <f>SUMIFS(CountData!J:J,CountData!H:H,$I$2,CountData!I:I,$O25)</f>
        <v>4.99</v>
      </c>
      <c r="E25" s="812">
        <f t="shared" si="0"/>
        <v>10.850000000000001</v>
      </c>
      <c r="F25" s="812"/>
      <c r="G25" s="813">
        <f>Consolidated!$F27</f>
        <v>1.165</v>
      </c>
      <c r="H25" s="813">
        <f>Consolidated!$H$9</f>
        <v>1</v>
      </c>
      <c r="I25" s="517">
        <f t="shared" si="3"/>
        <v>12.6403</v>
      </c>
      <c r="J25" s="518">
        <f t="shared" si="1"/>
        <v>70322.13</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271.14999999999998</v>
      </c>
      <c r="D28" s="720">
        <f>SUM(D12:D27)</f>
        <v>259.90999999999997</v>
      </c>
      <c r="E28" s="817">
        <f>SUM(E12:E27)</f>
        <v>531.05999999999995</v>
      </c>
      <c r="F28" s="817"/>
      <c r="G28" s="812"/>
      <c r="H28" s="812"/>
      <c r="I28" s="23">
        <f>SUM(I12:I27)</f>
        <v>532.85030000000006</v>
      </c>
      <c r="J28" s="121">
        <f>SUM(J12:J27)</f>
        <v>2964420.63</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532.85030000000006</v>
      </c>
      <c r="H33" s="812" t="s">
        <v>45</v>
      </c>
      <c r="I33" s="812"/>
      <c r="J33" s="32">
        <f>SUM(J32,J28)</f>
        <v>2964420.63</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3326749</v>
      </c>
      <c r="H36" s="37" t="s">
        <v>49</v>
      </c>
      <c r="I36" s="38">
        <v>6.6699999999999995E-2</v>
      </c>
      <c r="J36" s="125">
        <f>ROUND(G36*I36,2)</f>
        <v>221894.16</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3326749</v>
      </c>
      <c r="H37" s="37" t="s">
        <v>49</v>
      </c>
      <c r="I37" s="38">
        <v>5.4000000000000003E-3</v>
      </c>
      <c r="J37" s="125">
        <f>ROUND(G37*I37,2)</f>
        <v>17964.439999999999</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239858.6</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515">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515">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515">
        <f t="shared" si="9"/>
        <v>0</v>
      </c>
      <c r="M43" s="2"/>
      <c r="R43" s="885"/>
      <c r="S43" s="885"/>
      <c r="T43" s="867"/>
      <c r="U43" s="867"/>
      <c r="V43" s="167" t="s">
        <v>59</v>
      </c>
      <c r="W43" s="167">
        <v>253</v>
      </c>
      <c r="X43" s="128">
        <f>Consolidated!$H61</f>
        <v>6896</v>
      </c>
      <c r="Y43" s="218">
        <f t="shared" si="10"/>
        <v>0</v>
      </c>
    </row>
    <row r="44" spans="1:25" x14ac:dyDescent="0.25">
      <c r="A44" s="825"/>
      <c r="B44" s="825"/>
      <c r="C44" s="357">
        <v>38.94</v>
      </c>
      <c r="D44" s="357">
        <v>0</v>
      </c>
      <c r="E44" s="826">
        <f t="shared" si="8"/>
        <v>77.88</v>
      </c>
      <c r="F44" s="826"/>
      <c r="G44" s="47" t="s">
        <v>60</v>
      </c>
      <c r="H44" s="37">
        <v>251</v>
      </c>
      <c r="I44" s="130">
        <f>Consolidated!$H62</f>
        <v>1173</v>
      </c>
      <c r="J44" s="515">
        <f t="shared" si="9"/>
        <v>91353.24</v>
      </c>
      <c r="L44" s="3"/>
      <c r="M44" s="2"/>
      <c r="Q44" s="4"/>
      <c r="R44" s="885"/>
      <c r="S44" s="885"/>
      <c r="T44" s="867"/>
      <c r="U44" s="867"/>
      <c r="V44" s="176" t="s">
        <v>60</v>
      </c>
      <c r="W44" s="167">
        <v>251</v>
      </c>
      <c r="X44" s="128">
        <f>Consolidated!$H62</f>
        <v>1173</v>
      </c>
      <c r="Y44" s="218">
        <f t="shared" si="10"/>
        <v>0</v>
      </c>
    </row>
    <row r="45" spans="1:25" x14ac:dyDescent="0.25">
      <c r="A45" s="825"/>
      <c r="B45" s="825"/>
      <c r="C45" s="357">
        <v>3</v>
      </c>
      <c r="D45" s="357">
        <v>0</v>
      </c>
      <c r="E45" s="826">
        <f t="shared" si="8"/>
        <v>6</v>
      </c>
      <c r="F45" s="826"/>
      <c r="G45" s="47" t="s">
        <v>60</v>
      </c>
      <c r="H45" s="37">
        <v>252</v>
      </c>
      <c r="I45" s="130">
        <f>Consolidated!$H63</f>
        <v>3506</v>
      </c>
      <c r="J45" s="515">
        <f t="shared" si="9"/>
        <v>21036</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515">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515">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515">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41.94</v>
      </c>
      <c r="D50" s="524">
        <f>SUM(D41:D49)</f>
        <v>0</v>
      </c>
      <c r="E50" s="832">
        <f>SUM(E41:E49)</f>
        <v>83.88</v>
      </c>
      <c r="F50" s="832"/>
      <c r="G50" s="818" t="s">
        <v>63</v>
      </c>
      <c r="H50" s="818"/>
      <c r="I50" s="818"/>
      <c r="J50" s="225">
        <f>SUM(J41:J49)</f>
        <v>112389.24</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531.05999999999995</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2.5560000000000001E-3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532.85030000000006</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2.4090000000000001E-3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531.05999999999995</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2.9680000000000002E-3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531.05999999999995</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2.5600000000000002E-3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531.05999999999995</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2.9729999999999999E-3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2.5600000000000002E-3</v>
      </c>
      <c r="J68" s="132">
        <f>ROUND(G68*I68,2)</f>
        <v>116811.76</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2.5560000000000001E-3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2.9729999999999999E-3</v>
      </c>
      <c r="J71" s="132">
        <f>ROUND(G71*I71,2)</f>
        <v>56290.95</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2.9680000000000002E-3</v>
      </c>
      <c r="J72" s="132">
        <f>ROUND(G72*I72,2)</f>
        <v>33538.44</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v>14.6</v>
      </c>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14.6</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1.132E-3</v>
      </c>
      <c r="J84" s="656">
        <f>ROUND(G84*I84,2)</f>
        <v>66225.16</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2.4090000000000001E-3</v>
      </c>
      <c r="J85" s="656">
        <f>ROUND(G85*I85,2)</f>
        <v>647578.41</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2.4090000000000001E-3</v>
      </c>
      <c r="J86" s="656">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2.5560000000000001E-3</v>
      </c>
      <c r="J87" s="656">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51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532.85030000000006</v>
      </c>
      <c r="C91" s="80"/>
      <c r="D91" s="894">
        <f>I6</f>
        <v>1.0355000000000001</v>
      </c>
      <c r="E91" s="894"/>
      <c r="F91" s="894"/>
      <c r="G91" s="117">
        <f>Consolidated!F$119</f>
        <v>915.09</v>
      </c>
      <c r="H91" s="47" t="s">
        <v>68</v>
      </c>
      <c r="I91" s="515">
        <f>ROUND(B91*D91*G91,2)</f>
        <v>504915.99</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532.85030000000006</v>
      </c>
      <c r="C93" s="80"/>
      <c r="D93" s="80"/>
      <c r="E93" s="846" t="s">
        <v>112</v>
      </c>
      <c r="F93" s="846"/>
      <c r="G93" s="846"/>
      <c r="H93" s="846"/>
      <c r="I93" s="846"/>
      <c r="J93" s="121">
        <f>IF(A1=75,0,I92+I91+I90)</f>
        <v>504915.99</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3</v>
      </c>
      <c r="D97" s="228">
        <v>0</v>
      </c>
      <c r="E97" s="913">
        <f>(C97+D97)</f>
        <v>3</v>
      </c>
      <c r="F97" s="850"/>
      <c r="G97" s="850"/>
      <c r="H97" s="85" t="s">
        <v>117</v>
      </c>
      <c r="I97" s="124">
        <f>Consolidated!G$127</f>
        <v>586</v>
      </c>
      <c r="J97" s="132">
        <f>ROUND(I97*E97,2)</f>
        <v>1758</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4503928.580000001</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4264069.9800000014</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638" t="s">
        <v>431</v>
      </c>
      <c r="I114" s="639">
        <f>IF(I111=1,J111,J109)</f>
        <v>4264069.9800000014</v>
      </c>
      <c r="J114" s="640">
        <f>ROUND(IF(E28=0,0,IF(E28&gt;250,-(((250/E28)*I114)*IF(H114="H",0.02,0.05)),IF(H114="H",-0.02*I114,-0.05*I114))),2)</f>
        <v>-40146.78</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4463781.8000000007</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641"/>
      <c r="I118" s="642"/>
      <c r="J118" s="647">
        <f>-'Cumulative Payments'!R105</f>
        <v>-3886746.12</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577035.68000000063</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288517.84000000003</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ROUND(IF(H114="H",(I114*0.02)+J114,(I114*0.05)+J114),2)</f>
        <v>45134.62</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788C7-B851-4E83-8B95-DBDDF7BDEA32}">
  <dimension ref="A1:Z207"/>
  <sheetViews>
    <sheetView topLeftCell="A113" workbookViewId="0">
      <selection activeCell="L129" sqref="L129"/>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462</v>
      </c>
      <c r="B2" s="101"/>
      <c r="C2" s="101"/>
      <c r="D2" s="101"/>
      <c r="E2" s="6"/>
      <c r="F2" s="6"/>
      <c r="G2" s="6"/>
      <c r="H2" s="6"/>
      <c r="I2" s="686" t="str">
        <f>RIGHT(A2,4)</f>
        <v>4013</v>
      </c>
      <c r="J2" s="6"/>
      <c r="K2" s="6"/>
      <c r="L2" s="6"/>
      <c r="M2" s="6"/>
      <c r="N2" s="6"/>
      <c r="O2" s="6"/>
      <c r="P2" s="6"/>
      <c r="Q2" s="6"/>
      <c r="R2" s="898" t="str">
        <f>Revenue_Estimate_Worksheet_for___________Charter_School</f>
        <v>Revenue Estimate Worksheet: Somerset Academy Canyons High School - 4013</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0</v>
      </c>
      <c r="D14" s="357">
        <f>SUMIFS(CountData!J:J,CountData!H:H,$I$2,CountData!I:I,$O14)</f>
        <v>0</v>
      </c>
      <c r="E14" s="812">
        <f t="shared" si="0"/>
        <v>0</v>
      </c>
      <c r="F14" s="812"/>
      <c r="G14" s="813">
        <f>Consolidated!$F16</f>
        <v>1</v>
      </c>
      <c r="H14" s="813">
        <f>Consolidated!$H$9</f>
        <v>1</v>
      </c>
      <c r="I14" s="517">
        <f t="shared" si="3"/>
        <v>0</v>
      </c>
      <c r="J14" s="518">
        <f>ROUND(ROUND(ROUND(I14*$E$6,4)*($I$6),2)*(MAX($I$7,1)),2)</f>
        <v>0</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0</v>
      </c>
      <c r="D15" s="357">
        <f>SUMIFS(CountData!J:J,CountData!H:H,$I$2,CountData!I:I,$O15)</f>
        <v>0</v>
      </c>
      <c r="E15" s="812">
        <f t="shared" si="0"/>
        <v>0</v>
      </c>
      <c r="F15" s="812"/>
      <c r="G15" s="813">
        <f>Consolidated!$F17</f>
        <v>1</v>
      </c>
      <c r="H15" s="813">
        <f>Consolidated!$H$9</f>
        <v>1</v>
      </c>
      <c r="I15" s="517">
        <f t="shared" si="3"/>
        <v>0</v>
      </c>
      <c r="J15" s="518">
        <f t="shared" si="1"/>
        <v>0</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429.97</v>
      </c>
      <c r="D16" s="357">
        <f>SUMIFS(CountData!J:J,CountData!H:H,$I$2,CountData!I:I,$O16)</f>
        <v>417.08</v>
      </c>
      <c r="E16" s="812">
        <f t="shared" si="0"/>
        <v>847.05</v>
      </c>
      <c r="F16" s="812"/>
      <c r="G16" s="813">
        <f>Consolidated!$F18</f>
        <v>0.97199999999999998</v>
      </c>
      <c r="H16" s="813">
        <f>Consolidated!$H$9</f>
        <v>1</v>
      </c>
      <c r="I16" s="517">
        <f t="shared" si="3"/>
        <v>823.33259999999996</v>
      </c>
      <c r="J16" s="518">
        <f t="shared" si="1"/>
        <v>4580468.7300000004</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46.8</v>
      </c>
      <c r="D17" s="357">
        <f>SUMIFS(CountData!J:J,CountData!H:H,$I$2,CountData!I:I,$O17)</f>
        <v>42.15</v>
      </c>
      <c r="E17" s="812">
        <f t="shared" si="0"/>
        <v>88.949999999999989</v>
      </c>
      <c r="F17" s="812"/>
      <c r="G17" s="813">
        <f>Consolidated!$F19</f>
        <v>0.97199999999999998</v>
      </c>
      <c r="H17" s="813">
        <f>Consolidated!$H$9</f>
        <v>1</v>
      </c>
      <c r="I17" s="517">
        <f t="shared" si="3"/>
        <v>86.459400000000002</v>
      </c>
      <c r="J17" s="518">
        <f t="shared" si="1"/>
        <v>481001.94</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254</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255</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6.08</v>
      </c>
      <c r="D26" s="357">
        <f>SUMIFS(CountData!J:J,CountData!H:H,$I$2,CountData!I:I,$O26)</f>
        <v>5.14</v>
      </c>
      <c r="E26" s="812">
        <f t="shared" si="0"/>
        <v>11.219999999999999</v>
      </c>
      <c r="F26" s="812"/>
      <c r="G26" s="813">
        <f>Consolidated!$F28</f>
        <v>1.165</v>
      </c>
      <c r="H26" s="813">
        <f>Consolidated!$H$9</f>
        <v>1</v>
      </c>
      <c r="I26" s="517">
        <f t="shared" si="3"/>
        <v>13.071300000000001</v>
      </c>
      <c r="J26" s="518">
        <f t="shared" si="1"/>
        <v>72719.92</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22.46</v>
      </c>
      <c r="D27" s="358">
        <f>SUMIFS(CountData!J:J,CountData!H:H,$I$2,CountData!I:I,$O27)</f>
        <v>22.08</v>
      </c>
      <c r="E27" s="814">
        <f t="shared" si="0"/>
        <v>44.54</v>
      </c>
      <c r="F27" s="814"/>
      <c r="G27" s="815">
        <f>Consolidated!$F29</f>
        <v>1.081</v>
      </c>
      <c r="H27" s="815">
        <f>Consolidated!$H$9</f>
        <v>1</v>
      </c>
      <c r="I27" s="22">
        <f t="shared" si="3"/>
        <v>48.1477</v>
      </c>
      <c r="J27" s="121">
        <f t="shared" si="1"/>
        <v>267861.40999999997</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505.31</v>
      </c>
      <c r="D28" s="720">
        <f>SUM(D12:D27)</f>
        <v>486.44999999999993</v>
      </c>
      <c r="E28" s="915">
        <f>SUM(E12:E27)</f>
        <v>991.76</v>
      </c>
      <c r="F28" s="915"/>
      <c r="G28" s="812"/>
      <c r="H28" s="812"/>
      <c r="I28" s="23">
        <f>SUM(I12:I27)</f>
        <v>971.01099999999985</v>
      </c>
      <c r="J28" s="121">
        <f>SUM(J12:J27)</f>
        <v>5402052.0000000009</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971.01099999999985</v>
      </c>
      <c r="H33" s="812" t="s">
        <v>45</v>
      </c>
      <c r="I33" s="812"/>
      <c r="J33" s="32">
        <f>SUM(J32,J28)</f>
        <v>5402052.0000000009</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5560972.3399999999</v>
      </c>
      <c r="H36" s="37" t="s">
        <v>49</v>
      </c>
      <c r="I36" s="38">
        <v>6.6699999999999995E-2</v>
      </c>
      <c r="J36" s="125">
        <f>ROUND(G36*I36,2)</f>
        <v>370916.86</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5560972.3399999999</v>
      </c>
      <c r="H37" s="37" t="s">
        <v>49</v>
      </c>
      <c r="I37" s="38">
        <v>5.4000000000000003E-3</v>
      </c>
      <c r="J37" s="125">
        <f>ROUND(G37*I37,2)</f>
        <v>30029.25</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400946.11</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515">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515">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515">
        <f t="shared" si="9"/>
        <v>0</v>
      </c>
      <c r="M43" s="2"/>
      <c r="R43" s="885"/>
      <c r="S43" s="885"/>
      <c r="T43" s="867"/>
      <c r="U43" s="867"/>
      <c r="V43" s="167" t="s">
        <v>59</v>
      </c>
      <c r="W43" s="167">
        <v>253</v>
      </c>
      <c r="X43" s="128">
        <f>Consolidated!$H61</f>
        <v>6896</v>
      </c>
      <c r="Y43" s="218">
        <f t="shared" si="10"/>
        <v>0</v>
      </c>
    </row>
    <row r="44" spans="1:25" x14ac:dyDescent="0.25">
      <c r="A44" s="825"/>
      <c r="B44" s="825"/>
      <c r="C44" s="357">
        <v>0</v>
      </c>
      <c r="D44" s="357">
        <v>0</v>
      </c>
      <c r="E44" s="826">
        <f t="shared" si="8"/>
        <v>0</v>
      </c>
      <c r="F44" s="826"/>
      <c r="G44" s="47" t="s">
        <v>60</v>
      </c>
      <c r="H44" s="37">
        <v>251</v>
      </c>
      <c r="I44" s="130">
        <f>Consolidated!$H62</f>
        <v>1173</v>
      </c>
      <c r="J44" s="515">
        <f t="shared" si="9"/>
        <v>0</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515">
        <f t="shared" si="9"/>
        <v>0</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515">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43.34</v>
      </c>
      <c r="D47" s="357">
        <v>0</v>
      </c>
      <c r="E47" s="826">
        <f t="shared" si="8"/>
        <v>86.68</v>
      </c>
      <c r="F47" s="826"/>
      <c r="G47" s="47" t="s">
        <v>61</v>
      </c>
      <c r="H47" s="37">
        <v>251</v>
      </c>
      <c r="I47" s="130">
        <f>Consolidated!$H65</f>
        <v>835</v>
      </c>
      <c r="J47" s="515">
        <f t="shared" si="9"/>
        <v>72377.8</v>
      </c>
      <c r="M47" s="2"/>
      <c r="R47" s="885"/>
      <c r="S47" s="885"/>
      <c r="T47" s="867"/>
      <c r="U47" s="867"/>
      <c r="V47" s="176" t="s">
        <v>61</v>
      </c>
      <c r="W47" s="167">
        <v>251</v>
      </c>
      <c r="X47" s="128">
        <f>Consolidated!$H65</f>
        <v>835</v>
      </c>
      <c r="Y47" s="218">
        <f t="shared" si="10"/>
        <v>0</v>
      </c>
    </row>
    <row r="48" spans="1:25" ht="15.75" customHeight="1" x14ac:dyDescent="0.25">
      <c r="A48" s="825"/>
      <c r="B48" s="825"/>
      <c r="C48" s="357">
        <v>3.66</v>
      </c>
      <c r="D48" s="357">
        <v>0</v>
      </c>
      <c r="E48" s="826">
        <f t="shared" si="8"/>
        <v>7.32</v>
      </c>
      <c r="F48" s="826"/>
      <c r="G48" s="47" t="s">
        <v>61</v>
      </c>
      <c r="H48" s="37">
        <v>252</v>
      </c>
      <c r="I48" s="130">
        <f>Consolidated!$H66</f>
        <v>3168</v>
      </c>
      <c r="J48" s="515">
        <f t="shared" si="9"/>
        <v>23189.759999999998</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47</v>
      </c>
      <c r="D50" s="524">
        <f>SUM(D41:D49)</f>
        <v>0</v>
      </c>
      <c r="E50" s="832">
        <f>SUM(E41:E49)</f>
        <v>94</v>
      </c>
      <c r="F50" s="832"/>
      <c r="G50" s="818" t="s">
        <v>63</v>
      </c>
      <c r="H50" s="818"/>
      <c r="I50" s="818"/>
      <c r="J50" s="225">
        <f>SUM(J41:J49)</f>
        <v>95567.56</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991.76</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4.7730000000000003E-3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971.01099999999985</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4.3899999999999998E-3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991.76</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5.5430000000000002E-3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991.76</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4.7800000000000004E-3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991.76</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5.5529999999999998E-3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4.7800000000000004E-3</v>
      </c>
      <c r="J68" s="132">
        <f>ROUND(G68*I68,2)</f>
        <v>218109.45</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4.7730000000000003E-3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5.5529999999999998E-3</v>
      </c>
      <c r="J71" s="132">
        <f>ROUND(G71*I71,2)</f>
        <v>105140.82</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5.5430000000000002E-3</v>
      </c>
      <c r="J72" s="132">
        <f>ROUND(G72*I72,2)</f>
        <v>62635.97</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v>35.04</v>
      </c>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v>140.91999999999999</v>
      </c>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v>28.1</v>
      </c>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v>0.25</v>
      </c>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v>17.920000000000002</v>
      </c>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222.22999999999996</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1.7222999999999999E-2</v>
      </c>
      <c r="J84" s="62">
        <f>ROUND(G84*I84,2)</f>
        <v>1007593.55</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4.3899999999999998E-3</v>
      </c>
      <c r="J85" s="132">
        <f>ROUND(G85*I85,2)</f>
        <v>1180103.46</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4.3899999999999998E-3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4.7730000000000003E-3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51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0</v>
      </c>
      <c r="C91" s="80"/>
      <c r="D91" s="894">
        <f>I6</f>
        <v>1.0355000000000001</v>
      </c>
      <c r="E91" s="894"/>
      <c r="F91" s="894"/>
      <c r="G91" s="117">
        <f>Consolidated!F$119</f>
        <v>915.09</v>
      </c>
      <c r="H91" s="47" t="s">
        <v>68</v>
      </c>
      <c r="I91" s="515">
        <f>ROUND(B91*D91*G91,2)</f>
        <v>0</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971.01099999999985</v>
      </c>
      <c r="C92" s="80"/>
      <c r="D92" s="894">
        <f>I6</f>
        <v>1.0355000000000001</v>
      </c>
      <c r="E92" s="894"/>
      <c r="F92" s="894"/>
      <c r="G92" s="117">
        <f>Consolidated!F$120</f>
        <v>917.3</v>
      </c>
      <c r="H92" s="47" t="s">
        <v>68</v>
      </c>
      <c r="I92" s="515">
        <f>ROUND(B92*D92*G92,2)</f>
        <v>922328.54</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971.01099999999985</v>
      </c>
      <c r="C93" s="80"/>
      <c r="D93" s="80"/>
      <c r="E93" s="846" t="s">
        <v>112</v>
      </c>
      <c r="F93" s="846"/>
      <c r="G93" s="846"/>
      <c r="H93" s="846"/>
      <c r="I93" s="846"/>
      <c r="J93" s="121">
        <f>IF(A1=75,0,I92+I91+I90)</f>
        <v>922328.54</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25</v>
      </c>
      <c r="D97" s="228">
        <v>0</v>
      </c>
      <c r="E97" s="913">
        <f>(C97+D97)</f>
        <v>25</v>
      </c>
      <c r="F97" s="850"/>
      <c r="G97" s="850"/>
      <c r="H97" s="85" t="s">
        <v>117</v>
      </c>
      <c r="I97" s="124">
        <f>Consolidated!G$127</f>
        <v>586</v>
      </c>
      <c r="J97" s="132">
        <f>ROUND(I97*E97,2)</f>
        <v>14650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9008181.3500000015</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8607235.2400000021</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237" t="s">
        <v>431</v>
      </c>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I114" s="238">
        <f>IF(I111=1,J111,J109)</f>
        <v>8607235.2400000021</v>
      </c>
      <c r="J114" s="239">
        <f>ROUND(IF(E28=0,0,IF(E28&gt;250,-(((250/E28)*I114)*IF(H113="H",0.02,0.05)),IF(H113="H",-0.02*I114,-0.05*I114))),2)</f>
        <v>-43393.74</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8964787.6100000013</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Payments'!R106</f>
        <v>-7579931.4399999995</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1384856.1700000018</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692428.09</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ROUND(IF(H113="H",(I114*0.02)+J114,(I114*0.05)+J114),2)</f>
        <v>128750.96</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ABD22-D2C5-4D34-A819-E0350414E924}">
  <dimension ref="A1:Z207"/>
  <sheetViews>
    <sheetView topLeftCell="A107" workbookViewId="0">
      <selection activeCell="I126" sqref="I126"/>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463</v>
      </c>
      <c r="B2" s="101"/>
      <c r="C2" s="101"/>
      <c r="D2" s="101"/>
      <c r="E2" s="6"/>
      <c r="F2" s="6"/>
      <c r="G2" s="6"/>
      <c r="H2" s="6"/>
      <c r="I2" s="686" t="str">
        <f>RIGHT(A2,4)</f>
        <v>4020</v>
      </c>
      <c r="J2" s="6"/>
      <c r="K2" s="6"/>
      <c r="L2" s="6"/>
      <c r="M2" s="6"/>
      <c r="N2" s="6"/>
      <c r="O2" s="6"/>
      <c r="P2" s="6"/>
      <c r="Q2" s="6"/>
      <c r="R2" s="898" t="str">
        <f>Revenue_Estimate_Worksheet_for___________Charter_School</f>
        <v>Revenue Estimate Worksheet: Franklin Academy - Boynton Beach - 4020</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234.32</v>
      </c>
      <c r="D12" s="719">
        <f>SUMIFS(CountData!J:J,CountData!H:H,$I$2,CountData!I:I,$O12)</f>
        <v>226.73</v>
      </c>
      <c r="E12" s="804">
        <f t="shared" ref="E12:E27" si="0">IF($D$28=0,C12*2,C12+D12)</f>
        <v>461.04999999999995</v>
      </c>
      <c r="F12" s="804"/>
      <c r="G12" s="805">
        <f>Consolidated!$F14</f>
        <v>1.1080000000000001</v>
      </c>
      <c r="H12" s="805">
        <f>Consolidated!$H$9</f>
        <v>1</v>
      </c>
      <c r="I12" s="517">
        <f>ROUND(E12*G12,4)</f>
        <v>510.84339999999997</v>
      </c>
      <c r="J12" s="518">
        <f t="shared" ref="J12:J27" si="1">ROUND(ROUND(ROUND(I12*$E$6,4)*($I$6),2)*(MAX($I$7,1)),2)</f>
        <v>2841989.03</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30.13</v>
      </c>
      <c r="D13" s="357">
        <f>SUMIFS(CountData!J:J,CountData!H:H,$I$2,CountData!I:I,$O13)</f>
        <v>33</v>
      </c>
      <c r="E13" s="812">
        <f t="shared" si="0"/>
        <v>63.129999999999995</v>
      </c>
      <c r="F13" s="812"/>
      <c r="G13" s="813">
        <f>Consolidated!$F15</f>
        <v>1.1080000000000001</v>
      </c>
      <c r="H13" s="813">
        <f>Consolidated!$H$9</f>
        <v>1</v>
      </c>
      <c r="I13" s="517">
        <f t="shared" ref="I13:I27" si="3">ROUND(E13*G13,4)</f>
        <v>69.947999999999993</v>
      </c>
      <c r="J13" s="518">
        <f t="shared" si="1"/>
        <v>389143.62</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273.08999999999997</v>
      </c>
      <c r="D14" s="357">
        <f>SUMIFS(CountData!J:J,CountData!H:H,$I$2,CountData!I:I,$O14)</f>
        <v>268.62</v>
      </c>
      <c r="E14" s="812">
        <f t="shared" si="0"/>
        <v>541.71</v>
      </c>
      <c r="F14" s="812"/>
      <c r="G14" s="813">
        <f>Consolidated!$F16</f>
        <v>1</v>
      </c>
      <c r="H14" s="813">
        <f>Consolidated!$H$9</f>
        <v>1</v>
      </c>
      <c r="I14" s="517">
        <f t="shared" si="3"/>
        <v>541.71</v>
      </c>
      <c r="J14" s="518">
        <f>ROUND(ROUND(ROUND(I14*$E$6,4)*($I$6),2)*(MAX($I$7,1)),2)</f>
        <v>3013710.03</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47.53</v>
      </c>
      <c r="D15" s="357">
        <f>SUMIFS(CountData!J:J,CountData!H:H,$I$2,CountData!I:I,$O15)</f>
        <v>47.72</v>
      </c>
      <c r="E15" s="812">
        <f t="shared" si="0"/>
        <v>95.25</v>
      </c>
      <c r="F15" s="812"/>
      <c r="G15" s="813">
        <f>Consolidated!$F17</f>
        <v>1</v>
      </c>
      <c r="H15" s="813">
        <f>Consolidated!$H$9</f>
        <v>1</v>
      </c>
      <c r="I15" s="517">
        <f t="shared" si="3"/>
        <v>95.25</v>
      </c>
      <c r="J15" s="518">
        <f t="shared" si="1"/>
        <v>529906.93000000005</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37.94</v>
      </c>
      <c r="D25" s="357">
        <f>SUMIFS(CountData!J:J,CountData!H:H,$I$2,CountData!I:I,$O25)</f>
        <v>36.520000000000003</v>
      </c>
      <c r="E25" s="812">
        <f t="shared" si="0"/>
        <v>74.460000000000008</v>
      </c>
      <c r="F25" s="812"/>
      <c r="G25" s="813">
        <f>Consolidated!$F27</f>
        <v>1.165</v>
      </c>
      <c r="H25" s="813">
        <f>Consolidated!$H$9</f>
        <v>1</v>
      </c>
      <c r="I25" s="517">
        <f t="shared" si="3"/>
        <v>86.745900000000006</v>
      </c>
      <c r="J25" s="518">
        <f t="shared" si="1"/>
        <v>482595.83</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623.01</v>
      </c>
      <c r="D28" s="720">
        <f>SUM(D12:D27)</f>
        <v>612.59</v>
      </c>
      <c r="E28" s="915">
        <f>SUM(E12:E27)</f>
        <v>1235.5999999999999</v>
      </c>
      <c r="F28" s="915"/>
      <c r="G28" s="812"/>
      <c r="H28" s="812"/>
      <c r="I28" s="23">
        <f>SUM(I12:I27)</f>
        <v>1304.4973</v>
      </c>
      <c r="J28" s="121">
        <f>SUM(J12:J27)</f>
        <v>7257345.4399999995</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1304.4973</v>
      </c>
      <c r="H33" s="812" t="s">
        <v>45</v>
      </c>
      <c r="I33" s="812"/>
      <c r="J33" s="32">
        <f>SUM(J32,J28)</f>
        <v>7257345.4399999995</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7309562.2700000014</v>
      </c>
      <c r="H36" s="37" t="s">
        <v>49</v>
      </c>
      <c r="I36" s="38">
        <v>6.6699999999999995E-2</v>
      </c>
      <c r="J36" s="125">
        <f>ROUND(G36*I36,2)</f>
        <v>487547.8</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7309562.2700000014</v>
      </c>
      <c r="H37" s="37" t="s">
        <v>49</v>
      </c>
      <c r="I37" s="38">
        <v>5.4000000000000003E-3</v>
      </c>
      <c r="J37" s="125">
        <f>ROUND(G37*I37,2)</f>
        <v>39471.64</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527019.43999999994</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515"/>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27.5</v>
      </c>
      <c r="D41" s="357">
        <v>0</v>
      </c>
      <c r="E41" s="826">
        <f t="shared" ref="E41:E49" si="8">IF($D$50=0,C41*2,C41+D41)</f>
        <v>55</v>
      </c>
      <c r="F41" s="826"/>
      <c r="G41" s="37" t="s">
        <v>59</v>
      </c>
      <c r="H41" s="37">
        <v>251</v>
      </c>
      <c r="I41" s="130">
        <f>Consolidated!$H59</f>
        <v>1047</v>
      </c>
      <c r="J41" s="515">
        <f t="shared" ref="J41:J49" si="9">ROUND(E41*I41,2)</f>
        <v>57585</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2</v>
      </c>
      <c r="D42" s="357">
        <v>0</v>
      </c>
      <c r="E42" s="826">
        <f t="shared" si="8"/>
        <v>4</v>
      </c>
      <c r="F42" s="826"/>
      <c r="G42" s="37" t="s">
        <v>59</v>
      </c>
      <c r="H42" s="37">
        <v>252</v>
      </c>
      <c r="I42" s="130">
        <f>Consolidated!$H60</f>
        <v>3380</v>
      </c>
      <c r="J42" s="515">
        <f t="shared" si="9"/>
        <v>13520</v>
      </c>
      <c r="M42" s="2"/>
      <c r="R42" s="885"/>
      <c r="S42" s="885"/>
      <c r="T42" s="886"/>
      <c r="U42" s="886"/>
      <c r="V42" s="167" t="s">
        <v>59</v>
      </c>
      <c r="W42" s="167">
        <v>252</v>
      </c>
      <c r="X42" s="128">
        <f>Consolidated!$H60</f>
        <v>3380</v>
      </c>
      <c r="Y42" s="218">
        <f t="shared" ref="Y42:Y49" si="10">ROUND(T42*X42,2)</f>
        <v>0</v>
      </c>
    </row>
    <row r="43" spans="1:25" x14ac:dyDescent="0.25">
      <c r="A43" s="825"/>
      <c r="B43" s="825"/>
      <c r="C43" s="357">
        <v>0.5</v>
      </c>
      <c r="D43" s="357">
        <v>0</v>
      </c>
      <c r="E43" s="826">
        <f t="shared" si="8"/>
        <v>1</v>
      </c>
      <c r="F43" s="826"/>
      <c r="G43" s="37" t="s">
        <v>59</v>
      </c>
      <c r="H43" s="37">
        <v>253</v>
      </c>
      <c r="I43" s="130">
        <f>Consolidated!$H61</f>
        <v>6896</v>
      </c>
      <c r="J43" s="515">
        <f t="shared" si="9"/>
        <v>6896</v>
      </c>
      <c r="M43" s="2"/>
      <c r="R43" s="885"/>
      <c r="S43" s="885"/>
      <c r="T43" s="867"/>
      <c r="U43" s="867"/>
      <c r="V43" s="167" t="s">
        <v>59</v>
      </c>
      <c r="W43" s="167">
        <v>253</v>
      </c>
      <c r="X43" s="128">
        <f>Consolidated!$H61</f>
        <v>6896</v>
      </c>
      <c r="Y43" s="218">
        <f t="shared" si="10"/>
        <v>0</v>
      </c>
    </row>
    <row r="44" spans="1:25" x14ac:dyDescent="0.25">
      <c r="A44" s="825"/>
      <c r="B44" s="825"/>
      <c r="C44" s="357">
        <v>43.41</v>
      </c>
      <c r="D44" s="357">
        <v>0</v>
      </c>
      <c r="E44" s="826">
        <f t="shared" si="8"/>
        <v>86.82</v>
      </c>
      <c r="F44" s="826"/>
      <c r="G44" s="47" t="s">
        <v>60</v>
      </c>
      <c r="H44" s="37">
        <v>251</v>
      </c>
      <c r="I44" s="130">
        <f>Consolidated!$H62</f>
        <v>1173</v>
      </c>
      <c r="J44" s="515">
        <f t="shared" si="9"/>
        <v>101839.86</v>
      </c>
      <c r="L44" s="3"/>
      <c r="M44" s="2"/>
      <c r="Q44" s="4"/>
      <c r="R44" s="885"/>
      <c r="S44" s="885"/>
      <c r="T44" s="867"/>
      <c r="U44" s="867"/>
      <c r="V44" s="176" t="s">
        <v>60</v>
      </c>
      <c r="W44" s="167">
        <v>251</v>
      </c>
      <c r="X44" s="128">
        <f>Consolidated!$H62</f>
        <v>1173</v>
      </c>
      <c r="Y44" s="218">
        <f t="shared" si="10"/>
        <v>0</v>
      </c>
    </row>
    <row r="45" spans="1:25" x14ac:dyDescent="0.25">
      <c r="A45" s="825"/>
      <c r="B45" s="825"/>
      <c r="C45" s="357">
        <v>4</v>
      </c>
      <c r="D45" s="357">
        <v>0</v>
      </c>
      <c r="E45" s="826">
        <f t="shared" si="8"/>
        <v>8</v>
      </c>
      <c r="F45" s="826"/>
      <c r="G45" s="47" t="s">
        <v>60</v>
      </c>
      <c r="H45" s="37">
        <v>252</v>
      </c>
      <c r="I45" s="130">
        <f>Consolidated!$H63</f>
        <v>3506</v>
      </c>
      <c r="J45" s="515">
        <f t="shared" si="9"/>
        <v>28048</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515">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515">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515">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77.41</v>
      </c>
      <c r="D50" s="524">
        <f>SUM(D41:D49)</f>
        <v>0</v>
      </c>
      <c r="E50" s="832">
        <f>SUM(E41:E49)</f>
        <v>154.82</v>
      </c>
      <c r="F50" s="832"/>
      <c r="G50" s="818" t="s">
        <v>63</v>
      </c>
      <c r="H50" s="818"/>
      <c r="I50" s="818"/>
      <c r="J50" s="225">
        <f>SUM(J41:J49)</f>
        <v>207888.86</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1235.5999999999999</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5.947E-3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1304.4973</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5.8979999999999996E-3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1235.5999999999999</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6.9049999999999997E-3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1235.5999999999999</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5.9560000000000004E-3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1235.5999999999999</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6.9179999999999997E-3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5.9560000000000004E-3</v>
      </c>
      <c r="J68" s="132">
        <f>ROUND(G68*I68,2)</f>
        <v>271769.86</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5.947E-3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6.9179999999999997E-3</v>
      </c>
      <c r="J71" s="132">
        <f>ROUND(G71*I71,2)</f>
        <v>130985.81</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6.9049999999999997E-3</v>
      </c>
      <c r="J72" s="132">
        <f>ROUND(G72*I72,2)</f>
        <v>78026.58</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5.8979999999999996E-3</v>
      </c>
      <c r="J85" s="132">
        <f>ROUND(G85*I85,2)</f>
        <v>1585478.41</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5.8979999999999996E-3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5.947E-3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580.79139999999995</v>
      </c>
      <c r="C90" s="80"/>
      <c r="D90" s="894">
        <f>I6</f>
        <v>1.0355000000000001</v>
      </c>
      <c r="E90" s="894"/>
      <c r="F90" s="894"/>
      <c r="G90" s="117">
        <f>Consolidated!F$118</f>
        <v>958.42</v>
      </c>
      <c r="H90" s="47" t="s">
        <v>68</v>
      </c>
      <c r="I90" s="515">
        <f>ROUND(B90*D90*G90,2)</f>
        <v>576402.89</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723.70590000000004</v>
      </c>
      <c r="C91" s="80"/>
      <c r="D91" s="894">
        <f>I6</f>
        <v>1.0355000000000001</v>
      </c>
      <c r="E91" s="894"/>
      <c r="F91" s="894"/>
      <c r="G91" s="117">
        <f>Consolidated!F$119</f>
        <v>915.09</v>
      </c>
      <c r="H91" s="47" t="s">
        <v>68</v>
      </c>
      <c r="I91" s="515">
        <f>ROUND(B91*D91*G91,2)</f>
        <v>685766.12</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1304.4973</v>
      </c>
      <c r="C93" s="80"/>
      <c r="D93" s="80"/>
      <c r="E93" s="846" t="s">
        <v>112</v>
      </c>
      <c r="F93" s="846"/>
      <c r="G93" s="846"/>
      <c r="H93" s="846"/>
      <c r="I93" s="846"/>
      <c r="J93" s="121">
        <f>IF(A1=75,0,I92+I91+I90)</f>
        <v>1262169.01</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241</v>
      </c>
      <c r="D97" s="228">
        <v>0</v>
      </c>
      <c r="E97" s="913">
        <f>(C97+D97)</f>
        <v>241</v>
      </c>
      <c r="F97" s="850"/>
      <c r="G97" s="850"/>
      <c r="H97" s="85" t="s">
        <v>117</v>
      </c>
      <c r="I97" s="124">
        <f>Consolidated!G$127</f>
        <v>586</v>
      </c>
      <c r="J97" s="132">
        <f>ROUND(I97*E97,2)</f>
        <v>141226</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10934889.969999999</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10407870.529999999</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638"/>
      <c r="I114" s="639">
        <f>IF(I111=1,J111,J109)</f>
        <v>10407870.529999999</v>
      </c>
      <c r="J114" s="640">
        <f>ROUND(IF(E28=0,0,IF(E28&gt;250,-(((250/E28)*I114)*IF(H114="H",0.02,0.05)),IF(H114="H",-0.02*I114,-0.05*I114))),2)</f>
        <v>-105291.67</v>
      </c>
      <c r="M114" s="2"/>
      <c r="N114" s="3"/>
      <c r="R114" s="2"/>
      <c r="T114" s="4"/>
      <c r="W114" s="2"/>
      <c r="X114" s="5"/>
    </row>
    <row r="115" spans="1:26" ht="16.5" customHeight="1" x14ac:dyDescent="0.25">
      <c r="A115" s="236"/>
      <c r="B115" s="236"/>
      <c r="C115" s="236"/>
      <c r="D115" s="236"/>
      <c r="E115" s="236"/>
      <c r="F115" s="236"/>
      <c r="G115" s="236"/>
      <c r="H115" s="641"/>
      <c r="I115" s="642"/>
      <c r="J115" s="643"/>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644"/>
      <c r="I116" s="645"/>
      <c r="J116" s="646">
        <f>J107+J114</f>
        <v>10829598.299999999</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641"/>
      <c r="I117" s="642"/>
      <c r="J117" s="643"/>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641"/>
      <c r="I118" s="642"/>
      <c r="J118" s="647">
        <f>-'Cumulative Payments'!R107</f>
        <v>-9067832.1999999993</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641"/>
      <c r="I119" s="642"/>
      <c r="J119" s="643"/>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641"/>
      <c r="I120" s="642"/>
      <c r="J120" s="643">
        <f>J116+J118</f>
        <v>1761766.0999999996</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641"/>
      <c r="I121" s="642"/>
      <c r="J121" s="643"/>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641"/>
      <c r="I122" s="642"/>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641"/>
      <c r="I123" s="642"/>
      <c r="J123" s="643"/>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641"/>
      <c r="I124" s="642"/>
      <c r="J124" s="649">
        <f>ROUND(J120/J122,2)</f>
        <v>880883.05</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641"/>
      <c r="I125" s="642"/>
      <c r="J125" s="643"/>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641"/>
      <c r="I126" s="642"/>
      <c r="J126" s="650">
        <f>ROUND(IF(H114="H",(I114*0.02)+J114,(I114*0.05)+J114),2)</f>
        <v>415101.86</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AF59-BA16-49DC-B5B9-C114B4A765BC}">
  <dimension ref="A1:Z207"/>
  <sheetViews>
    <sheetView topLeftCell="A107" workbookViewId="0">
      <selection activeCell="L128" sqref="L12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464</v>
      </c>
      <c r="B2" s="101"/>
      <c r="C2" s="101"/>
      <c r="D2" s="101"/>
      <c r="E2" s="6"/>
      <c r="F2" s="6"/>
      <c r="G2" s="6"/>
      <c r="H2" s="6"/>
      <c r="I2" s="686" t="str">
        <f>RIGHT(A2,4)</f>
        <v>4030</v>
      </c>
      <c r="J2" s="6"/>
      <c r="K2" s="6"/>
      <c r="L2" s="6"/>
      <c r="M2" s="6"/>
      <c r="N2" s="6"/>
      <c r="O2" s="6"/>
      <c r="P2" s="6"/>
      <c r="Q2" s="6"/>
      <c r="R2" s="898" t="str">
        <f>Revenue_Estimate_Worksheet_for___________Charter_School</f>
        <v>Revenue Estimate Worksheet: Olympus International Academy - 4030</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26.47</v>
      </c>
      <c r="D12" s="719">
        <f>SUMIFS(CountData!J:J,CountData!H:H,$I$2,CountData!I:I,$O12)</f>
        <v>23.92</v>
      </c>
      <c r="E12" s="804">
        <f t="shared" ref="E12:E27" si="0">IF($D$28=0,C12*2,C12+D12)</f>
        <v>50.39</v>
      </c>
      <c r="F12" s="804"/>
      <c r="G12" s="805">
        <f>Consolidated!$F14</f>
        <v>1.1080000000000001</v>
      </c>
      <c r="H12" s="805">
        <f>Consolidated!$H$9</f>
        <v>1</v>
      </c>
      <c r="I12" s="517">
        <f>ROUND(E12*G12,4)</f>
        <v>55.832099999999997</v>
      </c>
      <c r="J12" s="518">
        <f t="shared" ref="J12:J27" si="1">ROUND(ROUND(ROUND(I12*$E$6,4)*($I$6),2)*(MAX($I$7,1)),2)</f>
        <v>310612.25</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1.04</v>
      </c>
      <c r="D13" s="357">
        <f>SUMIFS(CountData!J:J,CountData!H:H,$I$2,CountData!I:I,$O13)</f>
        <v>0.96</v>
      </c>
      <c r="E13" s="812">
        <f t="shared" si="0"/>
        <v>2</v>
      </c>
      <c r="F13" s="812"/>
      <c r="G13" s="813">
        <f>Consolidated!$F15</f>
        <v>1.1080000000000001</v>
      </c>
      <c r="H13" s="813">
        <f>Consolidated!$H$9</f>
        <v>1</v>
      </c>
      <c r="I13" s="517">
        <f t="shared" ref="I13:I27" si="3">ROUND(E13*G13,4)</f>
        <v>2.2160000000000002</v>
      </c>
      <c r="J13" s="518">
        <f t="shared" si="1"/>
        <v>12328.33</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34.17</v>
      </c>
      <c r="D14" s="357">
        <f>SUMIFS(CountData!J:J,CountData!H:H,$I$2,CountData!I:I,$O14)</f>
        <v>34.229999999999997</v>
      </c>
      <c r="E14" s="812">
        <f t="shared" si="0"/>
        <v>68.400000000000006</v>
      </c>
      <c r="F14" s="812"/>
      <c r="G14" s="813">
        <f>Consolidated!$F16</f>
        <v>1</v>
      </c>
      <c r="H14" s="813">
        <f>Consolidated!$H$9</f>
        <v>1</v>
      </c>
      <c r="I14" s="517">
        <f t="shared" si="3"/>
        <v>68.400000000000006</v>
      </c>
      <c r="J14" s="518">
        <f>ROUND(ROUND(ROUND(I14*$E$6,4)*($I$6),2)*(MAX($I$7,1)),2)</f>
        <v>380531.59</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4.13</v>
      </c>
      <c r="D15" s="357">
        <f>SUMIFS(CountData!J:J,CountData!H:H,$I$2,CountData!I:I,$O15)</f>
        <v>3.87</v>
      </c>
      <c r="E15" s="812">
        <f t="shared" si="0"/>
        <v>8</v>
      </c>
      <c r="F15" s="812"/>
      <c r="G15" s="813">
        <f>Consolidated!$F17</f>
        <v>1</v>
      </c>
      <c r="H15" s="813">
        <f>Consolidated!$H$9</f>
        <v>1</v>
      </c>
      <c r="I15" s="517">
        <f t="shared" si="3"/>
        <v>8</v>
      </c>
      <c r="J15" s="518">
        <f t="shared" si="1"/>
        <v>44506.62</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57.31</v>
      </c>
      <c r="D25" s="357">
        <f>SUMIFS(CountData!J:J,CountData!H:H,$I$2,CountData!I:I,$O25)</f>
        <v>56.7</v>
      </c>
      <c r="E25" s="812">
        <f t="shared" si="0"/>
        <v>114.01</v>
      </c>
      <c r="F25" s="812"/>
      <c r="G25" s="813">
        <f>Consolidated!$F27</f>
        <v>1.165</v>
      </c>
      <c r="H25" s="813">
        <f>Consolidated!$H$9</f>
        <v>1</v>
      </c>
      <c r="I25" s="517">
        <f t="shared" si="3"/>
        <v>132.82169999999999</v>
      </c>
      <c r="J25" s="518">
        <f t="shared" si="1"/>
        <v>738930.59</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123.12</v>
      </c>
      <c r="D28" s="720">
        <f>SUM(D12:D27)</f>
        <v>119.68</v>
      </c>
      <c r="E28" s="817">
        <f>SUM(E12:E27)</f>
        <v>242.8</v>
      </c>
      <c r="F28" s="817"/>
      <c r="G28" s="812"/>
      <c r="H28" s="812"/>
      <c r="I28" s="23">
        <f>SUM(I12:I27)</f>
        <v>267.26980000000003</v>
      </c>
      <c r="J28" s="121">
        <f>SUM(J12:J27)</f>
        <v>1486909.38</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267.26980000000003</v>
      </c>
      <c r="H33" s="812" t="s">
        <v>45</v>
      </c>
      <c r="I33" s="812"/>
      <c r="J33" s="32">
        <f>SUM(J32,J28)</f>
        <v>1486909.38</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1874258.81</v>
      </c>
      <c r="H36" s="37" t="s">
        <v>49</v>
      </c>
      <c r="I36" s="38">
        <v>6.6699999999999995E-2</v>
      </c>
      <c r="J36" s="125">
        <f>ROUND(G36*I36,2)</f>
        <v>125013.06</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1874258.81</v>
      </c>
      <c r="H37" s="37" t="s">
        <v>49</v>
      </c>
      <c r="I37" s="38">
        <v>5.4000000000000003E-3</v>
      </c>
      <c r="J37" s="125">
        <f>ROUND(G37*I37,2)</f>
        <v>10121</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135134.06</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515"/>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0.5</v>
      </c>
      <c r="D41" s="357">
        <v>0</v>
      </c>
      <c r="E41" s="826">
        <f t="shared" ref="E41:E49" si="8">IF($D$50=0,C41*2,C41+D41)</f>
        <v>1</v>
      </c>
      <c r="F41" s="826"/>
      <c r="G41" s="37" t="s">
        <v>59</v>
      </c>
      <c r="H41" s="37">
        <v>251</v>
      </c>
      <c r="I41" s="130">
        <f>Consolidated!$H59</f>
        <v>1047</v>
      </c>
      <c r="J41" s="515">
        <f t="shared" ref="J41:J49" si="9">ROUND(E41*I41,2)</f>
        <v>1047</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0.5</v>
      </c>
      <c r="D42" s="357">
        <v>0</v>
      </c>
      <c r="E42" s="826">
        <f t="shared" si="8"/>
        <v>1</v>
      </c>
      <c r="F42" s="826"/>
      <c r="G42" s="37" t="s">
        <v>59</v>
      </c>
      <c r="H42" s="37">
        <v>252</v>
      </c>
      <c r="I42" s="130">
        <f>Consolidated!$H60</f>
        <v>3380</v>
      </c>
      <c r="J42" s="515">
        <f t="shared" si="9"/>
        <v>3380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515">
        <f t="shared" si="9"/>
        <v>0</v>
      </c>
      <c r="M43" s="2"/>
      <c r="R43" s="885"/>
      <c r="S43" s="885"/>
      <c r="T43" s="867"/>
      <c r="U43" s="867"/>
      <c r="V43" s="167" t="s">
        <v>59</v>
      </c>
      <c r="W43" s="167">
        <v>253</v>
      </c>
      <c r="X43" s="128">
        <f>Consolidated!$H61</f>
        <v>6896</v>
      </c>
      <c r="Y43" s="218">
        <f t="shared" si="10"/>
        <v>0</v>
      </c>
    </row>
    <row r="44" spans="1:25" x14ac:dyDescent="0.25">
      <c r="A44" s="825"/>
      <c r="B44" s="825"/>
      <c r="C44" s="357">
        <v>3.5</v>
      </c>
      <c r="D44" s="357">
        <v>0</v>
      </c>
      <c r="E44" s="826">
        <f t="shared" si="8"/>
        <v>7</v>
      </c>
      <c r="F44" s="826"/>
      <c r="G44" s="47" t="s">
        <v>60</v>
      </c>
      <c r="H44" s="37">
        <v>251</v>
      </c>
      <c r="I44" s="130">
        <f>Consolidated!$H62</f>
        <v>1173</v>
      </c>
      <c r="J44" s="515">
        <f t="shared" si="9"/>
        <v>8211</v>
      </c>
      <c r="L44" s="3"/>
      <c r="M44" s="2"/>
      <c r="Q44" s="4"/>
      <c r="R44" s="885"/>
      <c r="S44" s="885"/>
      <c r="T44" s="867"/>
      <c r="U44" s="867"/>
      <c r="V44" s="176" t="s">
        <v>60</v>
      </c>
      <c r="W44" s="167">
        <v>251</v>
      </c>
      <c r="X44" s="128">
        <f>Consolidated!$H62</f>
        <v>1173</v>
      </c>
      <c r="Y44" s="218">
        <f t="shared" si="10"/>
        <v>0</v>
      </c>
    </row>
    <row r="45" spans="1:25" x14ac:dyDescent="0.25">
      <c r="A45" s="825"/>
      <c r="B45" s="825"/>
      <c r="C45" s="357">
        <v>0.5</v>
      </c>
      <c r="D45" s="357">
        <v>0</v>
      </c>
      <c r="E45" s="826">
        <f t="shared" si="8"/>
        <v>1</v>
      </c>
      <c r="F45" s="826"/>
      <c r="G45" s="47" t="s">
        <v>60</v>
      </c>
      <c r="H45" s="37">
        <v>252</v>
      </c>
      <c r="I45" s="130">
        <f>Consolidated!$H63</f>
        <v>3506</v>
      </c>
      <c r="J45" s="515">
        <f t="shared" si="9"/>
        <v>3506</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515">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515">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515">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5</v>
      </c>
      <c r="D50" s="524">
        <f>SUM(D41:D49)</f>
        <v>0</v>
      </c>
      <c r="E50" s="832">
        <f>SUM(E41:E49)</f>
        <v>10</v>
      </c>
      <c r="F50" s="832"/>
      <c r="G50" s="818" t="s">
        <v>63</v>
      </c>
      <c r="H50" s="818"/>
      <c r="I50" s="818"/>
      <c r="J50" s="225">
        <f>SUM(J41:J49)</f>
        <v>16144</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242.8</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1.1689999999999999E-3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E56</f>
        <v>267.26980000000003</v>
      </c>
      <c r="U55" s="178" t="s">
        <v>66</v>
      </c>
      <c r="V55" s="179"/>
      <c r="W55" s="180" t="s">
        <v>71</v>
      </c>
      <c r="X55" s="863">
        <f>I56</f>
        <v>221179.83999999997</v>
      </c>
      <c r="Y55" s="863"/>
    </row>
    <row r="56" spans="1:25" ht="16.5" customHeight="1" x14ac:dyDescent="0.25">
      <c r="A56" s="827" t="s">
        <v>70</v>
      </c>
      <c r="B56" s="827"/>
      <c r="C56" s="51"/>
      <c r="D56" s="51"/>
      <c r="E56" s="48">
        <f>G33</f>
        <v>267.26980000000003</v>
      </c>
      <c r="F56" s="49" t="s">
        <v>66</v>
      </c>
      <c r="G56" s="3"/>
      <c r="H56" s="50" t="s">
        <v>71</v>
      </c>
      <c r="I56" s="918">
        <f>Consolidated!H$74</f>
        <v>221179.83999999997</v>
      </c>
      <c r="J56" s="918"/>
      <c r="M56" s="2"/>
      <c r="R56" s="181"/>
      <c r="S56" s="164"/>
      <c r="T56" s="164"/>
      <c r="U56" s="164"/>
      <c r="V56" s="164"/>
      <c r="W56" s="183" t="s">
        <v>68</v>
      </c>
      <c r="X56" s="864">
        <f>ROUND(T55/X55,6)</f>
        <v>1.2080000000000001E-3</v>
      </c>
      <c r="Y56" s="864"/>
    </row>
    <row r="57" spans="1:25" ht="18.75" customHeight="1" x14ac:dyDescent="0.25">
      <c r="A57" s="51"/>
      <c r="H57" s="53" t="s">
        <v>68</v>
      </c>
      <c r="I57" s="828">
        <f>IFERROR(ROUND(E56/I56,6),0)</f>
        <v>1.2080000000000001E-3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242.8</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1.3569999999999999E-3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242.8</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1.17E-3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242.8</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1.359E-3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1.17E-3</v>
      </c>
      <c r="J68" s="132">
        <f>ROUND(G68*I68,2)</f>
        <v>53386.62</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1.1689999999999999E-3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1.359E-3</v>
      </c>
      <c r="J71" s="132">
        <f>ROUND(G71*I71,2)</f>
        <v>25731.38</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1.3569999999999999E-3</v>
      </c>
      <c r="J72" s="132">
        <f>ROUND(G72*I72,2)</f>
        <v>15334.12</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1.2080000000000001E-3</v>
      </c>
      <c r="J85" s="132">
        <f>ROUND(G85*I85,2)</f>
        <v>324730.06</v>
      </c>
      <c r="K85" s="70"/>
      <c r="L85" s="70"/>
      <c r="M85" s="71"/>
      <c r="N85" s="70"/>
      <c r="O85" s="70"/>
      <c r="P85" s="70"/>
      <c r="Q85" s="70"/>
      <c r="R85" s="739" t="s">
        <v>168</v>
      </c>
      <c r="S85" s="739"/>
      <c r="T85" s="739"/>
      <c r="U85" s="163"/>
      <c r="V85" s="165">
        <f>G85</f>
        <v>268816278</v>
      </c>
      <c r="W85" s="167" t="s">
        <v>81</v>
      </c>
      <c r="X85" s="170">
        <f>X56</f>
        <v>1.2080000000000001E-3</v>
      </c>
      <c r="Y85" s="217">
        <f t="shared" ref="Y85:Y87" si="12">ROUND(V85*X85,2)</f>
        <v>324730.06</v>
      </c>
    </row>
    <row r="86" spans="1:26" ht="14.25" customHeight="1" x14ac:dyDescent="0.25">
      <c r="A86" s="820" t="s">
        <v>104</v>
      </c>
      <c r="B86" s="820"/>
      <c r="C86" s="820"/>
      <c r="D86" s="820"/>
      <c r="E86" s="820"/>
      <c r="F86" s="36" t="s">
        <v>103</v>
      </c>
      <c r="G86" s="133">
        <v>0</v>
      </c>
      <c r="H86" s="37" t="s">
        <v>81</v>
      </c>
      <c r="I86" s="41">
        <f>I57</f>
        <v>1.2080000000000001E-3</v>
      </c>
      <c r="J86" s="132">
        <f>ROUND(G86*I86,2)</f>
        <v>0</v>
      </c>
      <c r="K86" s="70"/>
      <c r="L86" s="71"/>
      <c r="M86" s="76"/>
      <c r="N86" s="76"/>
      <c r="O86" s="76"/>
      <c r="P86" s="76"/>
      <c r="Q86" s="70"/>
      <c r="R86" s="739" t="s">
        <v>169</v>
      </c>
      <c r="S86" s="739"/>
      <c r="T86" s="739"/>
      <c r="U86" s="163"/>
      <c r="V86" s="197">
        <f>G86</f>
        <v>0</v>
      </c>
      <c r="W86" s="167" t="s">
        <v>81</v>
      </c>
      <c r="X86" s="170">
        <f>X56</f>
        <v>1.2080000000000001E-3</v>
      </c>
      <c r="Y86" s="217">
        <f t="shared" si="12"/>
        <v>0</v>
      </c>
    </row>
    <row r="87" spans="1:26" ht="18" customHeight="1" x14ac:dyDescent="0.25">
      <c r="A87" s="820" t="s">
        <v>105</v>
      </c>
      <c r="B87" s="820"/>
      <c r="C87" s="820"/>
      <c r="D87" s="820"/>
      <c r="E87" s="820"/>
      <c r="F87" s="36" t="s">
        <v>84</v>
      </c>
      <c r="G87" s="133">
        <v>0</v>
      </c>
      <c r="H87" s="37" t="s">
        <v>81</v>
      </c>
      <c r="I87" s="41">
        <f>I54</f>
        <v>1.1689999999999999E-3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58.048099999999998</v>
      </c>
      <c r="C90" s="80"/>
      <c r="D90" s="894">
        <f>I6</f>
        <v>1.0355000000000001</v>
      </c>
      <c r="E90" s="894"/>
      <c r="F90" s="894"/>
      <c r="G90" s="117">
        <f>Consolidated!F$118</f>
        <v>958.42</v>
      </c>
      <c r="H90" s="47" t="s">
        <v>68</v>
      </c>
      <c r="I90" s="515">
        <f>ROUND(B90*D90*G90,2)</f>
        <v>57609.48</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209.2217</v>
      </c>
      <c r="C91" s="80"/>
      <c r="D91" s="894">
        <f>I6</f>
        <v>1.0355000000000001</v>
      </c>
      <c r="E91" s="894"/>
      <c r="F91" s="894"/>
      <c r="G91" s="117">
        <f>Consolidated!F$119</f>
        <v>915.09</v>
      </c>
      <c r="H91" s="47" t="s">
        <v>68</v>
      </c>
      <c r="I91" s="515">
        <f>ROUND(B91*D91*G91,2)</f>
        <v>198253.4</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267.26979999999998</v>
      </c>
      <c r="C93" s="80"/>
      <c r="D93" s="80"/>
      <c r="E93" s="846" t="s">
        <v>112</v>
      </c>
      <c r="F93" s="846"/>
      <c r="G93" s="846"/>
      <c r="H93" s="846"/>
      <c r="I93" s="846"/>
      <c r="J93" s="121">
        <f>IF(A1=75,0,I92+I91+I90)</f>
        <v>255862.88</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0</v>
      </c>
      <c r="D97" s="228">
        <v>0</v>
      </c>
      <c r="E97" s="913">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2178098.44</v>
      </c>
      <c r="L107" s="516"/>
      <c r="R107" s="739" t="s">
        <v>125</v>
      </c>
      <c r="S107" s="739"/>
      <c r="T107" s="739"/>
      <c r="U107" s="739"/>
      <c r="V107" s="739"/>
      <c r="W107" s="739"/>
      <c r="X107" s="739"/>
      <c r="Y107" s="213">
        <f>SUM(Y106,Y105,Y97,Y96,Y93,Y86,Y85,Y84,Y70,Y69,Y67,Y33,Y71,Y50,Y87,Y83)</f>
        <v>324730.06</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2042964.38</v>
      </c>
      <c r="R109" s="164" t="s">
        <v>176</v>
      </c>
      <c r="S109" s="164"/>
      <c r="T109" s="164"/>
      <c r="U109" s="164"/>
      <c r="V109" s="164"/>
      <c r="W109" s="164"/>
      <c r="X109" s="164"/>
      <c r="Y109" s="214">
        <f>Y107-Y38</f>
        <v>324730.06</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324730.06</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237"/>
      <c r="I114" s="238">
        <f>IF(I111=1,J111,J109)</f>
        <v>2042964.38</v>
      </c>
      <c r="J114" s="239">
        <f>ROUND(IF(E28=0,0,IF(E28&gt;250,-(((250/E28)*I114)*IF(H114="H",0.02,0.05)),IF(H114="H",-0.02*I114,-0.05*I114))),2)</f>
        <v>-102148.22</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2075950.22</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Payments'!R108</f>
        <v>-1873901.6000000003</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202048.61999999965</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101024.31</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ROUND(IF(H114="H",(I114*0.02)+J114,(I114*0.05)+J114),2)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76A2-B6D3-4694-A23F-19B06DAE026B}">
  <dimension ref="A1:Z207"/>
  <sheetViews>
    <sheetView topLeftCell="A107" workbookViewId="0">
      <selection activeCell="L129" sqref="L129"/>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465</v>
      </c>
      <c r="B2" s="101"/>
      <c r="C2" s="101"/>
      <c r="D2" s="101"/>
      <c r="E2" s="6"/>
      <c r="F2" s="6"/>
      <c r="G2" s="6"/>
      <c r="H2" s="6"/>
      <c r="I2" s="686" t="str">
        <f>RIGHT(A2,4)</f>
        <v>4031</v>
      </c>
      <c r="J2" s="6"/>
      <c r="K2" s="6"/>
      <c r="L2" s="6"/>
      <c r="M2" s="6"/>
      <c r="N2" s="6"/>
      <c r="O2" s="6"/>
      <c r="P2" s="6"/>
      <c r="Q2" s="6"/>
      <c r="R2" s="898" t="str">
        <f>Revenue_Estimate_Worksheet_for___________Charter_School</f>
        <v>Revenue Estimate Worksheet: Somerset Academy Wellington - 4031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51.96</v>
      </c>
      <c r="D12" s="719">
        <f>SUMIFS(CountData!J:J,CountData!H:H,$I$2,CountData!I:I,$O12)</f>
        <v>49.23</v>
      </c>
      <c r="E12" s="804">
        <f t="shared" ref="E12:E27" si="0">IF($D$28=0,C12*2,C12+D12)</f>
        <v>101.19</v>
      </c>
      <c r="F12" s="804"/>
      <c r="G12" s="805">
        <f>Consolidated!$F14</f>
        <v>1.1080000000000001</v>
      </c>
      <c r="H12" s="805">
        <f>Consolidated!$H$9</f>
        <v>1</v>
      </c>
      <c r="I12" s="517">
        <f>ROUND(E12*G12,4)</f>
        <v>112.1185</v>
      </c>
      <c r="J12" s="518">
        <f t="shared" ref="J12:J27" si="1">ROUND(ROUND(ROUND(I12*$E$6,4)*($I$6),2)*(MAX($I$7,1)),2)</f>
        <v>623751.91</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5.99</v>
      </c>
      <c r="D13" s="357">
        <f>SUMIFS(CountData!J:J,CountData!H:H,$I$2,CountData!I:I,$O13)</f>
        <v>8.0399999999999991</v>
      </c>
      <c r="E13" s="812">
        <f t="shared" si="0"/>
        <v>14.03</v>
      </c>
      <c r="F13" s="812"/>
      <c r="G13" s="813">
        <f>Consolidated!$F15</f>
        <v>1.1080000000000001</v>
      </c>
      <c r="H13" s="813">
        <f>Consolidated!$H$9</f>
        <v>1</v>
      </c>
      <c r="I13" s="517">
        <f t="shared" ref="I13:I27" si="3">ROUND(E13*G13,4)</f>
        <v>15.545199999999999</v>
      </c>
      <c r="J13" s="518">
        <f t="shared" si="1"/>
        <v>86483.04</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89.52</v>
      </c>
      <c r="D14" s="357">
        <f>SUMIFS(CountData!J:J,CountData!H:H,$I$2,CountData!I:I,$O14)</f>
        <v>90.48</v>
      </c>
      <c r="E14" s="812">
        <f t="shared" si="0"/>
        <v>180</v>
      </c>
      <c r="F14" s="812"/>
      <c r="G14" s="813">
        <f>Consolidated!$F16</f>
        <v>1</v>
      </c>
      <c r="H14" s="813">
        <f>Consolidated!$H$9</f>
        <v>1</v>
      </c>
      <c r="I14" s="517">
        <f t="shared" si="3"/>
        <v>180</v>
      </c>
      <c r="J14" s="518">
        <f>ROUND(ROUND(ROUND(I14*$E$6,4)*($I$6),2)*(MAX($I$7,1)),2)</f>
        <v>1001398.91</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18.55</v>
      </c>
      <c r="D15" s="357">
        <f>SUMIFS(CountData!J:J,CountData!H:H,$I$2,CountData!I:I,$O15)</f>
        <v>18.07</v>
      </c>
      <c r="E15" s="812">
        <f t="shared" si="0"/>
        <v>36.620000000000005</v>
      </c>
      <c r="F15" s="812"/>
      <c r="G15" s="813">
        <f>Consolidated!$F17</f>
        <v>1</v>
      </c>
      <c r="H15" s="813">
        <f>Consolidated!$H$9</f>
        <v>1</v>
      </c>
      <c r="I15" s="517">
        <f t="shared" si="3"/>
        <v>36.619999999999997</v>
      </c>
      <c r="J15" s="518">
        <f t="shared" si="1"/>
        <v>203729.05</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34.32</v>
      </c>
      <c r="D25" s="357">
        <f>SUMIFS(CountData!J:J,CountData!H:H,$I$2,CountData!I:I,$O25)</f>
        <v>31.93</v>
      </c>
      <c r="E25" s="812">
        <f t="shared" si="0"/>
        <v>66.25</v>
      </c>
      <c r="F25" s="812"/>
      <c r="G25" s="813">
        <f>Consolidated!$F27</f>
        <v>1.165</v>
      </c>
      <c r="H25" s="813">
        <f>Consolidated!$H$9</f>
        <v>1</v>
      </c>
      <c r="I25" s="517">
        <f t="shared" si="3"/>
        <v>77.181299999999993</v>
      </c>
      <c r="J25" s="518">
        <f t="shared" si="1"/>
        <v>429384.83</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200.34</v>
      </c>
      <c r="D28" s="720">
        <f>SUM(D12:D27)</f>
        <v>197.75</v>
      </c>
      <c r="E28" s="817">
        <f>SUM(E12:E27)</f>
        <v>398.09000000000003</v>
      </c>
      <c r="F28" s="817"/>
      <c r="G28" s="812"/>
      <c r="H28" s="812"/>
      <c r="I28" s="23">
        <f>SUM(I12:I27)</f>
        <v>421.46500000000003</v>
      </c>
      <c r="J28" s="121">
        <f>SUM(J12:J27)</f>
        <v>2344747.7400000002</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421.46500000000003</v>
      </c>
      <c r="H33" s="812" t="s">
        <v>45</v>
      </c>
      <c r="I33" s="812"/>
      <c r="J33" s="32">
        <f>SUM(J32,J28)</f>
        <v>2344747.7400000002</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2716972.73</v>
      </c>
      <c r="H36" s="37" t="s">
        <v>49</v>
      </c>
      <c r="I36" s="38">
        <v>6.6699999999999995E-2</v>
      </c>
      <c r="J36" s="125">
        <f>ROUND(G36*I36,2)</f>
        <v>181222.08</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2716972.73</v>
      </c>
      <c r="H37" s="37" t="s">
        <v>49</v>
      </c>
      <c r="I37" s="38">
        <v>5.4000000000000003E-3</v>
      </c>
      <c r="J37" s="125">
        <f>ROUND(G37*I37,2)</f>
        <v>14671.65</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195893.72999999998</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4</v>
      </c>
      <c r="D41" s="357">
        <v>0</v>
      </c>
      <c r="E41" s="826">
        <f t="shared" ref="E41:E49" si="8">IF($D$50=0,C41*2,C41+D41)</f>
        <v>8</v>
      </c>
      <c r="F41" s="826"/>
      <c r="G41" s="37" t="s">
        <v>59</v>
      </c>
      <c r="H41" s="37">
        <v>251</v>
      </c>
      <c r="I41" s="130">
        <f>Consolidated!$H59</f>
        <v>1047</v>
      </c>
      <c r="J41" s="46">
        <f t="shared" ref="J41:J49" si="9">ROUND(E41*I41,2)</f>
        <v>8376</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2</v>
      </c>
      <c r="D42" s="357">
        <v>0</v>
      </c>
      <c r="E42" s="826">
        <f t="shared" si="8"/>
        <v>4</v>
      </c>
      <c r="F42" s="826"/>
      <c r="G42" s="37" t="s">
        <v>59</v>
      </c>
      <c r="H42" s="37">
        <v>252</v>
      </c>
      <c r="I42" s="130">
        <f>Consolidated!$H60</f>
        <v>3380</v>
      </c>
      <c r="J42" s="46">
        <f t="shared" si="9"/>
        <v>13520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x14ac:dyDescent="0.25">
      <c r="A44" s="825"/>
      <c r="B44" s="825"/>
      <c r="C44" s="357">
        <v>15</v>
      </c>
      <c r="D44" s="357">
        <v>0</v>
      </c>
      <c r="E44" s="826">
        <f t="shared" si="8"/>
        <v>30</v>
      </c>
      <c r="F44" s="826"/>
      <c r="G44" s="47" t="s">
        <v>60</v>
      </c>
      <c r="H44" s="37">
        <v>251</v>
      </c>
      <c r="I44" s="130">
        <f>Consolidated!$H62</f>
        <v>1173</v>
      </c>
      <c r="J44" s="131">
        <f t="shared" si="9"/>
        <v>35190</v>
      </c>
      <c r="L44" s="3"/>
      <c r="M44" s="2"/>
      <c r="Q44" s="4"/>
      <c r="R44" s="885"/>
      <c r="S44" s="885"/>
      <c r="T44" s="867"/>
      <c r="U44" s="867"/>
      <c r="V44" s="176" t="s">
        <v>60</v>
      </c>
      <c r="W44" s="167">
        <v>251</v>
      </c>
      <c r="X44" s="128">
        <f>Consolidated!$H62</f>
        <v>1173</v>
      </c>
      <c r="Y44" s="218">
        <f t="shared" si="10"/>
        <v>0</v>
      </c>
    </row>
    <row r="45" spans="1:25" x14ac:dyDescent="0.25">
      <c r="A45" s="825"/>
      <c r="B45" s="825"/>
      <c r="C45" s="357">
        <v>3.5</v>
      </c>
      <c r="D45" s="357">
        <v>0</v>
      </c>
      <c r="E45" s="826">
        <f t="shared" si="8"/>
        <v>7</v>
      </c>
      <c r="F45" s="826"/>
      <c r="G45" s="47" t="s">
        <v>60</v>
      </c>
      <c r="H45" s="37">
        <v>252</v>
      </c>
      <c r="I45" s="130">
        <f>Consolidated!$H63</f>
        <v>3506</v>
      </c>
      <c r="J45" s="46">
        <f t="shared" si="9"/>
        <v>24542</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46">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24.5</v>
      </c>
      <c r="D50" s="524">
        <f>SUM(D41:D49)</f>
        <v>0</v>
      </c>
      <c r="E50" s="832">
        <f>SUM(E41:E49)</f>
        <v>49</v>
      </c>
      <c r="F50" s="832"/>
      <c r="G50" s="818" t="s">
        <v>63</v>
      </c>
      <c r="H50" s="818"/>
      <c r="I50" s="818"/>
      <c r="J50" s="225">
        <f>SUM(J41:J49)</f>
        <v>81628</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398.09000000000003</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1.916E-3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421.46500000000003</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1.9059999999999999E-3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398.09000000000003</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2.225E-3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398.09000000000003</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1.9189999999999999E-3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398.09000000000003</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2.2290000000000001E-3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1.9189999999999999E-3</v>
      </c>
      <c r="J68" s="132">
        <f>ROUND(G68*I68,2)</f>
        <v>87563.19</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1.916E-3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2.2290000000000001E-3</v>
      </c>
      <c r="J71" s="132">
        <f>ROUND(G71*I71,2)</f>
        <v>42204.02</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2.225E-3</v>
      </c>
      <c r="J72" s="132">
        <f>ROUND(G72*I72,2)</f>
        <v>25142.53</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1.9059999999999999E-3</v>
      </c>
      <c r="J85" s="132">
        <f>ROUND(G85*I85,2)</f>
        <v>512363.83</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1.9059999999999999E-3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1.916E-3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127.66369999999999</v>
      </c>
      <c r="C90" s="80"/>
      <c r="D90" s="894">
        <f>I6</f>
        <v>1.0355000000000001</v>
      </c>
      <c r="E90" s="894"/>
      <c r="F90" s="894"/>
      <c r="G90" s="117">
        <f>Consolidated!F$118</f>
        <v>958.42</v>
      </c>
      <c r="H90" s="47" t="s">
        <v>68</v>
      </c>
      <c r="I90" s="515">
        <f>ROUND(B90*D90*G90,2)</f>
        <v>126699.06</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293.80129999999997</v>
      </c>
      <c r="C91" s="80"/>
      <c r="D91" s="894">
        <f>I6</f>
        <v>1.0355000000000001</v>
      </c>
      <c r="E91" s="894"/>
      <c r="F91" s="894"/>
      <c r="G91" s="117">
        <f>Consolidated!F$119</f>
        <v>915.09</v>
      </c>
      <c r="H91" s="47" t="s">
        <v>68</v>
      </c>
      <c r="I91" s="515">
        <f>ROUND(B91*D91*G91,2)</f>
        <v>278398.96999999997</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421.46499999999997</v>
      </c>
      <c r="C93" s="80"/>
      <c r="D93" s="80"/>
      <c r="E93" s="846" t="s">
        <v>112</v>
      </c>
      <c r="F93" s="846"/>
      <c r="G93" s="846"/>
      <c r="H93" s="846"/>
      <c r="I93" s="846"/>
      <c r="J93" s="121">
        <f>IF(A1=75,0,I92+I91+I90)</f>
        <v>405098.02999999997</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0</v>
      </c>
      <c r="D97" s="228">
        <v>0</v>
      </c>
      <c r="E97" s="913">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3498747.3400000003</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3302853.6100000003</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237"/>
      <c r="I114" s="238">
        <f>IF(I111=1,J111,J109)</f>
        <v>3302853.6100000003</v>
      </c>
      <c r="J114" s="239">
        <f>ROUND(IF(E28=0,0,IF(E28&gt;250,-(((250/E28)*I114)*IF(H114="H",0.02,0.05)),IF(H114="H",-0.02*I114,-0.05*I114))),2)</f>
        <v>-103709.39</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3395037.95</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Payments'!R109</f>
        <v>-2953322.38</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441715.5700000003</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220857.79</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ROUND(IF(H114="H",(I114*0.02)+J114,(I114*0.05)+J114),2)</f>
        <v>61433.29</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8A7AB-50C5-47DF-9481-84B2A08425BA}">
  <dimension ref="A1:Z207"/>
  <sheetViews>
    <sheetView topLeftCell="A107" workbookViewId="0">
      <selection activeCell="A127" sqref="A12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466</v>
      </c>
      <c r="B2" s="101"/>
      <c r="C2" s="101"/>
      <c r="D2" s="101"/>
      <c r="E2" s="6"/>
      <c r="F2" s="6"/>
      <c r="G2" s="6"/>
      <c r="H2" s="6"/>
      <c r="I2" s="686" t="str">
        <f>RIGHT(A2,4)</f>
        <v>4041</v>
      </c>
      <c r="J2" s="6"/>
      <c r="K2" s="6"/>
      <c r="L2" s="6"/>
      <c r="M2" s="6"/>
      <c r="N2" s="6"/>
      <c r="O2" s="6"/>
      <c r="P2" s="6"/>
      <c r="Q2" s="6"/>
      <c r="R2" s="898" t="str">
        <f>Revenue_Estimate_Worksheet_for___________Charter_School</f>
        <v>Revenue Estimate Worksheet: Somerset Academy Boca Middle School - 4041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35.5</v>
      </c>
      <c r="D14" s="357">
        <f>SUMIFS(CountData!J:J,CountData!H:H,$I$2,CountData!I:I,$O14)</f>
        <v>35.36</v>
      </c>
      <c r="E14" s="812">
        <f t="shared" si="0"/>
        <v>70.86</v>
      </c>
      <c r="F14" s="812"/>
      <c r="G14" s="813">
        <f>Consolidated!$F16</f>
        <v>1</v>
      </c>
      <c r="H14" s="813">
        <f>Consolidated!$H$9</f>
        <v>1</v>
      </c>
      <c r="I14" s="517">
        <f t="shared" si="3"/>
        <v>70.86</v>
      </c>
      <c r="J14" s="518">
        <f>ROUND(ROUND(ROUND(I14*$E$6,4)*($I$6),2)*(MAX($I$7,1)),2)</f>
        <v>394217.37</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9.5500000000000007</v>
      </c>
      <c r="D15" s="357">
        <f>SUMIFS(CountData!J:J,CountData!H:H,$I$2,CountData!I:I,$O15)</f>
        <v>9.57</v>
      </c>
      <c r="E15" s="812">
        <f t="shared" si="0"/>
        <v>19.12</v>
      </c>
      <c r="F15" s="812"/>
      <c r="G15" s="813">
        <f>Consolidated!$F17</f>
        <v>1</v>
      </c>
      <c r="H15" s="813">
        <f>Consolidated!$H$9</f>
        <v>1</v>
      </c>
      <c r="I15" s="517">
        <f t="shared" si="3"/>
        <v>19.12</v>
      </c>
      <c r="J15" s="518">
        <f t="shared" si="1"/>
        <v>106370.82</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2.79</v>
      </c>
      <c r="D25" s="357">
        <f>SUMIFS(CountData!J:J,CountData!H:H,$I$2,CountData!I:I,$O25)</f>
        <v>2.29</v>
      </c>
      <c r="E25" s="812">
        <f t="shared" si="0"/>
        <v>5.08</v>
      </c>
      <c r="F25" s="812"/>
      <c r="G25" s="813">
        <f>Consolidated!$F27</f>
        <v>1.165</v>
      </c>
      <c r="H25" s="813">
        <f>Consolidated!$H$9</f>
        <v>1</v>
      </c>
      <c r="I25" s="517">
        <f t="shared" si="3"/>
        <v>5.9181999999999997</v>
      </c>
      <c r="J25" s="518">
        <f t="shared" si="1"/>
        <v>32924.879999999997</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47.839999999999996</v>
      </c>
      <c r="D28" s="720">
        <f>SUM(D12:D27)</f>
        <v>47.22</v>
      </c>
      <c r="E28" s="817">
        <f>SUM(E12:E27)</f>
        <v>95.06</v>
      </c>
      <c r="F28" s="817"/>
      <c r="G28" s="812"/>
      <c r="H28" s="812"/>
      <c r="I28" s="23">
        <f>SUM(I12:I27)</f>
        <v>95.898200000000003</v>
      </c>
      <c r="J28" s="121">
        <f>SUM(J12:J27)</f>
        <v>533513.06999999995</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95.898200000000003</v>
      </c>
      <c r="H33" s="812" t="s">
        <v>45</v>
      </c>
      <c r="I33" s="812"/>
      <c r="J33" s="32">
        <f>SUM(J32,J28)</f>
        <v>533513.06999999995</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528682.99</v>
      </c>
      <c r="H36" s="37" t="s">
        <v>49</v>
      </c>
      <c r="I36" s="38">
        <v>6.6699999999999995E-2</v>
      </c>
      <c r="J36" s="125">
        <f>ROUND(G36*I36,2)</f>
        <v>35263.160000000003</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528682.99</v>
      </c>
      <c r="H37" s="37" t="s">
        <v>49</v>
      </c>
      <c r="I37" s="38">
        <v>5.4000000000000003E-3</v>
      </c>
      <c r="J37" s="125">
        <f>ROUND(G37*I37,2)</f>
        <v>2854.89</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38118.050000000003</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515"/>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515">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515">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515">
        <f t="shared" si="9"/>
        <v>0</v>
      </c>
      <c r="M43" s="2"/>
      <c r="R43" s="885"/>
      <c r="S43" s="885"/>
      <c r="T43" s="867"/>
      <c r="U43" s="867"/>
      <c r="V43" s="167" t="s">
        <v>59</v>
      </c>
      <c r="W43" s="167">
        <v>253</v>
      </c>
      <c r="X43" s="128">
        <f>Consolidated!$H61</f>
        <v>6896</v>
      </c>
      <c r="Y43" s="218">
        <f t="shared" si="10"/>
        <v>0</v>
      </c>
    </row>
    <row r="44" spans="1:25" x14ac:dyDescent="0.25">
      <c r="A44" s="825"/>
      <c r="B44" s="825"/>
      <c r="C44" s="357">
        <v>8.84</v>
      </c>
      <c r="D44" s="357">
        <v>0</v>
      </c>
      <c r="E44" s="826">
        <f t="shared" si="8"/>
        <v>17.68</v>
      </c>
      <c r="F44" s="826"/>
      <c r="G44" s="47" t="s">
        <v>60</v>
      </c>
      <c r="H44" s="37">
        <v>251</v>
      </c>
      <c r="I44" s="130">
        <f>Consolidated!$H62</f>
        <v>1173</v>
      </c>
      <c r="J44" s="515">
        <f t="shared" si="9"/>
        <v>20738.64</v>
      </c>
      <c r="L44" s="3"/>
      <c r="M44" s="2"/>
      <c r="Q44" s="4"/>
      <c r="R44" s="885"/>
      <c r="S44" s="885"/>
      <c r="T44" s="867"/>
      <c r="U44" s="867"/>
      <c r="V44" s="176" t="s">
        <v>60</v>
      </c>
      <c r="W44" s="167">
        <v>251</v>
      </c>
      <c r="X44" s="128">
        <f>Consolidated!$H62</f>
        <v>1173</v>
      </c>
      <c r="Y44" s="218">
        <f t="shared" si="10"/>
        <v>0</v>
      </c>
    </row>
    <row r="45" spans="1:25" x14ac:dyDescent="0.25">
      <c r="A45" s="825"/>
      <c r="B45" s="825"/>
      <c r="C45" s="357">
        <v>0.5</v>
      </c>
      <c r="D45" s="357">
        <v>0</v>
      </c>
      <c r="E45" s="826">
        <f t="shared" si="8"/>
        <v>1</v>
      </c>
      <c r="F45" s="826"/>
      <c r="G45" s="47" t="s">
        <v>60</v>
      </c>
      <c r="H45" s="37">
        <v>252</v>
      </c>
      <c r="I45" s="130">
        <f>Consolidated!$H63</f>
        <v>3506</v>
      </c>
      <c r="J45" s="515">
        <f t="shared" si="9"/>
        <v>3506</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515">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515">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515">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9.34</v>
      </c>
      <c r="D50" s="524">
        <f>SUM(D41:D49)</f>
        <v>0</v>
      </c>
      <c r="E50" s="832">
        <f>SUM(E41:E49)</f>
        <v>18.68</v>
      </c>
      <c r="F50" s="832"/>
      <c r="G50" s="818" t="s">
        <v>63</v>
      </c>
      <c r="H50" s="818"/>
      <c r="I50" s="818"/>
      <c r="J50" s="225">
        <f>SUM(J41:J49)</f>
        <v>24244.639999999999</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95.06</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4.57E-4</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95.898200000000003</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4.3399999999999998E-4</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95.06</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5.31E-4</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95.06</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4.5800000000000002E-4</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95.06</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5.3200000000000003E-4</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4.5800000000000002E-4</v>
      </c>
      <c r="J68" s="132">
        <f>ROUND(G68*I68,2)</f>
        <v>20898.349999999999</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4.57E-4</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5.3200000000000003E-4</v>
      </c>
      <c r="J71" s="132">
        <f>ROUND(G71*I71,2)</f>
        <v>10072.92</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5.31E-4</v>
      </c>
      <c r="J72" s="132">
        <f>ROUND(G72*I72,2)</f>
        <v>6000.31</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4.3399999999999998E-4</v>
      </c>
      <c r="J85" s="132">
        <f>ROUND(G85*I85,2)</f>
        <v>116666.26</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4.3399999999999998E-4</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4.57E-4</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13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95.898200000000003</v>
      </c>
      <c r="C91" s="80"/>
      <c r="D91" s="894">
        <f>I6</f>
        <v>1.0355000000000001</v>
      </c>
      <c r="E91" s="894"/>
      <c r="F91" s="894"/>
      <c r="G91" s="117">
        <f>Consolidated!F$119</f>
        <v>915.09</v>
      </c>
      <c r="H91" s="47" t="s">
        <v>68</v>
      </c>
      <c r="I91" s="134">
        <f>ROUND(B91*D91*G91,2)</f>
        <v>90870.8</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95.898200000000003</v>
      </c>
      <c r="C93" s="80"/>
      <c r="D93" s="80"/>
      <c r="E93" s="846" t="s">
        <v>112</v>
      </c>
      <c r="F93" s="846"/>
      <c r="G93" s="846"/>
      <c r="H93" s="846"/>
      <c r="I93" s="846"/>
      <c r="J93" s="121">
        <f>IF(A1=75,0,I92+I91+I90)</f>
        <v>90870.8</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0</v>
      </c>
      <c r="D97" s="228">
        <v>0</v>
      </c>
      <c r="E97" s="913">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802266.35</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764148.29999999993</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237" t="s">
        <v>431</v>
      </c>
      <c r="I114" s="238">
        <f>IF(I111=1,J111,J109)</f>
        <v>764148.29999999993</v>
      </c>
      <c r="J114" s="239">
        <f>ROUND(IF(E28=0,0,IF(E28&gt;250,-(((250/E28)*I114)*IF(H114="H",0.02,0.05)),IF(H114="H",-0.02*I114,-0.05*I114))),2)</f>
        <v>-15282.97</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786983.38</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Payments'!R110</f>
        <v>-653526.28</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133457.09999999998</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66728.55</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ROUND(IF(H114="H",(I114*0.02)+J114,(I114*0.05)+J114),2)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19516-EA59-4DC6-8F8F-683329FA5200}">
  <dimension ref="A1:Z207"/>
  <sheetViews>
    <sheetView topLeftCell="A107" workbookViewId="0">
      <selection activeCell="L128" sqref="L12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467</v>
      </c>
      <c r="B2" s="101"/>
      <c r="C2" s="101"/>
      <c r="D2" s="101"/>
      <c r="E2" s="6"/>
      <c r="F2" s="6"/>
      <c r="G2" s="6"/>
      <c r="H2" s="6"/>
      <c r="I2" s="686" t="str">
        <f>RIGHT(A2,4)</f>
        <v>4050</v>
      </c>
      <c r="J2" s="6"/>
      <c r="K2" s="6"/>
      <c r="L2" s="6"/>
      <c r="M2" s="6"/>
      <c r="N2" s="6"/>
      <c r="O2" s="6"/>
      <c r="P2" s="6"/>
      <c r="Q2" s="6"/>
      <c r="R2" s="898" t="str">
        <f>Revenue_Estimate_Worksheet_for___________Charter_School</f>
        <v>Revenue Estimate Worksheet: Renaissance Charter School at Cypress - 4050</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114.87</v>
      </c>
      <c r="D12" s="719">
        <f>SUMIFS(CountData!J:J,CountData!H:H,$I$2,CountData!I:I,$O12)</f>
        <v>111.91</v>
      </c>
      <c r="E12" s="804">
        <f t="shared" ref="E12:E27" si="0">IF($D$28=0,C12*2,C12+D12)</f>
        <v>226.78</v>
      </c>
      <c r="F12" s="804"/>
      <c r="G12" s="805">
        <f>Consolidated!$F14</f>
        <v>1.1080000000000001</v>
      </c>
      <c r="H12" s="805">
        <f>Consolidated!$H$9</f>
        <v>1</v>
      </c>
      <c r="I12" s="517">
        <f>ROUND(E12*G12,4)</f>
        <v>251.2722</v>
      </c>
      <c r="J12" s="518">
        <f t="shared" ref="J12:J27" si="1">ROUND(ROUND(ROUND(I12*$E$6,4)*($I$6),2)*(MAX($I$7,1)),2)</f>
        <v>1397909.49</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11.5</v>
      </c>
      <c r="D13" s="357">
        <f>SUMIFS(CountData!J:J,CountData!H:H,$I$2,CountData!I:I,$O13)</f>
        <v>11.5</v>
      </c>
      <c r="E13" s="812">
        <f t="shared" si="0"/>
        <v>23</v>
      </c>
      <c r="F13" s="812"/>
      <c r="G13" s="813">
        <f>Consolidated!$F15</f>
        <v>1.1080000000000001</v>
      </c>
      <c r="H13" s="813">
        <f>Consolidated!$H$9</f>
        <v>1</v>
      </c>
      <c r="I13" s="517">
        <f t="shared" ref="I13:I27" si="3">ROUND(E13*G13,4)</f>
        <v>25.484000000000002</v>
      </c>
      <c r="J13" s="518">
        <f t="shared" si="1"/>
        <v>141775.82999999999</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133.94999999999999</v>
      </c>
      <c r="D14" s="357">
        <f>SUMIFS(CountData!J:J,CountData!H:H,$I$2,CountData!I:I,$O14)</f>
        <v>133.57</v>
      </c>
      <c r="E14" s="812">
        <f t="shared" si="0"/>
        <v>267.52</v>
      </c>
      <c r="F14" s="812"/>
      <c r="G14" s="813">
        <f>Consolidated!$F16</f>
        <v>1</v>
      </c>
      <c r="H14" s="813">
        <f>Consolidated!$H$9</f>
        <v>1</v>
      </c>
      <c r="I14" s="517">
        <f t="shared" si="3"/>
        <v>267.52</v>
      </c>
      <c r="J14" s="518">
        <f>ROUND(ROUND(ROUND(I14*$E$6,4)*($I$6),2)*(MAX($I$7,1)),2)</f>
        <v>1488301.32</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21.57</v>
      </c>
      <c r="D15" s="357">
        <f>SUMIFS(CountData!J:J,CountData!H:H,$I$2,CountData!I:I,$O15)</f>
        <v>21</v>
      </c>
      <c r="E15" s="812">
        <f t="shared" si="0"/>
        <v>42.57</v>
      </c>
      <c r="F15" s="812"/>
      <c r="G15" s="813">
        <f>Consolidated!$F17</f>
        <v>1</v>
      </c>
      <c r="H15" s="813">
        <f>Consolidated!$H$9</f>
        <v>1</v>
      </c>
      <c r="I15" s="517">
        <f t="shared" si="3"/>
        <v>42.57</v>
      </c>
      <c r="J15" s="518">
        <f t="shared" si="1"/>
        <v>236830.84</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37.39</v>
      </c>
      <c r="D25" s="357">
        <f>SUMIFS(CountData!J:J,CountData!H:H,$I$2,CountData!I:I,$O25)</f>
        <v>36.74</v>
      </c>
      <c r="E25" s="812">
        <f t="shared" si="0"/>
        <v>74.13</v>
      </c>
      <c r="F25" s="812"/>
      <c r="G25" s="813">
        <f>Consolidated!$F27</f>
        <v>1.165</v>
      </c>
      <c r="H25" s="813">
        <f>Consolidated!$H$9</f>
        <v>1</v>
      </c>
      <c r="I25" s="517">
        <f t="shared" si="3"/>
        <v>86.361500000000007</v>
      </c>
      <c r="J25" s="518">
        <f t="shared" si="1"/>
        <v>480457.29</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319.27999999999997</v>
      </c>
      <c r="D28" s="720">
        <f>SUM(D12:D27)</f>
        <v>314.72000000000003</v>
      </c>
      <c r="E28" s="817">
        <f>SUM(E12:E27)</f>
        <v>634</v>
      </c>
      <c r="F28" s="817"/>
      <c r="G28" s="812"/>
      <c r="H28" s="812"/>
      <c r="I28" s="23">
        <f>SUM(I12:I27)</f>
        <v>673.20770000000005</v>
      </c>
      <c r="J28" s="121">
        <f>SUM(J12:J27)</f>
        <v>3745274.77</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673.20770000000005</v>
      </c>
      <c r="H33" s="812" t="s">
        <v>45</v>
      </c>
      <c r="I33" s="812"/>
      <c r="J33" s="32">
        <f>SUM(J32,J28)</f>
        <v>3745274.77</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4297632.51</v>
      </c>
      <c r="H36" s="37" t="s">
        <v>49</v>
      </c>
      <c r="I36" s="38">
        <v>6.6699999999999995E-2</v>
      </c>
      <c r="J36" s="125">
        <f>ROUND(G36*I36,2)</f>
        <v>286652.09000000003</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4297632.51</v>
      </c>
      <c r="H37" s="37" t="s">
        <v>49</v>
      </c>
      <c r="I37" s="38">
        <v>5.4000000000000003E-3</v>
      </c>
      <c r="J37" s="125">
        <f>ROUND(G37*I37,2)</f>
        <v>23207.22</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309859.31000000006</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8</v>
      </c>
      <c r="D41" s="357">
        <v>0</v>
      </c>
      <c r="E41" s="826">
        <f t="shared" ref="E41:E49" si="8">IF($D$50=0,C41*2,C41+D41)</f>
        <v>16</v>
      </c>
      <c r="F41" s="826"/>
      <c r="G41" s="37" t="s">
        <v>59</v>
      </c>
      <c r="H41" s="37">
        <v>251</v>
      </c>
      <c r="I41" s="130">
        <f>Consolidated!$H59</f>
        <v>1047</v>
      </c>
      <c r="J41" s="46">
        <f t="shared" ref="J41:J49" si="9">ROUND(E41*I41,2)</f>
        <v>16752</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3</v>
      </c>
      <c r="D42" s="357">
        <v>0</v>
      </c>
      <c r="E42" s="826">
        <f t="shared" si="8"/>
        <v>6</v>
      </c>
      <c r="F42" s="826"/>
      <c r="G42" s="37" t="s">
        <v>59</v>
      </c>
      <c r="H42" s="37">
        <v>252</v>
      </c>
      <c r="I42" s="130">
        <f>Consolidated!$H60</f>
        <v>3380</v>
      </c>
      <c r="J42" s="46">
        <f t="shared" si="9"/>
        <v>20280</v>
      </c>
      <c r="M42" s="2"/>
      <c r="R42" s="885"/>
      <c r="S42" s="885"/>
      <c r="T42" s="886"/>
      <c r="U42" s="886"/>
      <c r="V42" s="167" t="s">
        <v>59</v>
      </c>
      <c r="W42" s="167">
        <v>252</v>
      </c>
      <c r="X42" s="128">
        <f>Consolidated!$H60</f>
        <v>3380</v>
      </c>
      <c r="Y42" s="218">
        <f t="shared" ref="Y42:Y49" si="10">ROUND(T42*X42,2)</f>
        <v>0</v>
      </c>
    </row>
    <row r="43" spans="1:25" x14ac:dyDescent="0.25">
      <c r="A43" s="825"/>
      <c r="B43" s="825"/>
      <c r="C43" s="357">
        <v>0.5</v>
      </c>
      <c r="D43" s="357">
        <v>0</v>
      </c>
      <c r="E43" s="826">
        <f t="shared" si="8"/>
        <v>1</v>
      </c>
      <c r="F43" s="826"/>
      <c r="G43" s="37" t="s">
        <v>59</v>
      </c>
      <c r="H43" s="37">
        <v>253</v>
      </c>
      <c r="I43" s="130">
        <f>Consolidated!$H61</f>
        <v>6896</v>
      </c>
      <c r="J43" s="46">
        <f t="shared" si="9"/>
        <v>6896</v>
      </c>
      <c r="M43" s="2"/>
      <c r="R43" s="885"/>
      <c r="S43" s="885"/>
      <c r="T43" s="867"/>
      <c r="U43" s="867"/>
      <c r="V43" s="167" t="s">
        <v>59</v>
      </c>
      <c r="W43" s="167">
        <v>253</v>
      </c>
      <c r="X43" s="128">
        <f>Consolidated!$H61</f>
        <v>6896</v>
      </c>
      <c r="Y43" s="218">
        <f t="shared" si="10"/>
        <v>0</v>
      </c>
    </row>
    <row r="44" spans="1:25" x14ac:dyDescent="0.25">
      <c r="A44" s="825"/>
      <c r="B44" s="825"/>
      <c r="C44" s="357">
        <v>18.5</v>
      </c>
      <c r="D44" s="357">
        <v>0</v>
      </c>
      <c r="E44" s="826">
        <f t="shared" si="8"/>
        <v>37</v>
      </c>
      <c r="F44" s="826"/>
      <c r="G44" s="47" t="s">
        <v>60</v>
      </c>
      <c r="H44" s="37">
        <v>251</v>
      </c>
      <c r="I44" s="130">
        <f>Consolidated!$H62</f>
        <v>1173</v>
      </c>
      <c r="J44" s="131">
        <f t="shared" si="9"/>
        <v>43401</v>
      </c>
      <c r="L44" s="3"/>
      <c r="M44" s="2"/>
      <c r="Q44" s="4"/>
      <c r="R44" s="885"/>
      <c r="S44" s="885"/>
      <c r="T44" s="867"/>
      <c r="U44" s="867"/>
      <c r="V44" s="176" t="s">
        <v>60</v>
      </c>
      <c r="W44" s="167">
        <v>251</v>
      </c>
      <c r="X44" s="128">
        <f>Consolidated!$H62</f>
        <v>1173</v>
      </c>
      <c r="Y44" s="218">
        <f t="shared" si="10"/>
        <v>0</v>
      </c>
    </row>
    <row r="45" spans="1:25" x14ac:dyDescent="0.25">
      <c r="A45" s="825"/>
      <c r="B45" s="825"/>
      <c r="C45" s="357">
        <v>3</v>
      </c>
      <c r="D45" s="357">
        <v>0</v>
      </c>
      <c r="E45" s="826">
        <f t="shared" si="8"/>
        <v>6</v>
      </c>
      <c r="F45" s="826"/>
      <c r="G45" s="47" t="s">
        <v>60</v>
      </c>
      <c r="H45" s="37">
        <v>252</v>
      </c>
      <c r="I45" s="130">
        <f>Consolidated!$H63</f>
        <v>3506</v>
      </c>
      <c r="J45" s="46">
        <f t="shared" si="9"/>
        <v>21036</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46">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33</v>
      </c>
      <c r="D50" s="524">
        <f>SUM(D41:D49)</f>
        <v>0</v>
      </c>
      <c r="E50" s="832">
        <f>SUM(E41:E49)</f>
        <v>66</v>
      </c>
      <c r="F50" s="832"/>
      <c r="G50" s="818" t="s">
        <v>63</v>
      </c>
      <c r="H50" s="818"/>
      <c r="I50" s="818"/>
      <c r="J50" s="225">
        <f>SUM(J41:J49)</f>
        <v>108365</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634</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3.0509999999999999E-3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924">
        <f>X28</f>
        <v>0</v>
      </c>
      <c r="S55" s="861"/>
      <c r="T55" s="177">
        <f>E56</f>
        <v>673.20770000000005</v>
      </c>
      <c r="U55" s="178" t="s">
        <v>66</v>
      </c>
      <c r="V55" s="179"/>
      <c r="W55" s="180" t="s">
        <v>71</v>
      </c>
      <c r="X55" s="863">
        <f>I56</f>
        <v>221179.83999999997</v>
      </c>
      <c r="Y55" s="863"/>
    </row>
    <row r="56" spans="1:25" ht="16.5" customHeight="1" x14ac:dyDescent="0.25">
      <c r="A56" s="827" t="s">
        <v>70</v>
      </c>
      <c r="B56" s="827"/>
      <c r="C56" s="51"/>
      <c r="D56" s="51"/>
      <c r="E56" s="48">
        <f>G33</f>
        <v>673.20770000000005</v>
      </c>
      <c r="F56" s="49" t="s">
        <v>66</v>
      </c>
      <c r="G56" s="3"/>
      <c r="H56" s="50" t="s">
        <v>71</v>
      </c>
      <c r="I56" s="918">
        <f>Consolidated!H$74</f>
        <v>221179.83999999997</v>
      </c>
      <c r="J56" s="918"/>
      <c r="M56" s="2"/>
      <c r="R56" s="181"/>
      <c r="S56" s="164"/>
      <c r="T56" s="164"/>
      <c r="U56" s="164"/>
      <c r="V56" s="164"/>
      <c r="W56" s="183" t="s">
        <v>68</v>
      </c>
      <c r="X56" s="864">
        <f>ROUND(T55/X55,6)</f>
        <v>3.0439999999999998E-3</v>
      </c>
      <c r="Y56" s="864"/>
    </row>
    <row r="57" spans="1:25" ht="18.75" customHeight="1" x14ac:dyDescent="0.25">
      <c r="A57" s="51"/>
      <c r="H57" s="53" t="s">
        <v>68</v>
      </c>
      <c r="I57" s="828">
        <f>IFERROR(ROUND(E56/I56,6),0)</f>
        <v>3.0439999999999998E-3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634</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3.5430000000000001E-3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634</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3.0560000000000001E-3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634</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3.5500000000000002E-3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3.0560000000000001E-3</v>
      </c>
      <c r="J68" s="132">
        <f>ROUND(G68*I68,2)</f>
        <v>139444.04</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3.0509999999999999E-3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3.5500000000000002E-3</v>
      </c>
      <c r="J71" s="132">
        <f>ROUND(G71*I71,2)</f>
        <v>67215.91</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3.5430000000000001E-3</v>
      </c>
      <c r="J72" s="132">
        <f>ROUND(G72*I72,2)</f>
        <v>40035.94</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3.0439999999999998E-3</v>
      </c>
      <c r="J85" s="132">
        <f>ROUND(G85*I85,2)</f>
        <v>818276.75</v>
      </c>
      <c r="K85" s="70"/>
      <c r="L85" s="70"/>
      <c r="M85" s="71"/>
      <c r="N85" s="70"/>
      <c r="O85" s="70"/>
      <c r="P85" s="70"/>
      <c r="Q85" s="70"/>
      <c r="R85" s="739" t="s">
        <v>168</v>
      </c>
      <c r="S85" s="739"/>
      <c r="T85" s="739"/>
      <c r="U85" s="163"/>
      <c r="V85" s="165">
        <f>G85</f>
        <v>268816278</v>
      </c>
      <c r="W85" s="167" t="s">
        <v>81</v>
      </c>
      <c r="X85" s="170">
        <f>X56</f>
        <v>3.0439999999999998E-3</v>
      </c>
      <c r="Y85" s="217">
        <f t="shared" ref="Y85:Y87" si="12">ROUND(V85*X85,2)</f>
        <v>818276.75</v>
      </c>
    </row>
    <row r="86" spans="1:26" ht="14.25" customHeight="1" x14ac:dyDescent="0.25">
      <c r="A86" s="820" t="s">
        <v>104</v>
      </c>
      <c r="B86" s="820"/>
      <c r="C86" s="820"/>
      <c r="D86" s="820"/>
      <c r="E86" s="820"/>
      <c r="F86" s="36" t="s">
        <v>103</v>
      </c>
      <c r="G86" s="133">
        <v>0</v>
      </c>
      <c r="H86" s="37" t="s">
        <v>81</v>
      </c>
      <c r="I86" s="41">
        <f>I57</f>
        <v>3.0439999999999998E-3</v>
      </c>
      <c r="J86" s="132">
        <f>ROUND(G86*I86,2)</f>
        <v>0</v>
      </c>
      <c r="K86" s="70"/>
      <c r="L86" s="71"/>
      <c r="M86" s="76"/>
      <c r="N86" s="76"/>
      <c r="O86" s="76"/>
      <c r="P86" s="76"/>
      <c r="Q86" s="70"/>
      <c r="R86" s="739" t="s">
        <v>169</v>
      </c>
      <c r="S86" s="739"/>
      <c r="T86" s="739"/>
      <c r="U86" s="163"/>
      <c r="V86" s="197">
        <f>G86</f>
        <v>0</v>
      </c>
      <c r="W86" s="167" t="s">
        <v>81</v>
      </c>
      <c r="X86" s="170">
        <f>X56</f>
        <v>3.0439999999999998E-3</v>
      </c>
      <c r="Y86" s="217">
        <f t="shared" si="12"/>
        <v>0</v>
      </c>
    </row>
    <row r="87" spans="1:26" ht="18" customHeight="1" x14ac:dyDescent="0.25">
      <c r="A87" s="820" t="s">
        <v>105</v>
      </c>
      <c r="B87" s="820"/>
      <c r="C87" s="820"/>
      <c r="D87" s="820"/>
      <c r="E87" s="820"/>
      <c r="F87" s="36" t="s">
        <v>84</v>
      </c>
      <c r="G87" s="133">
        <v>0</v>
      </c>
      <c r="H87" s="37" t="s">
        <v>81</v>
      </c>
      <c r="I87" s="41">
        <f>I54</f>
        <v>3.0509999999999999E-3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276.75619999999998</v>
      </c>
      <c r="C90" s="80"/>
      <c r="D90" s="894">
        <f>I6</f>
        <v>1.0355000000000001</v>
      </c>
      <c r="E90" s="894"/>
      <c r="F90" s="894"/>
      <c r="G90" s="117">
        <f>Consolidated!F$118</f>
        <v>958.42</v>
      </c>
      <c r="H90" s="47" t="s">
        <v>68</v>
      </c>
      <c r="I90" s="515">
        <f>ROUND(B90*D90*G90,2)</f>
        <v>274665.01</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396.45150000000001</v>
      </c>
      <c r="C91" s="80"/>
      <c r="D91" s="894">
        <f>I6</f>
        <v>1.0355000000000001</v>
      </c>
      <c r="E91" s="894"/>
      <c r="F91" s="894"/>
      <c r="G91" s="117">
        <f>Consolidated!F$119</f>
        <v>915.09</v>
      </c>
      <c r="H91" s="47" t="s">
        <v>68</v>
      </c>
      <c r="I91" s="515">
        <f>ROUND(B91*D91*G91,2)</f>
        <v>375667.81</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673.20769999999993</v>
      </c>
      <c r="C93" s="80"/>
      <c r="D93" s="80"/>
      <c r="E93" s="846" t="s">
        <v>112</v>
      </c>
      <c r="F93" s="846"/>
      <c r="G93" s="846"/>
      <c r="H93" s="846"/>
      <c r="I93" s="846"/>
      <c r="J93" s="121">
        <f>IF(A1=75,0,I92+I91+I90)</f>
        <v>650332.82000000007</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0</v>
      </c>
      <c r="D97" s="228">
        <v>0</v>
      </c>
      <c r="E97" s="913">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5568945.2300000004</v>
      </c>
      <c r="L107" s="516"/>
      <c r="R107" s="739" t="s">
        <v>125</v>
      </c>
      <c r="S107" s="739"/>
      <c r="T107" s="739"/>
      <c r="U107" s="739"/>
      <c r="V107" s="739"/>
      <c r="W107" s="739"/>
      <c r="X107" s="739"/>
      <c r="Y107" s="213">
        <f>SUM(Y106,Y105,Y97,Y96,Y93,Y86,Y85,Y84,Y70,Y69,Y67,Y33,Y71,Y50,Y87,Y83)</f>
        <v>818276.75</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5259085.92</v>
      </c>
      <c r="R109" s="164" t="s">
        <v>176</v>
      </c>
      <c r="S109" s="164"/>
      <c r="T109" s="164"/>
      <c r="U109" s="164"/>
      <c r="V109" s="164"/>
      <c r="W109" s="164"/>
      <c r="X109" s="164"/>
      <c r="Y109" s="214">
        <f>Y107-Y38</f>
        <v>818276.75</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818276.75</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237"/>
      <c r="I114" s="238">
        <f>IF(I111=1,J111,J109)</f>
        <v>5259085.92</v>
      </c>
      <c r="J114" s="239">
        <f>ROUND(IF(E28=0,0,IF(E28&gt;250,-(((250/E28)*I114)*IF(H114="H",0.02,0.05)),IF(H114="H",-0.02*I114,-0.05*I114))),2)</f>
        <v>-103688.6</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5465256.6300000008</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Payments'!R111</f>
        <v>-4739351.05</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725905.58000000101</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362952.79</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ROUND(IF(H114="H",(I114*0.02)+J114,(I114*0.05)+J114),2)</f>
        <v>159265.70000000001</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B347B-A64A-467C-97FF-39CA5C6AC343}">
  <dimension ref="A1:Z207"/>
  <sheetViews>
    <sheetView topLeftCell="A107" workbookViewId="0">
      <selection activeCell="A127" sqref="A12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549</v>
      </c>
      <c r="B2" s="101"/>
      <c r="C2" s="101"/>
      <c r="D2" s="101"/>
      <c r="E2" s="6"/>
      <c r="F2" s="6"/>
      <c r="G2" s="6"/>
      <c r="H2" s="6"/>
      <c r="I2" s="686" t="str">
        <f>RIGHT(A2,4)</f>
        <v>4051</v>
      </c>
      <c r="J2" s="6"/>
      <c r="K2" s="6"/>
      <c r="L2" s="6"/>
      <c r="M2" s="6"/>
      <c r="N2" s="6"/>
      <c r="O2" s="6"/>
      <c r="P2" s="6"/>
      <c r="Q2" s="6"/>
      <c r="R2" s="898" t="str">
        <f>Revenue_Estimate_Worksheet_for___________Charter_School</f>
        <v>Revenue Estimate Worksheet: Renaissance Charter School at Central Palm- 4051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110.47</v>
      </c>
      <c r="D12" s="719">
        <f>SUMIFS(CountData!J:J,CountData!H:H,$I$2,CountData!I:I,$O12)</f>
        <v>105.96</v>
      </c>
      <c r="E12" s="804">
        <f t="shared" ref="E12:E27" si="0">IF($D$28=0,C12*2,C12+D12)</f>
        <v>216.43</v>
      </c>
      <c r="F12" s="804"/>
      <c r="G12" s="805">
        <f>Consolidated!$F14</f>
        <v>1.1080000000000001</v>
      </c>
      <c r="H12" s="805">
        <f>Consolidated!$H$9</f>
        <v>1</v>
      </c>
      <c r="I12" s="517">
        <f>ROUND(E12*G12,4)</f>
        <v>239.80439999999999</v>
      </c>
      <c r="J12" s="518">
        <f t="shared" ref="J12:J27" si="1">ROUND(ROUND(ROUND(I12*$E$6,4)*($I$6),2)*(MAX($I$7,1)),2)</f>
        <v>1334110.3700000001</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13.51</v>
      </c>
      <c r="D13" s="357">
        <f>SUMIFS(CountData!J:J,CountData!H:H,$I$2,CountData!I:I,$O13)</f>
        <v>14.5</v>
      </c>
      <c r="E13" s="812">
        <f t="shared" si="0"/>
        <v>28.009999999999998</v>
      </c>
      <c r="F13" s="812"/>
      <c r="G13" s="813">
        <f>Consolidated!$F15</f>
        <v>1.1080000000000001</v>
      </c>
      <c r="H13" s="813">
        <f>Consolidated!$H$9</f>
        <v>1</v>
      </c>
      <c r="I13" s="517">
        <f t="shared" ref="I13:I27" si="3">ROUND(E13*G13,4)</f>
        <v>31.0351</v>
      </c>
      <c r="J13" s="518">
        <f t="shared" si="1"/>
        <v>172658.42</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122.16</v>
      </c>
      <c r="D14" s="357">
        <f>SUMIFS(CountData!J:J,CountData!H:H,$I$2,CountData!I:I,$O14)</f>
        <v>118</v>
      </c>
      <c r="E14" s="812">
        <f t="shared" si="0"/>
        <v>240.16</v>
      </c>
      <c r="F14" s="812"/>
      <c r="G14" s="813">
        <f>Consolidated!$F16</f>
        <v>1</v>
      </c>
      <c r="H14" s="813">
        <f>Consolidated!$H$9</f>
        <v>1</v>
      </c>
      <c r="I14" s="517">
        <f t="shared" si="3"/>
        <v>240.16</v>
      </c>
      <c r="J14" s="518">
        <f>ROUND(ROUND(ROUND(I14*$E$6,4)*($I$6),2)*(MAX($I$7,1)),2)</f>
        <v>1336088.68</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19.59</v>
      </c>
      <c r="D15" s="357">
        <f>SUMIFS(CountData!J:J,CountData!H:H,$I$2,CountData!I:I,$O15)</f>
        <v>17</v>
      </c>
      <c r="E15" s="812">
        <f t="shared" si="0"/>
        <v>36.590000000000003</v>
      </c>
      <c r="F15" s="812"/>
      <c r="G15" s="813">
        <f>Consolidated!$F17</f>
        <v>1</v>
      </c>
      <c r="H15" s="813">
        <f>Consolidated!$H$9</f>
        <v>1</v>
      </c>
      <c r="I15" s="517">
        <f t="shared" si="3"/>
        <v>36.590000000000003</v>
      </c>
      <c r="J15" s="518">
        <f t="shared" si="1"/>
        <v>203562.15</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48.96</v>
      </c>
      <c r="D25" s="357">
        <f>SUMIFS(CountData!J:J,CountData!H:H,$I$2,CountData!I:I,$O25)</f>
        <v>52.03</v>
      </c>
      <c r="E25" s="812">
        <f t="shared" si="0"/>
        <v>100.99000000000001</v>
      </c>
      <c r="F25" s="812"/>
      <c r="G25" s="813">
        <f>Consolidated!$F27</f>
        <v>1.165</v>
      </c>
      <c r="H25" s="813">
        <f>Consolidated!$H$9</f>
        <v>1</v>
      </c>
      <c r="I25" s="517">
        <f t="shared" si="3"/>
        <v>117.6534</v>
      </c>
      <c r="J25" s="518">
        <f t="shared" si="1"/>
        <v>654544.37</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314.68999999999994</v>
      </c>
      <c r="D28" s="720">
        <f>SUM(D12:D27)</f>
        <v>307.49</v>
      </c>
      <c r="E28" s="817">
        <f>SUM(E12:E27)</f>
        <v>622.18000000000006</v>
      </c>
      <c r="F28" s="817"/>
      <c r="G28" s="812"/>
      <c r="H28" s="812"/>
      <c r="I28" s="23">
        <f>SUM(I12:I27)</f>
        <v>665.24290000000008</v>
      </c>
      <c r="J28" s="121">
        <f>SUM(J12:J27)</f>
        <v>3700963.9899999998</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665.24290000000008</v>
      </c>
      <c r="H33" s="812" t="s">
        <v>45</v>
      </c>
      <c r="I33" s="812"/>
      <c r="J33" s="32">
        <f>SUM(J32,J28)</f>
        <v>3700963.9899999998</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4529900.3100000005</v>
      </c>
      <c r="H36" s="37" t="s">
        <v>49</v>
      </c>
      <c r="I36" s="38">
        <v>6.6699999999999995E-2</v>
      </c>
      <c r="J36" s="125">
        <f>ROUND(G36*I36,2)</f>
        <v>302144.34999999998</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4529900.3100000005</v>
      </c>
      <c r="H37" s="37" t="s">
        <v>49</v>
      </c>
      <c r="I37" s="38">
        <v>5.4000000000000003E-3</v>
      </c>
      <c r="J37" s="125">
        <f>ROUND(G37*I37,2)</f>
        <v>24461.46</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326605.81</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12</v>
      </c>
      <c r="D41" s="357">
        <v>0</v>
      </c>
      <c r="E41" s="826">
        <f t="shared" ref="E41:E49" si="8">IF($D$50=0,C41*2,C41+D41)</f>
        <v>24</v>
      </c>
      <c r="F41" s="826"/>
      <c r="G41" s="37" t="s">
        <v>59</v>
      </c>
      <c r="H41" s="37">
        <v>251</v>
      </c>
      <c r="I41" s="130">
        <f>Consolidated!$H59</f>
        <v>1047</v>
      </c>
      <c r="J41" s="515">
        <f t="shared" ref="J41:J49" si="9">ROUND(E41*I41,2)</f>
        <v>25128</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1.5</v>
      </c>
      <c r="D42" s="357">
        <v>0</v>
      </c>
      <c r="E42" s="826">
        <f t="shared" si="8"/>
        <v>3</v>
      </c>
      <c r="F42" s="826"/>
      <c r="G42" s="37" t="s">
        <v>59</v>
      </c>
      <c r="H42" s="37">
        <v>252</v>
      </c>
      <c r="I42" s="130">
        <f>Consolidated!$H60</f>
        <v>3380</v>
      </c>
      <c r="J42" s="515">
        <f t="shared" si="9"/>
        <v>10140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515">
        <f t="shared" si="9"/>
        <v>0</v>
      </c>
      <c r="M43" s="2"/>
      <c r="R43" s="885"/>
      <c r="S43" s="885"/>
      <c r="T43" s="867"/>
      <c r="U43" s="867"/>
      <c r="V43" s="167" t="s">
        <v>59</v>
      </c>
      <c r="W43" s="167">
        <v>253</v>
      </c>
      <c r="X43" s="128">
        <f>Consolidated!$H61</f>
        <v>6896</v>
      </c>
      <c r="Y43" s="218">
        <f t="shared" si="10"/>
        <v>0</v>
      </c>
    </row>
    <row r="44" spans="1:25" x14ac:dyDescent="0.25">
      <c r="A44" s="825"/>
      <c r="B44" s="825"/>
      <c r="C44" s="357">
        <v>16.34</v>
      </c>
      <c r="D44" s="357">
        <v>0</v>
      </c>
      <c r="E44" s="826">
        <f t="shared" si="8"/>
        <v>32.68</v>
      </c>
      <c r="F44" s="826"/>
      <c r="G44" s="47" t="s">
        <v>60</v>
      </c>
      <c r="H44" s="37">
        <v>251</v>
      </c>
      <c r="I44" s="130">
        <f>Consolidated!$H62</f>
        <v>1173</v>
      </c>
      <c r="J44" s="515">
        <f t="shared" si="9"/>
        <v>38333.64</v>
      </c>
      <c r="L44" s="3"/>
      <c r="M44" s="2"/>
      <c r="Q44" s="4"/>
      <c r="R44" s="885"/>
      <c r="S44" s="885"/>
      <c r="T44" s="867"/>
      <c r="U44" s="867"/>
      <c r="V44" s="176" t="s">
        <v>60</v>
      </c>
      <c r="W44" s="167">
        <v>251</v>
      </c>
      <c r="X44" s="128">
        <f>Consolidated!$H62</f>
        <v>1173</v>
      </c>
      <c r="Y44" s="218">
        <f t="shared" si="10"/>
        <v>0</v>
      </c>
    </row>
    <row r="45" spans="1:25" x14ac:dyDescent="0.25">
      <c r="A45" s="825"/>
      <c r="B45" s="825"/>
      <c r="C45" s="357">
        <v>3.16</v>
      </c>
      <c r="D45" s="357">
        <v>0</v>
      </c>
      <c r="E45" s="826">
        <f t="shared" si="8"/>
        <v>6.32</v>
      </c>
      <c r="F45" s="826"/>
      <c r="G45" s="47" t="s">
        <v>60</v>
      </c>
      <c r="H45" s="37">
        <v>252</v>
      </c>
      <c r="I45" s="130">
        <f>Consolidated!$H63</f>
        <v>3506</v>
      </c>
      <c r="J45" s="515">
        <f t="shared" si="9"/>
        <v>22157.919999999998</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515">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515">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515">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33</v>
      </c>
      <c r="D50" s="524">
        <f>SUM(D41:D49)</f>
        <v>0</v>
      </c>
      <c r="E50" s="832">
        <f>SUM(E41:E49)</f>
        <v>66</v>
      </c>
      <c r="F50" s="832"/>
      <c r="G50" s="818" t="s">
        <v>63</v>
      </c>
      <c r="H50" s="818"/>
      <c r="I50" s="818"/>
      <c r="J50" s="225">
        <f>SUM(J41:J49)</f>
        <v>95759.56</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622.18000000000006</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2.9940000000000001E-3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665.24290000000008</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3.0079999999999998E-3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622.18000000000006</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3.4770000000000001E-3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622.18000000000006</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2.9989999999999999E-3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622.18000000000006</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3.483E-3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2.9989999999999999E-3</v>
      </c>
      <c r="J68" s="132">
        <f>ROUND(G68*I68,2)</f>
        <v>136843.15</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2.9940000000000001E-3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3.483E-3</v>
      </c>
      <c r="J71" s="132">
        <f>ROUND(G71*I71,2)</f>
        <v>65947.320000000007</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3.4770000000000001E-3</v>
      </c>
      <c r="J72" s="132">
        <f>ROUND(G72*I72,2)</f>
        <v>39290.14</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3.0079999999999998E-3</v>
      </c>
      <c r="J85" s="132">
        <f>ROUND(G85*I85,2)</f>
        <v>808599.36</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3.0079999999999998E-3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2.9940000000000001E-3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270.83949999999999</v>
      </c>
      <c r="C90" s="80"/>
      <c r="D90" s="894">
        <f>I6</f>
        <v>1.0355000000000001</v>
      </c>
      <c r="E90" s="894"/>
      <c r="F90" s="894"/>
      <c r="G90" s="117">
        <f>Consolidated!F$118</f>
        <v>958.42</v>
      </c>
      <c r="H90" s="47" t="s">
        <v>68</v>
      </c>
      <c r="I90" s="135">
        <f>ROUND(B90*D90*G90,2)</f>
        <v>268793.01</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394.40340000000003</v>
      </c>
      <c r="C91" s="80"/>
      <c r="D91" s="894">
        <f>I6</f>
        <v>1.0355000000000001</v>
      </c>
      <c r="E91" s="894"/>
      <c r="F91" s="894"/>
      <c r="G91" s="117">
        <f>Consolidated!F$119</f>
        <v>915.09</v>
      </c>
      <c r="H91" s="47" t="s">
        <v>68</v>
      </c>
      <c r="I91" s="134">
        <f>ROUND(B91*D91*G91,2)</f>
        <v>373727.08</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665.24289999999996</v>
      </c>
      <c r="C93" s="80"/>
      <c r="D93" s="80"/>
      <c r="E93" s="846" t="s">
        <v>112</v>
      </c>
      <c r="F93" s="846"/>
      <c r="G93" s="846"/>
      <c r="H93" s="846"/>
      <c r="I93" s="846"/>
      <c r="J93" s="121">
        <f>IF(A1=75,0,I92+I91+I90)</f>
        <v>642520.09000000008</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0</v>
      </c>
      <c r="D97" s="228">
        <v>0</v>
      </c>
      <c r="E97" s="913">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5489923.6099999994</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5163317.8</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237"/>
      <c r="I114" s="238">
        <f>IF(I111=1,J111,J109)</f>
        <v>5163317.8</v>
      </c>
      <c r="J114" s="239">
        <f>ROUND(IF(E28=0,0,IF(E28&gt;250,-(((250/E28)*I114)*IF(H114="H",0.02,0.05)),IF(H114="H",-0.02*I114,-0.05*I114))),2)</f>
        <v>-103734.41</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5386189.1999999993</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Payments'!R112</f>
        <v>-4775465.32</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610723.87999999896</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305361.94</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ROUND(IF(H114="H",(I114*0.02)+J114,(I114*0.05)+J114),2)</f>
        <v>154431.48000000001</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566E-A4FB-4BCB-8538-59A1BF4ADCB9}">
  <dimension ref="A1:Z207"/>
  <sheetViews>
    <sheetView topLeftCell="A107" workbookViewId="0">
      <selection activeCell="J124" sqref="J124"/>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468</v>
      </c>
      <c r="B2" s="101"/>
      <c r="C2" s="101"/>
      <c r="D2" s="101"/>
      <c r="E2" s="6"/>
      <c r="F2" s="6"/>
      <c r="G2" s="6"/>
      <c r="H2" s="6"/>
      <c r="I2" s="686" t="str">
        <f>RIGHT(A2,4)</f>
        <v>4061</v>
      </c>
      <c r="J2" s="6"/>
      <c r="K2" s="6"/>
      <c r="L2" s="6"/>
      <c r="M2" s="6"/>
      <c r="N2" s="6"/>
      <c r="O2" s="6"/>
      <c r="P2" s="6"/>
      <c r="Q2" s="6"/>
      <c r="R2" s="898" t="str">
        <f>Revenue_Estimate_Worksheet_for___________Charter_School</f>
        <v>Revenue Estimate Worksheet: Franklin Academy - Palm Beach Gardens - 4061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164.91</v>
      </c>
      <c r="D12" s="719">
        <f>SUMIFS(CountData!J:J,CountData!H:H,$I$2,CountData!I:I,$O12)</f>
        <v>159.96</v>
      </c>
      <c r="E12" s="804">
        <f t="shared" ref="E12:E27" si="0">IF($D$28=0,C12*2,C12+D12)</f>
        <v>324.87</v>
      </c>
      <c r="F12" s="804"/>
      <c r="G12" s="805">
        <f>Consolidated!$F14</f>
        <v>1.1080000000000001</v>
      </c>
      <c r="H12" s="805">
        <f>Consolidated!$H$9</f>
        <v>1</v>
      </c>
      <c r="I12" s="517">
        <f>ROUND(E12*G12,4)</f>
        <v>359.95600000000002</v>
      </c>
      <c r="J12" s="518">
        <f t="shared" ref="J12:J27" si="1">ROUND(ROUND(ROUND(I12*$E$6,4)*($I$6),2)*(MAX($I$7,1)),2)</f>
        <v>2002553.04</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14.5</v>
      </c>
      <c r="D13" s="357">
        <f>SUMIFS(CountData!J:J,CountData!H:H,$I$2,CountData!I:I,$O13)</f>
        <v>15.5</v>
      </c>
      <c r="E13" s="812">
        <f t="shared" si="0"/>
        <v>30</v>
      </c>
      <c r="F13" s="812"/>
      <c r="G13" s="813">
        <f>Consolidated!$F15</f>
        <v>1.1080000000000001</v>
      </c>
      <c r="H13" s="813">
        <f>Consolidated!$H$9</f>
        <v>1</v>
      </c>
      <c r="I13" s="517">
        <f t="shared" ref="I13:I27" si="3">ROUND(E13*G13,4)</f>
        <v>33.24</v>
      </c>
      <c r="J13" s="518">
        <f t="shared" si="1"/>
        <v>184925</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235.58</v>
      </c>
      <c r="D14" s="357">
        <f>SUMIFS(CountData!J:J,CountData!H:H,$I$2,CountData!I:I,$O14)</f>
        <v>232.17</v>
      </c>
      <c r="E14" s="812">
        <f t="shared" si="0"/>
        <v>467.75</v>
      </c>
      <c r="F14" s="812"/>
      <c r="G14" s="813">
        <f>Consolidated!$F16</f>
        <v>1</v>
      </c>
      <c r="H14" s="813">
        <f>Consolidated!$H$9</f>
        <v>1</v>
      </c>
      <c r="I14" s="517">
        <f t="shared" si="3"/>
        <v>467.75</v>
      </c>
      <c r="J14" s="518">
        <f>ROUND(ROUND(ROUND(I14*$E$6,4)*($I$6),2)*(MAX($I$7,1)),2)</f>
        <v>2602246.34</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25.01</v>
      </c>
      <c r="D15" s="357">
        <f>SUMIFS(CountData!J:J,CountData!H:H,$I$2,CountData!I:I,$O15)</f>
        <v>20.5</v>
      </c>
      <c r="E15" s="812">
        <f t="shared" si="0"/>
        <v>45.510000000000005</v>
      </c>
      <c r="F15" s="812"/>
      <c r="G15" s="813">
        <f>Consolidated!$F17</f>
        <v>1</v>
      </c>
      <c r="H15" s="813">
        <f>Consolidated!$H$9</f>
        <v>1</v>
      </c>
      <c r="I15" s="517">
        <f t="shared" si="3"/>
        <v>45.51</v>
      </c>
      <c r="J15" s="518">
        <f t="shared" si="1"/>
        <v>253187.03</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30.17</v>
      </c>
      <c r="D25" s="357">
        <f>SUMIFS(CountData!J:J,CountData!H:H,$I$2,CountData!I:I,$O25)</f>
        <v>27.69</v>
      </c>
      <c r="E25" s="812">
        <f t="shared" si="0"/>
        <v>57.86</v>
      </c>
      <c r="F25" s="812"/>
      <c r="G25" s="813">
        <f>Consolidated!$F27</f>
        <v>1.165</v>
      </c>
      <c r="H25" s="813">
        <f>Consolidated!$H$9</f>
        <v>1</v>
      </c>
      <c r="I25" s="517">
        <f t="shared" si="3"/>
        <v>67.406899999999993</v>
      </c>
      <c r="J25" s="518">
        <f t="shared" si="1"/>
        <v>375006.65</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470.17</v>
      </c>
      <c r="D28" s="720">
        <f>SUM(D12:D27)</f>
        <v>455.82</v>
      </c>
      <c r="E28" s="817">
        <f>SUM(E12:E27)</f>
        <v>925.99</v>
      </c>
      <c r="F28" s="817"/>
      <c r="G28" s="812"/>
      <c r="H28" s="812"/>
      <c r="I28" s="23">
        <f>SUM(I12:I27)</f>
        <v>973.86289999999997</v>
      </c>
      <c r="J28" s="121">
        <f>SUM(J12:J27)</f>
        <v>5417918.0600000005</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973.86289999999997</v>
      </c>
      <c r="H33" s="812" t="s">
        <v>45</v>
      </c>
      <c r="I33" s="812"/>
      <c r="J33" s="32">
        <f>SUM(J32,J28)</f>
        <v>5417918.0600000005</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v>5637683.9499999993</v>
      </c>
      <c r="H36" s="37" t="s">
        <v>49</v>
      </c>
      <c r="I36" s="38">
        <v>6.6699999999999995E-2</v>
      </c>
      <c r="J36" s="125">
        <f>ROUND(G36*I36,2)</f>
        <v>376033.52</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v>5637683.9499999993</v>
      </c>
      <c r="H37" s="37" t="s">
        <v>49</v>
      </c>
      <c r="I37" s="38">
        <v>5.4000000000000003E-3</v>
      </c>
      <c r="J37" s="125">
        <f>ROUND(G37*I37,2)</f>
        <v>30443.49</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406477.01</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11.5</v>
      </c>
      <c r="D41" s="357">
        <v>0</v>
      </c>
      <c r="E41" s="826">
        <f t="shared" ref="E41:E49" si="8">IF($D$50=0,C41*2,C41+D41)</f>
        <v>23</v>
      </c>
      <c r="F41" s="826"/>
      <c r="G41" s="37" t="s">
        <v>59</v>
      </c>
      <c r="H41" s="37">
        <v>251</v>
      </c>
      <c r="I41" s="130">
        <f>Consolidated!$H59</f>
        <v>1047</v>
      </c>
      <c r="J41" s="46">
        <f t="shared" ref="J41:J49" si="9">ROUND(E41*I41,2)</f>
        <v>24081</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2.5</v>
      </c>
      <c r="D42" s="357">
        <v>0</v>
      </c>
      <c r="E42" s="826">
        <f t="shared" si="8"/>
        <v>5</v>
      </c>
      <c r="F42" s="826"/>
      <c r="G42" s="37" t="s">
        <v>59</v>
      </c>
      <c r="H42" s="37">
        <v>252</v>
      </c>
      <c r="I42" s="130">
        <f>Consolidated!$H60</f>
        <v>3380</v>
      </c>
      <c r="J42" s="46">
        <f t="shared" si="9"/>
        <v>16900</v>
      </c>
      <c r="M42" s="2"/>
      <c r="R42" s="885"/>
      <c r="S42" s="885"/>
      <c r="T42" s="886"/>
      <c r="U42" s="886"/>
      <c r="V42" s="167" t="s">
        <v>59</v>
      </c>
      <c r="W42" s="167">
        <v>252</v>
      </c>
      <c r="X42" s="128">
        <f>Consolidated!$H60</f>
        <v>3380</v>
      </c>
      <c r="Y42" s="218">
        <f t="shared" ref="Y42:Y49" si="10">ROUND(T42*X42,2)</f>
        <v>0</v>
      </c>
    </row>
    <row r="43" spans="1:25" x14ac:dyDescent="0.25">
      <c r="A43" s="825"/>
      <c r="B43" s="825"/>
      <c r="C43" s="357">
        <v>0.5</v>
      </c>
      <c r="D43" s="357">
        <v>0</v>
      </c>
      <c r="E43" s="826">
        <f t="shared" si="8"/>
        <v>1</v>
      </c>
      <c r="F43" s="826"/>
      <c r="G43" s="37" t="s">
        <v>59</v>
      </c>
      <c r="H43" s="37">
        <v>253</v>
      </c>
      <c r="I43" s="130">
        <f>Consolidated!$H61</f>
        <v>6896</v>
      </c>
      <c r="J43" s="46">
        <f t="shared" si="9"/>
        <v>6896</v>
      </c>
      <c r="M43" s="2"/>
      <c r="R43" s="885"/>
      <c r="S43" s="885"/>
      <c r="T43" s="867"/>
      <c r="U43" s="867"/>
      <c r="V43" s="167" t="s">
        <v>59</v>
      </c>
      <c r="W43" s="167">
        <v>253</v>
      </c>
      <c r="X43" s="128">
        <f>Consolidated!$H61</f>
        <v>6896</v>
      </c>
      <c r="Y43" s="218">
        <f t="shared" si="10"/>
        <v>0</v>
      </c>
    </row>
    <row r="44" spans="1:25" x14ac:dyDescent="0.25">
      <c r="A44" s="825"/>
      <c r="B44" s="825"/>
      <c r="C44" s="357">
        <v>19.440000000000001</v>
      </c>
      <c r="D44" s="357">
        <v>0</v>
      </c>
      <c r="E44" s="826">
        <f t="shared" si="8"/>
        <v>38.880000000000003</v>
      </c>
      <c r="F44" s="826"/>
      <c r="G44" s="47" t="s">
        <v>60</v>
      </c>
      <c r="H44" s="37">
        <v>251</v>
      </c>
      <c r="I44" s="130">
        <f>Consolidated!$H62</f>
        <v>1173</v>
      </c>
      <c r="J44" s="131">
        <f t="shared" si="9"/>
        <v>45606.239999999998</v>
      </c>
      <c r="L44" s="3"/>
      <c r="M44" s="2"/>
      <c r="Q44" s="4"/>
      <c r="R44" s="885"/>
      <c r="S44" s="885"/>
      <c r="T44" s="867"/>
      <c r="U44" s="867"/>
      <c r="V44" s="176" t="s">
        <v>60</v>
      </c>
      <c r="W44" s="167">
        <v>251</v>
      </c>
      <c r="X44" s="128">
        <f>Consolidated!$H62</f>
        <v>1173</v>
      </c>
      <c r="Y44" s="218">
        <f t="shared" si="10"/>
        <v>0</v>
      </c>
    </row>
    <row r="45" spans="1:25" x14ac:dyDescent="0.25">
      <c r="A45" s="825"/>
      <c r="B45" s="825"/>
      <c r="C45" s="357">
        <v>5.56</v>
      </c>
      <c r="D45" s="357">
        <v>0</v>
      </c>
      <c r="E45" s="826">
        <f t="shared" si="8"/>
        <v>11.12</v>
      </c>
      <c r="F45" s="826"/>
      <c r="G45" s="47" t="s">
        <v>60</v>
      </c>
      <c r="H45" s="37">
        <v>252</v>
      </c>
      <c r="I45" s="130">
        <f>Consolidated!$H63</f>
        <v>3506</v>
      </c>
      <c r="J45" s="46">
        <f t="shared" si="9"/>
        <v>38986.720000000001</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46">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39.5</v>
      </c>
      <c r="D50" s="524">
        <f>SUM(D41:D49)</f>
        <v>0</v>
      </c>
      <c r="E50" s="832">
        <f>SUM(E41:E49)</f>
        <v>79</v>
      </c>
      <c r="F50" s="832"/>
      <c r="G50" s="818" t="s">
        <v>63</v>
      </c>
      <c r="H50" s="818"/>
      <c r="I50" s="818"/>
      <c r="J50" s="225">
        <f>SUM(J41:J49)</f>
        <v>132469.96</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925.99</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4.457E-3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973.86289999999997</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4.4029999999999998E-3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925.99</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5.1749999999999999E-3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925.99</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4.463E-3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925.99</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5.1840000000000002E-3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4.463E-3</v>
      </c>
      <c r="J68" s="132">
        <f>ROUND(G68*I68,2)</f>
        <v>203644.87</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4.457E-3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5.1840000000000002E-3</v>
      </c>
      <c r="J71" s="132">
        <f>ROUND(G71*I71,2)</f>
        <v>98154.16</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5.1749999999999999E-3</v>
      </c>
      <c r="J72" s="132">
        <f>ROUND(G72*I72,2)</f>
        <v>58477.56</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4.4029999999999998E-3</v>
      </c>
      <c r="J85" s="132">
        <f>ROUND(G85*I85,2)</f>
        <v>1183598.07</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4.4029999999999998E-3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4.457E-3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393.19600000000003</v>
      </c>
      <c r="C90" s="80"/>
      <c r="D90" s="894">
        <f>I6</f>
        <v>1.0355000000000001</v>
      </c>
      <c r="E90" s="894"/>
      <c r="F90" s="894"/>
      <c r="G90" s="117">
        <f>Consolidated!F$118</f>
        <v>958.42</v>
      </c>
      <c r="H90" s="47" t="s">
        <v>68</v>
      </c>
      <c r="I90" s="515">
        <f>ROUND(B90*D90*G90,2)</f>
        <v>390224.98</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580.66689999999994</v>
      </c>
      <c r="C91" s="80"/>
      <c r="D91" s="894">
        <f>I6</f>
        <v>1.0355000000000001</v>
      </c>
      <c r="E91" s="894"/>
      <c r="F91" s="894"/>
      <c r="G91" s="117">
        <f>Consolidated!F$119</f>
        <v>915.09</v>
      </c>
      <c r="H91" s="47" t="s">
        <v>68</v>
      </c>
      <c r="I91" s="515">
        <f>ROUND(B91*D91*G91,2)</f>
        <v>550225.84</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973.86289999999997</v>
      </c>
      <c r="C93" s="80"/>
      <c r="D93" s="80"/>
      <c r="E93" s="846" t="s">
        <v>112</v>
      </c>
      <c r="F93" s="846"/>
      <c r="G93" s="846"/>
      <c r="H93" s="846"/>
      <c r="I93" s="846"/>
      <c r="J93" s="121">
        <f>IF(A1=75,0,I92+I91+I90)</f>
        <v>940450.82</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v>99</v>
      </c>
      <c r="D97" s="228">
        <v>0</v>
      </c>
      <c r="E97" s="913">
        <f>(C97+D97)</f>
        <v>99</v>
      </c>
      <c r="F97" s="850"/>
      <c r="G97" s="850"/>
      <c r="H97" s="85" t="s">
        <v>117</v>
      </c>
      <c r="I97" s="124">
        <f>Consolidated!G$127</f>
        <v>586</v>
      </c>
      <c r="J97" s="132">
        <f>ROUND(I97*E97,2)</f>
        <v>58014</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8092727.5</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7686250.4900000002</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237"/>
      <c r="I114" s="238">
        <f>IF(I111=1,J111,J109)</f>
        <v>7686250.4900000002</v>
      </c>
      <c r="J114" s="239">
        <f>ROUND(IF(E28=0,0,IF(E28&gt;250,-(((250/E28)*I114)*IF(H114="H",0.02,0.05)),IF(H114="H",-0.02*I114,-0.05*I114))),2)</f>
        <v>-103757.2</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7988970.2999999998</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Payments'!R113</f>
        <v>-6812513.0800000001</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1176457.2199999997</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588228.61</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ROUND(IF(H114="H",(I114*0.02)+J114,(I114*0.05)+J114),2)</f>
        <v>280555.32</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1390-C5FD-40CF-A876-5D97A1C58C40}">
  <sheetPr>
    <tabColor theme="0" tint="-0.34998626667073579"/>
  </sheetPr>
  <dimension ref="A1:Z207"/>
  <sheetViews>
    <sheetView topLeftCell="A107" workbookViewId="0">
      <selection activeCell="J121" sqref="J12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469</v>
      </c>
      <c r="B2" s="101"/>
      <c r="C2" s="101"/>
      <c r="D2" s="101"/>
      <c r="E2" s="6"/>
      <c r="F2" s="6"/>
      <c r="G2" s="6"/>
      <c r="H2" s="6"/>
      <c r="I2" s="686" t="str">
        <f>RIGHT(A2,4)</f>
        <v>4080</v>
      </c>
      <c r="J2" s="6"/>
      <c r="K2" s="6"/>
      <c r="L2" s="6"/>
      <c r="M2" s="6"/>
      <c r="N2" s="6"/>
      <c r="O2" s="6"/>
      <c r="P2" s="6"/>
      <c r="Q2" s="6"/>
      <c r="R2" s="898" t="str">
        <f>Revenue_Estimate_Worksheet_for___________Charter_School</f>
        <v>Revenue Estimate Worksheet: University Prep Palm Beach - 4080</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0</v>
      </c>
      <c r="D14" s="357">
        <f>SUMIFS(CountData!J:J,CountData!H:H,$I$2,CountData!I:I,$O14)</f>
        <v>0</v>
      </c>
      <c r="E14" s="812">
        <f t="shared" si="0"/>
        <v>0</v>
      </c>
      <c r="F14" s="812"/>
      <c r="G14" s="813">
        <f>Consolidated!$F16</f>
        <v>1</v>
      </c>
      <c r="H14" s="813">
        <f>Consolidated!$H$9</f>
        <v>1</v>
      </c>
      <c r="I14" s="517">
        <f t="shared" si="3"/>
        <v>0</v>
      </c>
      <c r="J14" s="518">
        <f>ROUND(ROUND(ROUND(I14*$E$6,4)*($I$6),2)*(MAX($I$7,1)),2)</f>
        <v>0</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0</v>
      </c>
      <c r="D15" s="357">
        <f>SUMIFS(CountData!J:J,CountData!H:H,$I$2,CountData!I:I,$O15)</f>
        <v>0</v>
      </c>
      <c r="E15" s="812">
        <f t="shared" si="0"/>
        <v>0</v>
      </c>
      <c r="F15" s="812"/>
      <c r="G15" s="813">
        <f>Consolidated!$F17</f>
        <v>1</v>
      </c>
      <c r="H15" s="813">
        <f>Consolidated!$H$9</f>
        <v>1</v>
      </c>
      <c r="I15" s="517">
        <f t="shared" si="3"/>
        <v>0</v>
      </c>
      <c r="J15" s="518">
        <f t="shared" si="1"/>
        <v>0</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254</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255</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130</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0</v>
      </c>
      <c r="D28" s="720">
        <f>SUM(D12:D27)</f>
        <v>0</v>
      </c>
      <c r="E28" s="817">
        <f>SUM(E12:E27)</f>
        <v>0</v>
      </c>
      <c r="F28" s="817"/>
      <c r="G28" s="812"/>
      <c r="H28" s="812"/>
      <c r="I28" s="23">
        <f>SUM(I12:I27)</f>
        <v>0</v>
      </c>
      <c r="J28" s="121">
        <f>SUM(J12:J27)</f>
        <v>0</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0</v>
      </c>
      <c r="H33" s="812" t="s">
        <v>45</v>
      </c>
      <c r="I33" s="812"/>
      <c r="J33" s="32">
        <f>SUM(J32,J28)</f>
        <v>0</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126"/>
      <c r="H36" s="37" t="s">
        <v>49</v>
      </c>
      <c r="I36" s="38">
        <v>6.6699999999999995E-2</v>
      </c>
      <c r="J36" s="125">
        <f>ROUND(G36*I36,2)</f>
        <v>0</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126"/>
      <c r="H37" s="37" t="s">
        <v>49</v>
      </c>
      <c r="I37" s="38">
        <v>5.4000000000000003E-3</v>
      </c>
      <c r="J37" s="125">
        <f>ROUND(G37*I37,2)</f>
        <v>0</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0</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46">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46">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x14ac:dyDescent="0.25">
      <c r="A44" s="825"/>
      <c r="B44" s="825"/>
      <c r="C44" s="357">
        <v>0</v>
      </c>
      <c r="D44" s="357">
        <v>0</v>
      </c>
      <c r="E44" s="826">
        <f t="shared" si="8"/>
        <v>0</v>
      </c>
      <c r="F44" s="826"/>
      <c r="G44" s="47" t="s">
        <v>60</v>
      </c>
      <c r="H44" s="37">
        <v>251</v>
      </c>
      <c r="I44" s="130">
        <f>Consolidated!$H62</f>
        <v>1173</v>
      </c>
      <c r="J44" s="131">
        <f t="shared" si="9"/>
        <v>0</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46">
        <f t="shared" si="9"/>
        <v>0</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46">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0</v>
      </c>
      <c r="D50" s="524">
        <f>SUM(D41:D49)</f>
        <v>0</v>
      </c>
      <c r="E50" s="832">
        <f>SUM(E41:E49)</f>
        <v>0</v>
      </c>
      <c r="F50" s="832"/>
      <c r="G50" s="818" t="s">
        <v>63</v>
      </c>
      <c r="H50" s="818"/>
      <c r="I50" s="818"/>
      <c r="J50" s="225">
        <f>SUM(J41:J49)</f>
        <v>0</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0</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0</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E56</f>
        <v>0</v>
      </c>
      <c r="U55" s="178" t="s">
        <v>66</v>
      </c>
      <c r="V55" s="179"/>
      <c r="W55" s="180" t="s">
        <v>71</v>
      </c>
      <c r="X55" s="863">
        <f>I56</f>
        <v>221179.83999999997</v>
      </c>
      <c r="Y55" s="863"/>
    </row>
    <row r="56" spans="1:25" ht="16.5" customHeight="1" x14ac:dyDescent="0.25">
      <c r="A56" s="827" t="s">
        <v>70</v>
      </c>
      <c r="B56" s="827"/>
      <c r="C56" s="51"/>
      <c r="D56" s="51"/>
      <c r="E56" s="48">
        <f>G33</f>
        <v>0</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0</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0</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0</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0</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0</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0</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0</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0</v>
      </c>
      <c r="J68" s="132">
        <f>ROUND(G68*I68,2)</f>
        <v>0</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0</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0</v>
      </c>
      <c r="J71" s="132">
        <f>ROUND(G71*I71,2)</f>
        <v>0</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0</v>
      </c>
      <c r="J72" s="132">
        <f>ROUND(G72*I72,2)</f>
        <v>0</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0</v>
      </c>
      <c r="J85" s="132">
        <f>ROUND(G85*I85,2)</f>
        <v>0</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0</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0</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13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0</v>
      </c>
      <c r="C91" s="80"/>
      <c r="D91" s="894">
        <f>I6</f>
        <v>1.0355000000000001</v>
      </c>
      <c r="E91" s="894"/>
      <c r="F91" s="894"/>
      <c r="G91" s="117">
        <f>Consolidated!F$119</f>
        <v>915.09</v>
      </c>
      <c r="H91" s="47" t="s">
        <v>68</v>
      </c>
      <c r="I91" s="134">
        <f>ROUND(B91*D91*G91,2)</f>
        <v>0</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0</v>
      </c>
      <c r="C93" s="80"/>
      <c r="D93" s="80"/>
      <c r="E93" s="846" t="s">
        <v>112</v>
      </c>
      <c r="F93" s="846"/>
      <c r="G93" s="846"/>
      <c r="H93" s="846"/>
      <c r="I93" s="846"/>
      <c r="J93" s="121">
        <f>IF(A1=75,0,I92+I91+I90)</f>
        <v>0</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228"/>
      <c r="D97" s="228"/>
      <c r="E97" s="913">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0</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0</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237"/>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I114" s="238">
        <f>IF(I111=1,J111,J109)</f>
        <v>0</v>
      </c>
      <c r="J114" s="239">
        <f>ROUND(IF(E28=0,0,IF(E28&gt;250,-(((250/E28)*I114)*IF(H113="H",0.02,0.05)),IF(H113="H",-0.02*I114,-0.05*I114))),2)</f>
        <v>0</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0</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Payments'!R114</f>
        <v>-166059.87</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v>0</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v>0</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ROUND(IF(H113="H",(I114*0.02)+J114,(I114*0.05)+J114),2)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7FDD-3DB2-4968-836E-DA7169B00014}">
  <dimension ref="A1:Z207"/>
  <sheetViews>
    <sheetView topLeftCell="A107" workbookViewId="0">
      <selection activeCell="A127" sqref="A12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470</v>
      </c>
      <c r="B2" s="101"/>
      <c r="C2" s="101"/>
      <c r="D2" s="101"/>
      <c r="E2" s="6"/>
      <c r="F2" s="6"/>
      <c r="G2" s="6"/>
      <c r="H2" s="6"/>
      <c r="I2" s="686" t="str">
        <f>RIGHT(A2,4)</f>
        <v>4081</v>
      </c>
      <c r="J2" s="6"/>
      <c r="K2" s="6"/>
      <c r="L2" s="6"/>
      <c r="M2" s="6"/>
      <c r="N2" s="6"/>
      <c r="O2" s="6"/>
      <c r="P2" s="6"/>
      <c r="Q2" s="6"/>
      <c r="R2" s="898" t="str">
        <f>Revenue_Estimate_Worksheet_for___________Charter_School</f>
        <v>Revenue Estimate Worksheet: Florida Futures Academy - North Campus - 4081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0</v>
      </c>
      <c r="D14" s="357">
        <f>SUMIFS(CountData!J:J,CountData!H:H,$I$2,CountData!I:I,$O14)</f>
        <v>0</v>
      </c>
      <c r="E14" s="812">
        <f t="shared" si="0"/>
        <v>0</v>
      </c>
      <c r="F14" s="812"/>
      <c r="G14" s="813">
        <f>Consolidated!$F16</f>
        <v>1</v>
      </c>
      <c r="H14" s="813">
        <f>Consolidated!$H$9</f>
        <v>1</v>
      </c>
      <c r="I14" s="517">
        <f t="shared" si="3"/>
        <v>0</v>
      </c>
      <c r="J14" s="518">
        <f>ROUND(ROUND(ROUND(I14*$E$6,4)*($I$6),2)*(MAX($I$7,1)),2)</f>
        <v>0</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0</v>
      </c>
      <c r="D15" s="357">
        <f>SUMIFS(CountData!J:J,CountData!H:H,$I$2,CountData!I:I,$O15)</f>
        <v>0</v>
      </c>
      <c r="E15" s="812">
        <f t="shared" si="0"/>
        <v>0</v>
      </c>
      <c r="F15" s="812"/>
      <c r="G15" s="813">
        <f>Consolidated!$F17</f>
        <v>1</v>
      </c>
      <c r="H15" s="813">
        <f>Consolidated!$H$9</f>
        <v>1</v>
      </c>
      <c r="I15" s="517">
        <f t="shared" si="3"/>
        <v>0</v>
      </c>
      <c r="J15" s="518">
        <f t="shared" si="1"/>
        <v>0</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44.66</v>
      </c>
      <c r="D16" s="357">
        <f>SUMIFS(CountData!J:J,CountData!H:H,$I$2,CountData!I:I,$O16)</f>
        <v>46.68</v>
      </c>
      <c r="E16" s="812">
        <f t="shared" si="0"/>
        <v>91.34</v>
      </c>
      <c r="F16" s="812"/>
      <c r="G16" s="813">
        <f>Consolidated!$F18</f>
        <v>0.97199999999999998</v>
      </c>
      <c r="H16" s="813">
        <f>Consolidated!$H$9</f>
        <v>1</v>
      </c>
      <c r="I16" s="517">
        <f t="shared" si="3"/>
        <v>88.782499999999999</v>
      </c>
      <c r="J16" s="518">
        <f t="shared" si="1"/>
        <v>493926.11</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10.5</v>
      </c>
      <c r="D17" s="357">
        <f>SUMIFS(CountData!J:J,CountData!H:H,$I$2,CountData!I:I,$O17)</f>
        <v>10.96</v>
      </c>
      <c r="E17" s="812">
        <f t="shared" si="0"/>
        <v>21.46</v>
      </c>
      <c r="F17" s="812"/>
      <c r="G17" s="813">
        <f>Consolidated!$F19</f>
        <v>0.97199999999999998</v>
      </c>
      <c r="H17" s="813">
        <f>Consolidated!$H$9</f>
        <v>1</v>
      </c>
      <c r="I17" s="517">
        <f t="shared" si="3"/>
        <v>20.859100000000002</v>
      </c>
      <c r="J17" s="518">
        <f t="shared" si="1"/>
        <v>116046</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254</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255</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4.72</v>
      </c>
      <c r="D26" s="357">
        <f>SUMIFS(CountData!J:J,CountData!H:H,$I$2,CountData!I:I,$O26)</f>
        <v>5.68</v>
      </c>
      <c r="E26" s="812">
        <f t="shared" si="0"/>
        <v>10.399999999999999</v>
      </c>
      <c r="F26" s="812"/>
      <c r="G26" s="813">
        <f>Consolidated!$F28</f>
        <v>1.165</v>
      </c>
      <c r="H26" s="813">
        <f>Consolidated!$H$9</f>
        <v>1</v>
      </c>
      <c r="I26" s="517">
        <f t="shared" si="3"/>
        <v>12.116</v>
      </c>
      <c r="J26" s="518">
        <f t="shared" si="1"/>
        <v>67405.27</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59.879999999999995</v>
      </c>
      <c r="D28" s="720">
        <f>SUM(D12:D27)</f>
        <v>63.32</v>
      </c>
      <c r="E28" s="817">
        <f>SUM(E12:E27)</f>
        <v>123.20000000000002</v>
      </c>
      <c r="F28" s="817"/>
      <c r="G28" s="812"/>
      <c r="H28" s="812"/>
      <c r="I28" s="23">
        <f>SUM(I12:I27)</f>
        <v>121.7576</v>
      </c>
      <c r="J28" s="121">
        <f>SUM(J12:J27)</f>
        <v>677377.38</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121.7576</v>
      </c>
      <c r="H33" s="812" t="s">
        <v>45</v>
      </c>
      <c r="I33" s="812"/>
      <c r="J33" s="32">
        <f>SUM(J32,J28)</f>
        <v>677377.38</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395">
        <v>702313.88</v>
      </c>
      <c r="H36" s="37" t="s">
        <v>49</v>
      </c>
      <c r="I36" s="38">
        <v>6.6699999999999995E-2</v>
      </c>
      <c r="J36" s="125">
        <f>ROUND(G36*I36,2)</f>
        <v>46844.34</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395">
        <v>702313.88</v>
      </c>
      <c r="H37" s="37" t="s">
        <v>49</v>
      </c>
      <c r="I37" s="38">
        <v>5.4000000000000003E-3</v>
      </c>
      <c r="J37" s="125">
        <f>ROUND(G37*I37,2)</f>
        <v>3792.49</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50636.829999999994</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515"/>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515">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515">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515">
        <f t="shared" si="9"/>
        <v>0</v>
      </c>
      <c r="M43" s="2"/>
      <c r="R43" s="885"/>
      <c r="S43" s="885"/>
      <c r="T43" s="867"/>
      <c r="U43" s="867"/>
      <c r="V43" s="167" t="s">
        <v>59</v>
      </c>
      <c r="W43" s="167">
        <v>253</v>
      </c>
      <c r="X43" s="128">
        <f>Consolidated!$H61</f>
        <v>6896</v>
      </c>
      <c r="Y43" s="218">
        <f t="shared" si="10"/>
        <v>0</v>
      </c>
    </row>
    <row r="44" spans="1:25" x14ac:dyDescent="0.25">
      <c r="A44" s="825"/>
      <c r="B44" s="825"/>
      <c r="C44" s="357">
        <v>0</v>
      </c>
      <c r="D44" s="357">
        <v>0</v>
      </c>
      <c r="E44" s="826">
        <f t="shared" si="8"/>
        <v>0</v>
      </c>
      <c r="F44" s="826"/>
      <c r="G44" s="47" t="s">
        <v>60</v>
      </c>
      <c r="H44" s="37">
        <v>251</v>
      </c>
      <c r="I44" s="130">
        <f>Consolidated!$H62</f>
        <v>1173</v>
      </c>
      <c r="J44" s="515">
        <f t="shared" si="9"/>
        <v>0</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515">
        <f t="shared" si="9"/>
        <v>0</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515">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9</v>
      </c>
      <c r="D47" s="357">
        <v>0</v>
      </c>
      <c r="E47" s="826">
        <f t="shared" si="8"/>
        <v>18</v>
      </c>
      <c r="F47" s="826"/>
      <c r="G47" s="47" t="s">
        <v>61</v>
      </c>
      <c r="H47" s="37">
        <v>251</v>
      </c>
      <c r="I47" s="130">
        <f>Consolidated!$H65</f>
        <v>835</v>
      </c>
      <c r="J47" s="515">
        <f t="shared" si="9"/>
        <v>15030</v>
      </c>
      <c r="M47" s="2"/>
      <c r="R47" s="885"/>
      <c r="S47" s="885"/>
      <c r="T47" s="867"/>
      <c r="U47" s="867"/>
      <c r="V47" s="176" t="s">
        <v>61</v>
      </c>
      <c r="W47" s="167">
        <v>251</v>
      </c>
      <c r="X47" s="128">
        <f>Consolidated!$H65</f>
        <v>835</v>
      </c>
      <c r="Y47" s="218">
        <f t="shared" si="10"/>
        <v>0</v>
      </c>
    </row>
    <row r="48" spans="1:25" ht="15.75" customHeight="1" x14ac:dyDescent="0.25">
      <c r="A48" s="825"/>
      <c r="B48" s="825"/>
      <c r="C48" s="357">
        <v>1.5</v>
      </c>
      <c r="D48" s="357">
        <v>0</v>
      </c>
      <c r="E48" s="826">
        <f t="shared" si="8"/>
        <v>3</v>
      </c>
      <c r="F48" s="826"/>
      <c r="G48" s="47" t="s">
        <v>61</v>
      </c>
      <c r="H48" s="37">
        <v>252</v>
      </c>
      <c r="I48" s="130">
        <f>Consolidated!$H66</f>
        <v>3168</v>
      </c>
      <c r="J48" s="515">
        <f t="shared" si="9"/>
        <v>9504</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10.5</v>
      </c>
      <c r="D50" s="524">
        <f>SUM(D41:D49)</f>
        <v>0</v>
      </c>
      <c r="E50" s="832">
        <f>SUM(E41:E49)</f>
        <v>21</v>
      </c>
      <c r="F50" s="832"/>
      <c r="G50" s="818" t="s">
        <v>63</v>
      </c>
      <c r="H50" s="818"/>
      <c r="I50" s="818"/>
      <c r="J50" s="225">
        <f>SUM(J41:J49)</f>
        <v>24534</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123.20000000000002</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5.9299999999999999E-4</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121.7576</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5.5000000000000003E-4</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123.20000000000002</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6.8900000000000005E-4</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123.20000000000002</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5.9400000000000002E-4</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123.20000000000002</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6.8999999999999997E-4</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5.9400000000000002E-4</v>
      </c>
      <c r="J68" s="132">
        <f>ROUND(G68*I68,2)</f>
        <v>27103.98</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5.9299999999999999E-4</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6.8999999999999997E-4</v>
      </c>
      <c r="J71" s="132">
        <f>ROUND(G71*I71,2)</f>
        <v>13064.5</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6.8900000000000005E-4</v>
      </c>
      <c r="J72" s="132">
        <f>ROUND(G72*I72,2)</f>
        <v>7785.71</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5.5000000000000003E-4</v>
      </c>
      <c r="J85" s="132">
        <f>ROUND(G85*I85,2)</f>
        <v>147848.95000000001</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5.5000000000000003E-4</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5.9299999999999999E-4</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51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0</v>
      </c>
      <c r="C91" s="80"/>
      <c r="D91" s="894">
        <f>I6</f>
        <v>1.0355000000000001</v>
      </c>
      <c r="E91" s="894"/>
      <c r="F91" s="894"/>
      <c r="G91" s="117">
        <f>Consolidated!F$119</f>
        <v>915.09</v>
      </c>
      <c r="H91" s="47" t="s">
        <v>68</v>
      </c>
      <c r="I91" s="515">
        <f>ROUND(B91*D91*G91,2)</f>
        <v>0</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121.7576</v>
      </c>
      <c r="C92" s="80"/>
      <c r="D92" s="894">
        <f>I6</f>
        <v>1.0355000000000001</v>
      </c>
      <c r="E92" s="894"/>
      <c r="F92" s="894"/>
      <c r="G92" s="117">
        <f>Consolidated!F$120</f>
        <v>917.3</v>
      </c>
      <c r="H92" s="47" t="s">
        <v>68</v>
      </c>
      <c r="I92" s="515">
        <f>ROUND(B92*D92*G92,2)</f>
        <v>115653.18</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121.7576</v>
      </c>
      <c r="C93" s="80"/>
      <c r="D93" s="80"/>
      <c r="E93" s="846" t="s">
        <v>112</v>
      </c>
      <c r="F93" s="846"/>
      <c r="G93" s="846"/>
      <c r="H93" s="846"/>
      <c r="I93" s="846"/>
      <c r="J93" s="121">
        <f>IF(A1=75,0,I92+I91+I90)</f>
        <v>115653.18</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357">
        <v>33</v>
      </c>
      <c r="D97" s="357">
        <v>0</v>
      </c>
      <c r="E97" s="913">
        <f>(C97+D97)</f>
        <v>33</v>
      </c>
      <c r="F97" s="850"/>
      <c r="G97" s="850"/>
      <c r="H97" s="85" t="s">
        <v>117</v>
      </c>
      <c r="I97" s="124">
        <f>Consolidated!G$127</f>
        <v>586</v>
      </c>
      <c r="J97" s="132">
        <f>ROUND(I97*E97,2)</f>
        <v>19338</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1032705.7</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982068.87</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237"/>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I114" s="238">
        <f>IF(I111=1,J111,J109)</f>
        <v>982068.87</v>
      </c>
      <c r="J114" s="239">
        <f>ROUND(IF(E28=0,0,IF(E28&gt;250,-(((250/E28)*I114)*IF(H113="H",0.02,0.05)),IF(H113="H",-0.02*I114,-0.05*I114))),2)</f>
        <v>-49103.44</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983602.26</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Payments'!R115</f>
        <v>-812439.57000000007</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171162.68999999994</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85581.35</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ROUND(IF(H113="H",(I114*0.02)+J114,(I114*0.05)+J114),2)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C89F0-6C06-4112-8D33-4BE842CC9078}">
  <dimension ref="A1:Z207"/>
  <sheetViews>
    <sheetView topLeftCell="A107" workbookViewId="0">
      <selection activeCell="A111" sqref="A111:H11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471</v>
      </c>
      <c r="B2" s="101"/>
      <c r="C2" s="101"/>
      <c r="D2" s="101"/>
      <c r="E2" s="6"/>
      <c r="F2" s="6"/>
      <c r="G2" s="6"/>
      <c r="H2" s="6"/>
      <c r="I2" s="686" t="str">
        <f>RIGHT(A2,4)</f>
        <v>4090</v>
      </c>
      <c r="J2" s="6"/>
      <c r="K2" s="6"/>
      <c r="L2" s="6"/>
      <c r="M2" s="6"/>
      <c r="N2" s="6"/>
      <c r="O2" s="6"/>
      <c r="P2" s="6"/>
      <c r="Q2" s="6"/>
      <c r="R2" s="898" t="str">
        <f>Revenue_Estimate_Worksheet_for___________Charter_School</f>
        <v>Revenue Estimate Worksheet: Sports Leadership &amp; Management Middle School (SLAM) - 4090</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122.53</v>
      </c>
      <c r="D14" s="357">
        <f>SUMIFS(CountData!J:J,CountData!H:H,$I$2,CountData!I:I,$O14)</f>
        <v>126.46</v>
      </c>
      <c r="E14" s="812">
        <f t="shared" si="0"/>
        <v>248.99</v>
      </c>
      <c r="F14" s="812"/>
      <c r="G14" s="813">
        <f>Consolidated!$F16</f>
        <v>1</v>
      </c>
      <c r="H14" s="813">
        <f>Consolidated!$H$9</f>
        <v>1</v>
      </c>
      <c r="I14" s="517">
        <f t="shared" si="3"/>
        <v>248.99</v>
      </c>
      <c r="J14" s="518">
        <f>ROUND(ROUND(ROUND(I14*$E$6,4)*($I$6),2)*(MAX($I$7,1)),2)</f>
        <v>1385212.86</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19.25</v>
      </c>
      <c r="D15" s="357">
        <f>SUMIFS(CountData!J:J,CountData!H:H,$I$2,CountData!I:I,$O15)</f>
        <v>22.91</v>
      </c>
      <c r="E15" s="812">
        <f t="shared" si="0"/>
        <v>42.16</v>
      </c>
      <c r="F15" s="812"/>
      <c r="G15" s="813">
        <f>Consolidated!$F17</f>
        <v>1</v>
      </c>
      <c r="H15" s="813">
        <f>Consolidated!$H$9</f>
        <v>1</v>
      </c>
      <c r="I15" s="517">
        <f t="shared" si="3"/>
        <v>42.16</v>
      </c>
      <c r="J15" s="518">
        <f t="shared" si="1"/>
        <v>234549.88</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7.8</v>
      </c>
      <c r="D25" s="357">
        <f>SUMIFS(CountData!J:J,CountData!H:H,$I$2,CountData!I:I,$O25)</f>
        <v>18.350000000000001</v>
      </c>
      <c r="E25" s="812">
        <f t="shared" si="0"/>
        <v>26.150000000000002</v>
      </c>
      <c r="F25" s="812"/>
      <c r="G25" s="813">
        <f>Consolidated!$F27</f>
        <v>1.165</v>
      </c>
      <c r="H25" s="813">
        <f>Consolidated!$H$9</f>
        <v>1</v>
      </c>
      <c r="I25" s="517">
        <f t="shared" si="3"/>
        <v>30.4648</v>
      </c>
      <c r="J25" s="518">
        <f t="shared" si="1"/>
        <v>169485.65</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149.58000000000001</v>
      </c>
      <c r="D28" s="720">
        <f>SUM(D12:D27)</f>
        <v>167.72</v>
      </c>
      <c r="E28" s="817">
        <f>SUM(E12:E27)</f>
        <v>317.29999999999995</v>
      </c>
      <c r="F28" s="817"/>
      <c r="G28" s="812"/>
      <c r="H28" s="812"/>
      <c r="I28" s="23">
        <f>SUM(I12:I27)</f>
        <v>321.6148</v>
      </c>
      <c r="J28" s="121">
        <f>SUM(J12:J27)</f>
        <v>1789248.3900000001</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321.6148</v>
      </c>
      <c r="H33" s="812" t="s">
        <v>45</v>
      </c>
      <c r="I33" s="812"/>
      <c r="J33" s="32">
        <f>SUM(J32,J28)</f>
        <v>1789248.3900000001</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395">
        <v>1571629.39</v>
      </c>
      <c r="H36" s="37" t="s">
        <v>49</v>
      </c>
      <c r="I36" s="38">
        <v>6.6699999999999995E-2</v>
      </c>
      <c r="J36" s="125">
        <f>ROUND(G36*I36,2)</f>
        <v>104827.68</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395">
        <v>1571629.39</v>
      </c>
      <c r="H37" s="37" t="s">
        <v>49</v>
      </c>
      <c r="I37" s="38">
        <v>5.4000000000000003E-3</v>
      </c>
      <c r="J37" s="125">
        <f>ROUND(G37*I37,2)</f>
        <v>8486.7999999999993</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113314.48</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46">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46">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x14ac:dyDescent="0.25">
      <c r="A44" s="825"/>
      <c r="B44" s="825"/>
      <c r="C44" s="357">
        <v>18.46</v>
      </c>
      <c r="D44" s="357">
        <v>0</v>
      </c>
      <c r="E44" s="826">
        <f t="shared" si="8"/>
        <v>36.92</v>
      </c>
      <c r="F44" s="826"/>
      <c r="G44" s="47" t="s">
        <v>60</v>
      </c>
      <c r="H44" s="37">
        <v>251</v>
      </c>
      <c r="I44" s="130">
        <f>Consolidated!$H62</f>
        <v>1173</v>
      </c>
      <c r="J44" s="131">
        <f t="shared" si="9"/>
        <v>43307.16</v>
      </c>
      <c r="L44" s="3"/>
      <c r="M44" s="2"/>
      <c r="Q44" s="4"/>
      <c r="R44" s="885"/>
      <c r="S44" s="885"/>
      <c r="T44" s="867"/>
      <c r="U44" s="867"/>
      <c r="V44" s="176" t="s">
        <v>60</v>
      </c>
      <c r="W44" s="167">
        <v>251</v>
      </c>
      <c r="X44" s="128">
        <f>Consolidated!$H62</f>
        <v>1173</v>
      </c>
      <c r="Y44" s="218">
        <f t="shared" si="10"/>
        <v>0</v>
      </c>
    </row>
    <row r="45" spans="1:25" x14ac:dyDescent="0.25">
      <c r="A45" s="825"/>
      <c r="B45" s="825"/>
      <c r="C45" s="357">
        <v>1.54</v>
      </c>
      <c r="D45" s="357">
        <v>0</v>
      </c>
      <c r="E45" s="826">
        <f t="shared" si="8"/>
        <v>3.08</v>
      </c>
      <c r="F45" s="826"/>
      <c r="G45" s="47" t="s">
        <v>60</v>
      </c>
      <c r="H45" s="37">
        <v>252</v>
      </c>
      <c r="I45" s="130">
        <f>Consolidated!$H63</f>
        <v>3506</v>
      </c>
      <c r="J45" s="46">
        <f t="shared" si="9"/>
        <v>10798.48</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46">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20</v>
      </c>
      <c r="D50" s="524">
        <f>SUM(D41:D49)</f>
        <v>0</v>
      </c>
      <c r="E50" s="832">
        <f>SUM(E41:E49)</f>
        <v>40</v>
      </c>
      <c r="F50" s="832"/>
      <c r="G50" s="818" t="s">
        <v>63</v>
      </c>
      <c r="H50" s="818"/>
      <c r="I50" s="818"/>
      <c r="J50" s="225">
        <f>SUM(J41:J49)</f>
        <v>54105.64</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317.29999999999995</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1.5269999999999999E-3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321.6148</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1.454E-3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317.29999999999995</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1.7730000000000001E-3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317.29999999999995</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1.529E-3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317.29999999999995</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1.776E-3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1.529E-3</v>
      </c>
      <c r="J68" s="132">
        <f>ROUND(G68*I68,2)</f>
        <v>69767.649999999994</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1.5269999999999999E-3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1.776E-3</v>
      </c>
      <c r="J71" s="132">
        <f>ROUND(G71*I71,2)</f>
        <v>33626.89</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1.7730000000000001E-3</v>
      </c>
      <c r="J72" s="132">
        <f>ROUND(G72*I72,2)</f>
        <v>20034.919999999998</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1.454E-3</v>
      </c>
      <c r="J85" s="132">
        <f>ROUND(G85*I85,2)</f>
        <v>390858.87</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1.454E-3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1.5269999999999999E-3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13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321.6148</v>
      </c>
      <c r="C91" s="80"/>
      <c r="D91" s="894">
        <f>I6</f>
        <v>1.0355000000000001</v>
      </c>
      <c r="E91" s="894"/>
      <c r="F91" s="894"/>
      <c r="G91" s="117">
        <f>Consolidated!F$119</f>
        <v>915.09</v>
      </c>
      <c r="H91" s="47" t="s">
        <v>68</v>
      </c>
      <c r="I91" s="134">
        <f>ROUND(B91*D91*G91,2)</f>
        <v>304754.37</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321.6148</v>
      </c>
      <c r="C93" s="80"/>
      <c r="D93" s="80"/>
      <c r="E93" s="846" t="s">
        <v>112</v>
      </c>
      <c r="F93" s="846"/>
      <c r="G93" s="846"/>
      <c r="H93" s="846"/>
      <c r="I93" s="846"/>
      <c r="J93" s="121">
        <f>IF(A1=75,0,I92+I91+I90)</f>
        <v>304754.37</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357">
        <v>0</v>
      </c>
      <c r="D97" s="357">
        <v>0</v>
      </c>
      <c r="E97" s="913">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2662396.73</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2549082.25</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237"/>
      <c r="I114" s="238">
        <f>IF(I111=1,J111,J109)</f>
        <v>2549082.25</v>
      </c>
      <c r="J114" s="239">
        <f>ROUND(IF(E28=0,0,IF(E28&gt;250,-(((250/E28)*I114)*IF(H114="H",0.02,0.05)),IF(H114="H",-0.02*I114,-0.05*I114))),2)</f>
        <v>-100420.83</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2561975.9</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Payments'!R116</f>
        <v>-2059690.9</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502285</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251142.5</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ROUND(IF(H114="H",(I114*0.02)+J114,(I114*0.05)+J114),2)</f>
        <v>27033.279999999999</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16831-2743-42C3-A705-931D6F2B5962}">
  <dimension ref="A1:Z207"/>
  <sheetViews>
    <sheetView workbookViewId="0">
      <selection activeCell="A5" sqref="A5:J5"/>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472</v>
      </c>
      <c r="B2" s="101"/>
      <c r="C2" s="101"/>
      <c r="D2" s="101"/>
      <c r="E2" s="6"/>
      <c r="F2" s="6"/>
      <c r="G2" s="6"/>
      <c r="H2" s="6"/>
      <c r="I2" s="686" t="str">
        <f>RIGHT(A2,4)</f>
        <v>4091</v>
      </c>
      <c r="J2" s="6"/>
      <c r="K2" s="6"/>
      <c r="L2" s="6"/>
      <c r="M2" s="6"/>
      <c r="N2" s="6"/>
      <c r="O2" s="6"/>
      <c r="P2" s="6"/>
      <c r="Q2" s="6"/>
      <c r="R2" s="898" t="str">
        <f>Revenue_Estimate_Worksheet_for___________Charter_School</f>
        <v>Revenue Estimate Worksheet: Somerset Academy Lakes - 4091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80.569999999999993</v>
      </c>
      <c r="D12" s="719">
        <f>SUMIFS(CountData!J:J,CountData!H:H,$I$2,CountData!I:I,$O12)</f>
        <v>76.97</v>
      </c>
      <c r="E12" s="804">
        <f t="shared" ref="E12:E27" si="0">IF($D$28=0,C12*2,C12+D12)</f>
        <v>157.54</v>
      </c>
      <c r="F12" s="804"/>
      <c r="G12" s="805">
        <f>Consolidated!$F14</f>
        <v>1.1080000000000001</v>
      </c>
      <c r="H12" s="805">
        <f>Consolidated!$H$9</f>
        <v>1</v>
      </c>
      <c r="I12" s="517">
        <f>ROUND(E12*G12,4)</f>
        <v>174.55430000000001</v>
      </c>
      <c r="J12" s="518">
        <f t="shared" ref="J12:J27" si="1">ROUND(ROUND(ROUND(I12*$E$6,4)*($I$6),2)*(MAX($I$7,1)),2)</f>
        <v>971102.7</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13</v>
      </c>
      <c r="D13" s="357">
        <f>SUMIFS(CountData!J:J,CountData!H:H,$I$2,CountData!I:I,$O13)</f>
        <v>14</v>
      </c>
      <c r="E13" s="812">
        <f t="shared" si="0"/>
        <v>27</v>
      </c>
      <c r="F13" s="812"/>
      <c r="G13" s="813">
        <f>Consolidated!$F15</f>
        <v>1.1080000000000001</v>
      </c>
      <c r="H13" s="813">
        <f>Consolidated!$H$9</f>
        <v>1</v>
      </c>
      <c r="I13" s="517">
        <f t="shared" ref="I13:I27" si="3">ROUND(E13*G13,4)</f>
        <v>29.916</v>
      </c>
      <c r="J13" s="518">
        <f t="shared" si="1"/>
        <v>166432.5</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41</v>
      </c>
      <c r="D14" s="357">
        <f>SUMIFS(CountData!J:J,CountData!H:H,$I$2,CountData!I:I,$O14)</f>
        <v>41.86</v>
      </c>
      <c r="E14" s="812">
        <f t="shared" si="0"/>
        <v>82.86</v>
      </c>
      <c r="F14" s="812"/>
      <c r="G14" s="813">
        <f>Consolidated!$F16</f>
        <v>1</v>
      </c>
      <c r="H14" s="813">
        <f>Consolidated!$H$9</f>
        <v>1</v>
      </c>
      <c r="I14" s="517">
        <f t="shared" si="3"/>
        <v>82.86</v>
      </c>
      <c r="J14" s="518">
        <f>ROUND(ROUND(ROUND(I14*$E$6,4)*($I$6),2)*(MAX($I$7,1)),2)</f>
        <v>460977.3</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6.95</v>
      </c>
      <c r="D15" s="357">
        <f>SUMIFS(CountData!J:J,CountData!H:H,$I$2,CountData!I:I,$O15)</f>
        <v>9</v>
      </c>
      <c r="E15" s="812">
        <f t="shared" si="0"/>
        <v>15.95</v>
      </c>
      <c r="F15" s="812"/>
      <c r="G15" s="813">
        <f>Consolidated!$F17</f>
        <v>1</v>
      </c>
      <c r="H15" s="813">
        <f>Consolidated!$H$9</f>
        <v>1</v>
      </c>
      <c r="I15" s="517">
        <f t="shared" si="3"/>
        <v>15.95</v>
      </c>
      <c r="J15" s="518">
        <f t="shared" si="1"/>
        <v>88735.07</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254</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255</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53.74</v>
      </c>
      <c r="D24" s="357">
        <f>SUMIFS(CountData!J:J,CountData!H:H,$I$2,CountData!I:I,$O24)</f>
        <v>56.88</v>
      </c>
      <c r="E24" s="812">
        <f t="shared" si="0"/>
        <v>110.62</v>
      </c>
      <c r="F24" s="812"/>
      <c r="G24" s="813">
        <f>Consolidated!$F26</f>
        <v>1.165</v>
      </c>
      <c r="H24" s="813">
        <f>Consolidated!$H$9</f>
        <v>1</v>
      </c>
      <c r="I24" s="517">
        <f t="shared" si="3"/>
        <v>128.8723</v>
      </c>
      <c r="J24" s="518">
        <f t="shared" si="1"/>
        <v>716958.78</v>
      </c>
      <c r="M24" s="2"/>
      <c r="O24" s="2" t="str">
        <f>IF(O$7="E",LEFT(R$24,3),"")</f>
        <v>130</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195.26</v>
      </c>
      <c r="D28" s="720">
        <f>SUM(D12:D27)</f>
        <v>198.70999999999998</v>
      </c>
      <c r="E28" s="817">
        <f>SUM(E12:E27)</f>
        <v>393.96999999999997</v>
      </c>
      <c r="F28" s="817"/>
      <c r="G28" s="812"/>
      <c r="H28" s="812"/>
      <c r="I28" s="23">
        <f>SUM(I12:I27)</f>
        <v>432.15260000000001</v>
      </c>
      <c r="J28" s="121">
        <f>SUM(J12:J27)</f>
        <v>2404206.35</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432.15260000000001</v>
      </c>
      <c r="H33" s="812" t="s">
        <v>45</v>
      </c>
      <c r="I33" s="812"/>
      <c r="J33" s="32">
        <f>SUM(J32,J28)</f>
        <v>2404206.35</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395">
        <v>2428058.0100000002</v>
      </c>
      <c r="H36" s="37" t="s">
        <v>49</v>
      </c>
      <c r="I36" s="38">
        <v>6.6699999999999995E-2</v>
      </c>
      <c r="J36" s="125">
        <f>ROUND(G36*I36,2)</f>
        <v>161951.47</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395">
        <v>2428058.0100000002</v>
      </c>
      <c r="H37" s="37" t="s">
        <v>49</v>
      </c>
      <c r="I37" s="38">
        <v>5.4000000000000003E-3</v>
      </c>
      <c r="J37" s="125">
        <f>ROUND(G37*I37,2)</f>
        <v>13111.51</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175062.98</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8.5</v>
      </c>
      <c r="D41" s="357">
        <v>0</v>
      </c>
      <c r="E41" s="826">
        <f t="shared" ref="E41:E49" si="8">IF($D$50=0,C41*2,C41+D41)</f>
        <v>17</v>
      </c>
      <c r="F41" s="826"/>
      <c r="G41" s="37" t="s">
        <v>59</v>
      </c>
      <c r="H41" s="37">
        <v>251</v>
      </c>
      <c r="I41" s="130">
        <f>Consolidated!$H59</f>
        <v>1047</v>
      </c>
      <c r="J41" s="46">
        <f t="shared" ref="J41:J49" si="9">ROUND(E41*I41,2)</f>
        <v>17799</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4.5</v>
      </c>
      <c r="D42" s="357">
        <v>0</v>
      </c>
      <c r="E42" s="826">
        <f t="shared" si="8"/>
        <v>9</v>
      </c>
      <c r="F42" s="826"/>
      <c r="G42" s="37" t="s">
        <v>59</v>
      </c>
      <c r="H42" s="37">
        <v>252</v>
      </c>
      <c r="I42" s="130">
        <f>Consolidated!$H60</f>
        <v>3380</v>
      </c>
      <c r="J42" s="46">
        <f t="shared" si="9"/>
        <v>30420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x14ac:dyDescent="0.25">
      <c r="A44" s="825"/>
      <c r="B44" s="825"/>
      <c r="C44" s="357">
        <v>6.5</v>
      </c>
      <c r="D44" s="357">
        <v>0</v>
      </c>
      <c r="E44" s="826">
        <f t="shared" si="8"/>
        <v>13</v>
      </c>
      <c r="F44" s="826"/>
      <c r="G44" s="47" t="s">
        <v>60</v>
      </c>
      <c r="H44" s="37">
        <v>251</v>
      </c>
      <c r="I44" s="130">
        <f>Consolidated!$H62</f>
        <v>1173</v>
      </c>
      <c r="J44" s="131">
        <f t="shared" si="9"/>
        <v>15249</v>
      </c>
      <c r="L44" s="3"/>
      <c r="M44" s="2"/>
      <c r="Q44" s="4"/>
      <c r="R44" s="885"/>
      <c r="S44" s="885"/>
      <c r="T44" s="867"/>
      <c r="U44" s="867"/>
      <c r="V44" s="176" t="s">
        <v>60</v>
      </c>
      <c r="W44" s="167">
        <v>251</v>
      </c>
      <c r="X44" s="128">
        <f>Consolidated!$H62</f>
        <v>1173</v>
      </c>
      <c r="Y44" s="218">
        <f t="shared" si="10"/>
        <v>0</v>
      </c>
    </row>
    <row r="45" spans="1:25" x14ac:dyDescent="0.25">
      <c r="A45" s="825"/>
      <c r="B45" s="825"/>
      <c r="C45" s="357">
        <v>0.5</v>
      </c>
      <c r="D45" s="357">
        <v>0</v>
      </c>
      <c r="E45" s="826">
        <f t="shared" si="8"/>
        <v>1</v>
      </c>
      <c r="F45" s="826"/>
      <c r="G45" s="47" t="s">
        <v>60</v>
      </c>
      <c r="H45" s="37">
        <v>252</v>
      </c>
      <c r="I45" s="130">
        <f>Consolidated!$H63</f>
        <v>3506</v>
      </c>
      <c r="J45" s="46">
        <f t="shared" si="9"/>
        <v>3506</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46">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20</v>
      </c>
      <c r="D50" s="524">
        <f>SUM(D41:D49)</f>
        <v>0</v>
      </c>
      <c r="E50" s="832">
        <f>SUM(E41:E49)</f>
        <v>40</v>
      </c>
      <c r="F50" s="832"/>
      <c r="G50" s="818" t="s">
        <v>63</v>
      </c>
      <c r="H50" s="818"/>
      <c r="I50" s="818"/>
      <c r="J50" s="225">
        <f>SUM(J41:J49)</f>
        <v>66974</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393.96999999999997</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1.8959999999999999E-3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E54</f>
        <v>0</v>
      </c>
      <c r="U55" s="178" t="s">
        <v>66</v>
      </c>
      <c r="V55" s="179"/>
      <c r="W55" s="180" t="s">
        <v>71</v>
      </c>
      <c r="X55" s="863">
        <f>I56</f>
        <v>221179.83999999997</v>
      </c>
      <c r="Y55" s="863"/>
    </row>
    <row r="56" spans="1:25" ht="16.5" customHeight="1" x14ac:dyDescent="0.25">
      <c r="A56" s="827" t="s">
        <v>70</v>
      </c>
      <c r="B56" s="827"/>
      <c r="C56" s="51"/>
      <c r="D56" s="51"/>
      <c r="E56" s="48">
        <f>G33</f>
        <v>432.15260000000001</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1.954E-3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393.96999999999997</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2.202E-3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393.96999999999997</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1.8990000000000001E-3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393.96999999999997</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2.2060000000000001E-3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1.8990000000000001E-3</v>
      </c>
      <c r="J68" s="132">
        <f>ROUND(G68*I68,2)</f>
        <v>86650.6</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1.8959999999999999E-3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2.2060000000000001E-3</v>
      </c>
      <c r="J71" s="132">
        <f>ROUND(G71*I71,2)</f>
        <v>41768.53</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2.202E-3</v>
      </c>
      <c r="J72" s="132">
        <f>ROUND(G72*I72,2)</f>
        <v>24882.63</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1.954E-3</v>
      </c>
      <c r="J85" s="132">
        <f>ROUND(G85*I85,2)</f>
        <v>525267.01</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1.954E-3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1.8959999999999999E-3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333.3426</v>
      </c>
      <c r="C90" s="80"/>
      <c r="D90" s="894">
        <f>I6</f>
        <v>1.0355000000000001</v>
      </c>
      <c r="E90" s="894"/>
      <c r="F90" s="894"/>
      <c r="G90" s="117">
        <f>Consolidated!F$118</f>
        <v>958.42</v>
      </c>
      <c r="H90" s="47" t="s">
        <v>68</v>
      </c>
      <c r="I90" s="135">
        <f>ROUND(B90*D90*G90,2)</f>
        <v>330823.83</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98.81</v>
      </c>
      <c r="C91" s="80"/>
      <c r="D91" s="894">
        <f>I6</f>
        <v>1.0355000000000001</v>
      </c>
      <c r="E91" s="894"/>
      <c r="F91" s="894"/>
      <c r="G91" s="117">
        <f>Consolidated!F$119</f>
        <v>915.09</v>
      </c>
      <c r="H91" s="47" t="s">
        <v>68</v>
      </c>
      <c r="I91" s="134">
        <f>ROUND(B91*D91*G91,2)</f>
        <v>93629.95</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432.15260000000001</v>
      </c>
      <c r="C93" s="80"/>
      <c r="D93" s="80"/>
      <c r="E93" s="846" t="s">
        <v>112</v>
      </c>
      <c r="F93" s="846"/>
      <c r="G93" s="846"/>
      <c r="H93" s="846"/>
      <c r="I93" s="846"/>
      <c r="J93" s="121">
        <f>IF(A1=75,0,I92+I91+I90)</f>
        <v>424453.78</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357">
        <v>0</v>
      </c>
      <c r="D97" s="357">
        <v>0</v>
      </c>
      <c r="E97" s="913">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3574202.9000000004</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3399139.9200000004</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237"/>
      <c r="I114" s="238">
        <f>IF(I111=1,J111,J109)</f>
        <v>3399139.9200000004</v>
      </c>
      <c r="J114" s="239">
        <f>ROUND(IF(E28=0,0,IF(E28&gt;250,-(((250/E28)*I114)*IF(H114="H",0.02,0.05)),IF(H114="H",-0.02*I114,-0.05*I114))),2)</f>
        <v>-107848.95</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3466353.95</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Payments'!R117</f>
        <v>-2863561.27</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602792.68000000017</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301396.34000000003</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ROUND(IF(H114="H",(I114*0.02)+J114,(I114*0.05)+J114),2)</f>
        <v>62108.05</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5400E-6A42-4D93-8257-16D5E4482675}">
  <dimension ref="A1:Z207"/>
  <sheetViews>
    <sheetView workbookViewId="0">
      <selection activeCell="A5" sqref="A5:J5"/>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473</v>
      </c>
      <c r="B2" s="101"/>
      <c r="C2" s="101"/>
      <c r="D2" s="101"/>
      <c r="E2" s="6"/>
      <c r="F2" s="6"/>
      <c r="G2" s="6"/>
      <c r="H2" s="6"/>
      <c r="I2" s="686" t="str">
        <f>RIGHT(A2,4)</f>
        <v>4100</v>
      </c>
      <c r="J2" s="6"/>
      <c r="K2" s="6"/>
      <c r="L2" s="6"/>
      <c r="M2" s="6"/>
      <c r="N2" s="6"/>
      <c r="O2" s="6"/>
      <c r="P2" s="6"/>
      <c r="Q2" s="6"/>
      <c r="R2" s="898" t="str">
        <f>Revenue_Estimate_Worksheet_for___________Charter_School</f>
        <v>Revenue Estimate Worksheet: Connections Education Center of the Palm Beaches - 4100</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2.5</v>
      </c>
      <c r="D13" s="357">
        <f>SUMIFS(CountData!J:J,CountData!H:H,$I$2,CountData!I:I,$O13)</f>
        <v>2.5</v>
      </c>
      <c r="E13" s="812">
        <f t="shared" si="0"/>
        <v>5</v>
      </c>
      <c r="F13" s="812"/>
      <c r="G13" s="813">
        <f>Consolidated!$F15</f>
        <v>1.1080000000000001</v>
      </c>
      <c r="H13" s="813">
        <f>Consolidated!$H$9</f>
        <v>1</v>
      </c>
      <c r="I13" s="517">
        <f t="shared" ref="I13:I27" si="3">ROUND(E13*G13,4)</f>
        <v>5.54</v>
      </c>
      <c r="J13" s="518">
        <f t="shared" si="1"/>
        <v>30820.83</v>
      </c>
      <c r="L13" s="21"/>
      <c r="M13" s="2"/>
      <c r="O13" s="2" t="str">
        <f t="shared" si="2"/>
        <v>111</v>
      </c>
      <c r="R13" s="737" t="s">
        <v>21</v>
      </c>
      <c r="S13" s="737"/>
      <c r="T13" s="876">
        <f t="shared" ref="T13:T27" si="4">IF($I$111=1,E13,0)</f>
        <v>5</v>
      </c>
      <c r="U13" s="876"/>
      <c r="V13" s="875">
        <v>1</v>
      </c>
      <c r="W13" s="875"/>
      <c r="X13" s="150">
        <f t="shared" ref="X13:X27" si="5">ROUND(T13*V13,4)</f>
        <v>5</v>
      </c>
      <c r="Y13" s="217">
        <f t="shared" ref="Y13" si="6">ROUND(ROUND(ROUND(X13*$E$6,4)*($I$6),2)*(MAX($I$7,1)),2)</f>
        <v>27816.639999999999</v>
      </c>
    </row>
    <row r="14" spans="1:25" x14ac:dyDescent="0.25">
      <c r="A14" s="738" t="s">
        <v>22</v>
      </c>
      <c r="B14" s="738"/>
      <c r="C14" s="357">
        <f>SUMIFS(CountData!D:D,CountData!B:B,$I$2,CountData!C:C,$O14)</f>
        <v>0</v>
      </c>
      <c r="D14" s="357">
        <f>SUMIFS(CountData!J:J,CountData!H:H,$I$2,CountData!I:I,$O14)</f>
        <v>0</v>
      </c>
      <c r="E14" s="812">
        <f t="shared" si="0"/>
        <v>0</v>
      </c>
      <c r="F14" s="812"/>
      <c r="G14" s="813">
        <f>Consolidated!$F16</f>
        <v>1</v>
      </c>
      <c r="H14" s="813">
        <f>Consolidated!$H$9</f>
        <v>1</v>
      </c>
      <c r="I14" s="517">
        <f t="shared" si="3"/>
        <v>0</v>
      </c>
      <c r="J14" s="518">
        <f>ROUND(ROUND(ROUND(I14*$E$6,4)*($I$6),2)*(MAX($I$7,1)),2)</f>
        <v>0</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1</v>
      </c>
      <c r="D15" s="357">
        <f>SUMIFS(CountData!J:J,CountData!H:H,$I$2,CountData!I:I,$O15)</f>
        <v>0.5</v>
      </c>
      <c r="E15" s="812">
        <f t="shared" si="0"/>
        <v>1.5</v>
      </c>
      <c r="F15" s="812"/>
      <c r="G15" s="813">
        <f>Consolidated!$F17</f>
        <v>1</v>
      </c>
      <c r="H15" s="813">
        <f>Consolidated!$H$9</f>
        <v>1</v>
      </c>
      <c r="I15" s="517">
        <f t="shared" si="3"/>
        <v>1.5</v>
      </c>
      <c r="J15" s="518">
        <f t="shared" si="1"/>
        <v>8344.99</v>
      </c>
      <c r="M15" s="2"/>
      <c r="O15" s="2" t="str">
        <f t="shared" si="2"/>
        <v>112</v>
      </c>
      <c r="R15" s="737" t="s">
        <v>23</v>
      </c>
      <c r="S15" s="737"/>
      <c r="T15" s="876">
        <f t="shared" si="4"/>
        <v>1.5</v>
      </c>
      <c r="U15" s="876"/>
      <c r="V15" s="875">
        <v>1</v>
      </c>
      <c r="W15" s="875"/>
      <c r="X15" s="150">
        <f t="shared" si="5"/>
        <v>1.5</v>
      </c>
      <c r="Y15" s="217">
        <f t="shared" ref="Y15:Y27" si="7">ROUND(ROUND(ROUND(X15*$E$6,4)*($I$6),2)*(MAX($I$7,1)),2)</f>
        <v>8344.99</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17.48</v>
      </c>
      <c r="D18" s="357">
        <f>SUMIFS(CountData!J:J,CountData!H:H,$I$2,CountData!I:I,$O18)</f>
        <v>16</v>
      </c>
      <c r="E18" s="812">
        <f t="shared" si="0"/>
        <v>33.480000000000004</v>
      </c>
      <c r="F18" s="812"/>
      <c r="G18" s="813">
        <f>Consolidated!$F20</f>
        <v>3.609</v>
      </c>
      <c r="H18" s="813">
        <f>Consolidated!$H$9</f>
        <v>1</v>
      </c>
      <c r="I18" s="517">
        <f t="shared" si="3"/>
        <v>120.8293</v>
      </c>
      <c r="J18" s="518">
        <f t="shared" si="1"/>
        <v>672212.94</v>
      </c>
      <c r="M18" s="2"/>
      <c r="O18" s="2" t="str">
        <f>IF(O$7="E",LEFT(R$18,3),"")</f>
        <v>254</v>
      </c>
      <c r="R18" s="737" t="s">
        <v>26</v>
      </c>
      <c r="S18" s="737"/>
      <c r="T18" s="876">
        <f t="shared" si="4"/>
        <v>33.480000000000004</v>
      </c>
      <c r="U18" s="876"/>
      <c r="V18" s="875">
        <v>1</v>
      </c>
      <c r="W18" s="875"/>
      <c r="X18" s="150">
        <f t="shared" si="5"/>
        <v>33.479999999999997</v>
      </c>
      <c r="Y18" s="217">
        <f t="shared" si="7"/>
        <v>186260.2</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29.5</v>
      </c>
      <c r="D21" s="357">
        <f>SUMIFS(CountData!J:J,CountData!H:H,$I$2,CountData!I:I,$O21)</f>
        <v>32</v>
      </c>
      <c r="E21" s="812">
        <f t="shared" si="0"/>
        <v>61.5</v>
      </c>
      <c r="F21" s="812"/>
      <c r="G21" s="813">
        <f>Consolidated!$F23</f>
        <v>6.0640000000000001</v>
      </c>
      <c r="H21" s="813">
        <f>Consolidated!$H$9</f>
        <v>1</v>
      </c>
      <c r="I21" s="517">
        <f t="shared" si="3"/>
        <v>372.93599999999998</v>
      </c>
      <c r="J21" s="518">
        <f t="shared" si="1"/>
        <v>2074765.03</v>
      </c>
      <c r="M21" s="2"/>
      <c r="O21" s="2" t="str">
        <f>IF(O$7="E",LEFT(R$21,3),"")</f>
        <v>255</v>
      </c>
      <c r="R21" s="737" t="s">
        <v>29</v>
      </c>
      <c r="S21" s="737"/>
      <c r="T21" s="876">
        <f t="shared" si="4"/>
        <v>61.5</v>
      </c>
      <c r="U21" s="876"/>
      <c r="V21" s="875">
        <v>1</v>
      </c>
      <c r="W21" s="875"/>
      <c r="X21" s="150">
        <f t="shared" si="5"/>
        <v>61.5</v>
      </c>
      <c r="Y21" s="217">
        <f t="shared" si="7"/>
        <v>342144.63</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130</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50.480000000000004</v>
      </c>
      <c r="D28" s="720">
        <f>SUM(D12:D27)</f>
        <v>51</v>
      </c>
      <c r="E28" s="817">
        <f>SUM(E12:E27)</f>
        <v>101.48</v>
      </c>
      <c r="F28" s="817"/>
      <c r="G28" s="812"/>
      <c r="H28" s="812"/>
      <c r="I28" s="23">
        <f>SUM(I12:I27)</f>
        <v>500.80529999999999</v>
      </c>
      <c r="J28" s="121">
        <f>SUM(J12:J27)</f>
        <v>2786143.79</v>
      </c>
      <c r="M28" s="2"/>
      <c r="R28" s="878" t="s">
        <v>36</v>
      </c>
      <c r="S28" s="878"/>
      <c r="T28" s="879">
        <f>SUM(T12:T27)</f>
        <v>101.48</v>
      </c>
      <c r="U28" s="879"/>
      <c r="V28" s="880"/>
      <c r="W28" s="880"/>
      <c r="X28" s="152">
        <f>SUM(X12:X27)</f>
        <v>101.47999999999999</v>
      </c>
      <c r="Y28" s="217">
        <f>SUM(Y12:Y27)</f>
        <v>564566.46</v>
      </c>
    </row>
    <row r="29" spans="1:25" ht="36"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500.80529999999999</v>
      </c>
      <c r="H33" s="812" t="s">
        <v>45</v>
      </c>
      <c r="I33" s="812"/>
      <c r="J33" s="32">
        <f>SUM(J32,J28)</f>
        <v>2786143.79</v>
      </c>
      <c r="M33" s="2"/>
      <c r="R33" s="833" t="s">
        <v>44</v>
      </c>
      <c r="S33" s="833"/>
      <c r="T33" s="833"/>
      <c r="U33" s="833"/>
      <c r="V33" s="158">
        <f>X28</f>
        <v>101.47999999999999</v>
      </c>
      <c r="W33" s="880" t="s">
        <v>45</v>
      </c>
      <c r="X33" s="880"/>
      <c r="Y33" s="159">
        <f>SUM(Y32,Y28)</f>
        <v>564566.46</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395">
        <v>2749273.96</v>
      </c>
      <c r="H36" s="37" t="s">
        <v>49</v>
      </c>
      <c r="I36" s="38">
        <v>6.6699999999999995E-2</v>
      </c>
      <c r="J36" s="125">
        <f>ROUND(G36*I36,2)</f>
        <v>183376.57</v>
      </c>
      <c r="K36" s="39"/>
      <c r="L36" s="33"/>
      <c r="M36" s="33"/>
      <c r="N36" s="33"/>
      <c r="O36" s="31"/>
      <c r="P36" s="34"/>
      <c r="Q36" s="34"/>
      <c r="R36" s="737" t="s">
        <v>47</v>
      </c>
      <c r="S36" s="737"/>
      <c r="T36" s="737"/>
      <c r="U36" s="163"/>
      <c r="V36" s="166">
        <v>561896.05000000005</v>
      </c>
      <c r="W36" s="167" t="s">
        <v>49</v>
      </c>
      <c r="X36" s="168">
        <v>6.6699999999999995E-2</v>
      </c>
      <c r="Y36" s="217">
        <f>J36</f>
        <v>183376.57</v>
      </c>
    </row>
    <row r="37" spans="1:25" ht="20.25" customHeight="1" x14ac:dyDescent="0.25">
      <c r="A37" s="738" t="s">
        <v>50</v>
      </c>
      <c r="B37" s="738"/>
      <c r="C37" s="738"/>
      <c r="D37" s="738"/>
      <c r="E37" s="738"/>
      <c r="F37" s="36" t="s">
        <v>48</v>
      </c>
      <c r="G37" s="395">
        <v>2749273.96</v>
      </c>
      <c r="H37" s="37" t="s">
        <v>49</v>
      </c>
      <c r="I37" s="38">
        <v>5.4000000000000003E-3</v>
      </c>
      <c r="J37" s="125">
        <f>ROUND(G37*I37,2)</f>
        <v>14846.08</v>
      </c>
      <c r="K37" s="39"/>
      <c r="L37" s="33"/>
      <c r="M37" s="33"/>
      <c r="N37" s="33"/>
      <c r="O37" s="31"/>
      <c r="P37" s="34"/>
      <c r="Q37" s="34"/>
      <c r="R37" s="737" t="s">
        <v>50</v>
      </c>
      <c r="S37" s="737"/>
      <c r="T37" s="737"/>
      <c r="U37" s="163"/>
      <c r="V37" s="166">
        <v>561896.05000000005</v>
      </c>
      <c r="W37" s="167" t="s">
        <v>49</v>
      </c>
      <c r="X37" s="168">
        <v>5.4000000000000003E-3</v>
      </c>
      <c r="Y37" s="217">
        <f>J37</f>
        <v>14846.08</v>
      </c>
    </row>
    <row r="38" spans="1:25" ht="20.25" customHeight="1" x14ac:dyDescent="0.25">
      <c r="A38" s="820" t="s">
        <v>51</v>
      </c>
      <c r="B38" s="820"/>
      <c r="C38" s="820"/>
      <c r="D38" s="820"/>
      <c r="E38" s="820"/>
      <c r="F38" s="36" t="s">
        <v>52</v>
      </c>
      <c r="G38" s="40"/>
      <c r="H38" s="37"/>
      <c r="I38" s="41"/>
      <c r="J38" s="125">
        <f>SUM(J36:J37)</f>
        <v>198222.65</v>
      </c>
      <c r="K38" s="39"/>
      <c r="L38" s="33"/>
      <c r="M38" s="33"/>
      <c r="N38" s="33"/>
      <c r="O38" s="31"/>
      <c r="P38" s="34"/>
      <c r="Q38" s="34"/>
      <c r="R38" s="739" t="s">
        <v>51</v>
      </c>
      <c r="S38" s="739"/>
      <c r="T38" s="739"/>
      <c r="U38" s="163" t="s">
        <v>52</v>
      </c>
      <c r="V38" s="169"/>
      <c r="W38" s="167"/>
      <c r="X38" s="170"/>
      <c r="Y38" s="151">
        <f>Y36+Y37</f>
        <v>198222.65</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515">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515">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2.5</v>
      </c>
      <c r="D43" s="357">
        <v>0</v>
      </c>
      <c r="E43" s="826">
        <f t="shared" si="8"/>
        <v>5</v>
      </c>
      <c r="F43" s="826"/>
      <c r="G43" s="37" t="s">
        <v>59</v>
      </c>
      <c r="H43" s="37">
        <v>253</v>
      </c>
      <c r="I43" s="130">
        <f>Consolidated!$H61</f>
        <v>6896</v>
      </c>
      <c r="J43" s="515">
        <f t="shared" si="9"/>
        <v>34480</v>
      </c>
      <c r="M43" s="2"/>
      <c r="R43" s="885"/>
      <c r="S43" s="885"/>
      <c r="T43" s="867"/>
      <c r="U43" s="867"/>
      <c r="V43" s="167" t="s">
        <v>59</v>
      </c>
      <c r="W43" s="167">
        <v>253</v>
      </c>
      <c r="X43" s="128">
        <f>Consolidated!$H61</f>
        <v>6896</v>
      </c>
      <c r="Y43" s="218">
        <f t="shared" si="10"/>
        <v>0</v>
      </c>
    </row>
    <row r="44" spans="1:25" x14ac:dyDescent="0.25">
      <c r="A44" s="825"/>
      <c r="B44" s="825"/>
      <c r="C44" s="357">
        <v>0</v>
      </c>
      <c r="D44" s="357">
        <v>0</v>
      </c>
      <c r="E44" s="826">
        <f t="shared" si="8"/>
        <v>0</v>
      </c>
      <c r="F44" s="826"/>
      <c r="G44" s="47" t="s">
        <v>60</v>
      </c>
      <c r="H44" s="37">
        <v>251</v>
      </c>
      <c r="I44" s="130">
        <f>Consolidated!$H62</f>
        <v>1173</v>
      </c>
      <c r="J44" s="515">
        <f t="shared" si="9"/>
        <v>0</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515">
        <f t="shared" si="9"/>
        <v>0</v>
      </c>
      <c r="M45" s="2"/>
      <c r="R45" s="885"/>
      <c r="S45" s="885"/>
      <c r="T45" s="867"/>
      <c r="U45" s="867"/>
      <c r="V45" s="176" t="s">
        <v>60</v>
      </c>
      <c r="W45" s="167">
        <v>252</v>
      </c>
      <c r="X45" s="128">
        <f>Consolidated!$H63</f>
        <v>3506</v>
      </c>
      <c r="Y45" s="218">
        <f t="shared" si="10"/>
        <v>0</v>
      </c>
    </row>
    <row r="46" spans="1:25" x14ac:dyDescent="0.25">
      <c r="A46" s="825"/>
      <c r="B46" s="825"/>
      <c r="C46" s="357">
        <v>1</v>
      </c>
      <c r="D46" s="357">
        <v>0</v>
      </c>
      <c r="E46" s="826">
        <f t="shared" si="8"/>
        <v>2</v>
      </c>
      <c r="F46" s="826"/>
      <c r="G46" s="47" t="s">
        <v>60</v>
      </c>
      <c r="H46" s="37">
        <v>253</v>
      </c>
      <c r="I46" s="130">
        <f>Consolidated!$H64</f>
        <v>7023</v>
      </c>
      <c r="J46" s="515">
        <f t="shared" si="9"/>
        <v>14046</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515">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515">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515">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3.5</v>
      </c>
      <c r="D50" s="524">
        <f>SUM(D41:D49)</f>
        <v>0</v>
      </c>
      <c r="E50" s="832">
        <f>SUM(E41:E49)</f>
        <v>7</v>
      </c>
      <c r="F50" s="832"/>
      <c r="G50" s="818" t="s">
        <v>63</v>
      </c>
      <c r="H50" s="818"/>
      <c r="I50" s="818"/>
      <c r="J50" s="225">
        <f>SUM(J41:J49)</f>
        <v>48526</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101.48</v>
      </c>
      <c r="U52" s="178" t="s">
        <v>66</v>
      </c>
      <c r="V52" s="179"/>
      <c r="W52" s="180" t="s">
        <v>67</v>
      </c>
      <c r="X52" s="863">
        <f>I53</f>
        <v>207782.75</v>
      </c>
      <c r="Y52" s="863"/>
    </row>
    <row r="53" spans="1:25" ht="16.5" customHeight="1" x14ac:dyDescent="0.25">
      <c r="A53" s="827" t="s">
        <v>65</v>
      </c>
      <c r="B53" s="827"/>
      <c r="C53" s="51"/>
      <c r="D53" s="51"/>
      <c r="E53" s="48">
        <f>E28</f>
        <v>101.48</v>
      </c>
      <c r="F53" s="49" t="s">
        <v>66</v>
      </c>
      <c r="G53" s="3"/>
      <c r="H53" s="50" t="s">
        <v>67</v>
      </c>
      <c r="I53" s="918">
        <f>Consolidated!H$71</f>
        <v>207782.75</v>
      </c>
      <c r="J53" s="918"/>
      <c r="M53" s="2"/>
      <c r="R53" s="181"/>
      <c r="S53" s="182"/>
      <c r="T53" s="164"/>
      <c r="U53" s="164"/>
      <c r="V53" s="164"/>
      <c r="W53" s="183" t="s">
        <v>68</v>
      </c>
      <c r="X53" s="864">
        <f>ROUND(T52/X52,6)</f>
        <v>4.8799999999999999E-4</v>
      </c>
      <c r="Y53" s="864"/>
    </row>
    <row r="54" spans="1:25" ht="22.5" customHeight="1" x14ac:dyDescent="0.25">
      <c r="A54" s="51"/>
      <c r="B54" s="52"/>
      <c r="C54" s="52"/>
      <c r="D54" s="52"/>
      <c r="H54" s="53" t="s">
        <v>68</v>
      </c>
      <c r="I54" s="828">
        <f>IFERROR(ROUND(E53/I53,6),0)</f>
        <v>4.8799999999999999E-4</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T28</f>
        <v>101.48</v>
      </c>
      <c r="U55" s="178" t="s">
        <v>66</v>
      </c>
      <c r="V55" s="179"/>
      <c r="W55" s="180" t="s">
        <v>71</v>
      </c>
      <c r="X55" s="863">
        <f>I56</f>
        <v>221179.83999999997</v>
      </c>
      <c r="Y55" s="863"/>
    </row>
    <row r="56" spans="1:25" ht="16.5" customHeight="1" x14ac:dyDescent="0.25">
      <c r="A56" s="827" t="s">
        <v>70</v>
      </c>
      <c r="B56" s="827"/>
      <c r="C56" s="51"/>
      <c r="D56" s="51"/>
      <c r="E56" s="48">
        <f>G33</f>
        <v>500.80529999999999</v>
      </c>
      <c r="F56" s="49" t="s">
        <v>66</v>
      </c>
      <c r="G56" s="3"/>
      <c r="H56" s="50" t="s">
        <v>71</v>
      </c>
      <c r="I56" s="918">
        <f>Consolidated!H$74</f>
        <v>221179.83999999997</v>
      </c>
      <c r="J56" s="918"/>
      <c r="M56" s="2"/>
      <c r="R56" s="181"/>
      <c r="S56" s="164"/>
      <c r="T56" s="164"/>
      <c r="U56" s="164"/>
      <c r="V56" s="164"/>
      <c r="W56" s="183" t="s">
        <v>68</v>
      </c>
      <c r="X56" s="864">
        <f>ROUND(T55/X55,6)</f>
        <v>4.5899999999999999E-4</v>
      </c>
      <c r="Y56" s="864"/>
    </row>
    <row r="57" spans="1:25" ht="18.75" customHeight="1" x14ac:dyDescent="0.25">
      <c r="A57" s="51"/>
      <c r="H57" s="53" t="s">
        <v>68</v>
      </c>
      <c r="I57" s="828">
        <f>IFERROR(ROUND(E56/I56,6),0)</f>
        <v>2.264E-3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101.48</v>
      </c>
      <c r="U58" s="178" t="s">
        <v>66</v>
      </c>
      <c r="V58" s="862" t="s">
        <v>74</v>
      </c>
      <c r="W58" s="862"/>
      <c r="X58" s="863">
        <f>I59</f>
        <v>178931.75</v>
      </c>
      <c r="Y58" s="863"/>
    </row>
    <row r="59" spans="1:25" ht="18.75" customHeight="1" x14ac:dyDescent="0.25">
      <c r="A59" s="827" t="s">
        <v>73</v>
      </c>
      <c r="B59" s="827"/>
      <c r="C59" s="51"/>
      <c r="D59" s="51"/>
      <c r="E59" s="48">
        <f>E28</f>
        <v>101.48</v>
      </c>
      <c r="F59" s="49" t="s">
        <v>66</v>
      </c>
      <c r="G59" s="911" t="s">
        <v>74</v>
      </c>
      <c r="H59" s="911"/>
      <c r="I59" s="918">
        <f>Consolidated!H$77</f>
        <v>178931.75</v>
      </c>
      <c r="J59" s="918"/>
      <c r="M59" s="2"/>
      <c r="R59" s="181"/>
      <c r="S59" s="164"/>
      <c r="T59" s="164"/>
      <c r="U59" s="164"/>
      <c r="V59" s="164"/>
      <c r="W59" s="183" t="s">
        <v>68</v>
      </c>
      <c r="X59" s="864">
        <f>ROUND(T58/X58,6)</f>
        <v>5.6700000000000001E-4</v>
      </c>
      <c r="Y59" s="864"/>
    </row>
    <row r="60" spans="1:25" ht="18" customHeight="1" x14ac:dyDescent="0.25">
      <c r="A60" s="51"/>
      <c r="H60" s="53" t="s">
        <v>68</v>
      </c>
      <c r="I60" s="828">
        <f>IFERROR(ROUND(E59/I59,6),0)</f>
        <v>5.6700000000000001E-4</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101.48</v>
      </c>
      <c r="U61" s="178" t="s">
        <v>66</v>
      </c>
      <c r="V61" s="862" t="s">
        <v>76</v>
      </c>
      <c r="W61" s="862"/>
      <c r="X61" s="863">
        <f>I62</f>
        <v>207463.82</v>
      </c>
      <c r="Y61" s="863"/>
    </row>
    <row r="62" spans="1:25" ht="30.75" customHeight="1" x14ac:dyDescent="0.25">
      <c r="A62" s="827" t="s">
        <v>73</v>
      </c>
      <c r="B62" s="827"/>
      <c r="C62" s="51"/>
      <c r="D62" s="51"/>
      <c r="E62" s="48">
        <f>E28</f>
        <v>101.48</v>
      </c>
      <c r="F62" s="49" t="s">
        <v>66</v>
      </c>
      <c r="G62" s="911" t="s">
        <v>76</v>
      </c>
      <c r="H62" s="911"/>
      <c r="I62" s="918">
        <f>Consolidated!H$80</f>
        <v>207463.82</v>
      </c>
      <c r="J62" s="918"/>
      <c r="M62" s="2"/>
      <c r="R62" s="181"/>
      <c r="S62" s="164"/>
      <c r="T62" s="164"/>
      <c r="U62" s="164"/>
      <c r="V62" s="164"/>
      <c r="W62" s="183" t="s">
        <v>68</v>
      </c>
      <c r="X62" s="864">
        <f>ROUND(T61/X61,6)</f>
        <v>4.8899999999999996E-4</v>
      </c>
      <c r="Y62" s="864"/>
    </row>
    <row r="63" spans="1:25" ht="19.5" customHeight="1" x14ac:dyDescent="0.25">
      <c r="A63" s="51"/>
      <c r="H63" s="53" t="s">
        <v>68</v>
      </c>
      <c r="I63" s="828">
        <f>IFERROR(ROUND(E62/I62,6),0)</f>
        <v>4.8899999999999996E-4</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101.48</v>
      </c>
      <c r="U64" s="178" t="s">
        <v>66</v>
      </c>
      <c r="V64" s="862" t="s">
        <v>161</v>
      </c>
      <c r="W64" s="862"/>
      <c r="X64" s="863">
        <f>I65</f>
        <v>178612.82</v>
      </c>
      <c r="Y64" s="863"/>
    </row>
    <row r="65" spans="1:26" ht="49.5" customHeight="1" x14ac:dyDescent="0.25">
      <c r="A65" s="827" t="s">
        <v>73</v>
      </c>
      <c r="B65" s="827"/>
      <c r="C65" s="51"/>
      <c r="D65" s="51"/>
      <c r="E65" s="48">
        <f>E28</f>
        <v>101.48</v>
      </c>
      <c r="F65" s="49" t="s">
        <v>66</v>
      </c>
      <c r="G65" s="911" t="s">
        <v>78</v>
      </c>
      <c r="H65" s="911"/>
      <c r="I65" s="918">
        <f>Consolidated!H$83</f>
        <v>178612.82</v>
      </c>
      <c r="J65" s="918"/>
      <c r="M65" s="2"/>
      <c r="R65" s="184"/>
      <c r="S65" s="164"/>
      <c r="T65" s="164"/>
      <c r="U65" s="164"/>
      <c r="V65" s="164"/>
      <c r="W65" s="183" t="s">
        <v>68</v>
      </c>
      <c r="X65" s="864">
        <f>ROUND(T64/X64,6)</f>
        <v>5.6800000000000004E-4</v>
      </c>
      <c r="Y65" s="864"/>
    </row>
    <row r="66" spans="1:26" ht="19.5" customHeight="1" x14ac:dyDescent="0.25">
      <c r="A66" s="51"/>
      <c r="H66" s="53" t="s">
        <v>68</v>
      </c>
      <c r="I66" s="828">
        <f>IFERROR(ROUND(E65/I65,6),0)</f>
        <v>5.6800000000000004E-4</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4.8899999999999996E-4</v>
      </c>
      <c r="Y67" s="220">
        <f>ROUND(V67*X67,2)</f>
        <v>22312.87</v>
      </c>
    </row>
    <row r="68" spans="1:26" ht="30.75" customHeight="1" x14ac:dyDescent="0.25">
      <c r="A68" s="836" t="s">
        <v>79</v>
      </c>
      <c r="B68" s="836"/>
      <c r="C68" s="836"/>
      <c r="D68" s="836"/>
      <c r="E68" s="836"/>
      <c r="F68" s="36" t="s">
        <v>80</v>
      </c>
      <c r="G68" s="226">
        <f>Consolidated!F$86</f>
        <v>45629593</v>
      </c>
      <c r="H68" s="37" t="s">
        <v>81</v>
      </c>
      <c r="I68" s="41">
        <f>I63</f>
        <v>4.8899999999999996E-4</v>
      </c>
      <c r="J68" s="132">
        <f>ROUND(G68*I68,2)</f>
        <v>22312.87</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4.8799999999999999E-4</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4.8799999999999999E-4</v>
      </c>
      <c r="J70" s="132">
        <f>ROUND(G70*I70,2)</f>
        <v>0</v>
      </c>
      <c r="M70" s="2"/>
      <c r="R70" s="739" t="s">
        <v>163</v>
      </c>
      <c r="S70" s="739"/>
      <c r="T70" s="739"/>
      <c r="U70" s="163"/>
      <c r="V70" s="187">
        <f>G71</f>
        <v>18934058</v>
      </c>
      <c r="W70" s="167" t="s">
        <v>81</v>
      </c>
      <c r="X70" s="170">
        <f>X65</f>
        <v>5.6800000000000004E-4</v>
      </c>
      <c r="Y70" s="217">
        <f t="shared" si="11"/>
        <v>10754.54</v>
      </c>
    </row>
    <row r="71" spans="1:26" ht="19.5" customHeight="1" x14ac:dyDescent="0.25">
      <c r="A71" s="820" t="s">
        <v>85</v>
      </c>
      <c r="B71" s="820"/>
      <c r="C71" s="820"/>
      <c r="D71" s="820"/>
      <c r="E71" s="820"/>
      <c r="F71" s="36" t="s">
        <v>86</v>
      </c>
      <c r="G71" s="226">
        <f>Consolidated!F$91</f>
        <v>18934058</v>
      </c>
      <c r="H71" s="37" t="s">
        <v>81</v>
      </c>
      <c r="I71" s="41">
        <f>I66</f>
        <v>5.6800000000000004E-4</v>
      </c>
      <c r="J71" s="132">
        <f>ROUND(G71*I71,2)</f>
        <v>10754.54</v>
      </c>
      <c r="M71" s="2"/>
      <c r="R71" s="171" t="s">
        <v>164</v>
      </c>
      <c r="S71" s="171"/>
      <c r="T71" s="171"/>
      <c r="U71" s="163"/>
      <c r="V71" s="165">
        <f>G72</f>
        <v>11300012</v>
      </c>
      <c r="W71" s="167" t="s">
        <v>81</v>
      </c>
      <c r="X71" s="170">
        <f>X59</f>
        <v>5.6700000000000001E-4</v>
      </c>
      <c r="Y71" s="217">
        <f t="shared" si="11"/>
        <v>6407.11</v>
      </c>
    </row>
    <row r="72" spans="1:26" ht="19.5" customHeight="1" x14ac:dyDescent="0.25">
      <c r="A72" s="42" t="s">
        <v>87</v>
      </c>
      <c r="B72" s="42"/>
      <c r="C72" s="42"/>
      <c r="D72" s="42"/>
      <c r="E72" s="42"/>
      <c r="F72" s="36" t="s">
        <v>88</v>
      </c>
      <c r="G72" s="226">
        <f>Consolidated!F$93</f>
        <v>11300012</v>
      </c>
      <c r="H72" s="37" t="s">
        <v>81</v>
      </c>
      <c r="I72" s="41">
        <f>I60</f>
        <v>5.6700000000000001E-4</v>
      </c>
      <c r="J72" s="132">
        <f>ROUND(G72*I72,2)</f>
        <v>6407.11</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2.264E-3</v>
      </c>
      <c r="J85" s="132">
        <f>ROUND(G85*I85,2)</f>
        <v>608600.05000000005</v>
      </c>
      <c r="K85" s="70"/>
      <c r="L85" s="70"/>
      <c r="M85" s="71"/>
      <c r="N85" s="70"/>
      <c r="O85" s="70"/>
      <c r="P85" s="70"/>
      <c r="Q85" s="70"/>
      <c r="R85" s="739" t="s">
        <v>168</v>
      </c>
      <c r="S85" s="739"/>
      <c r="T85" s="739"/>
      <c r="U85" s="163"/>
      <c r="V85" s="165">
        <f>G85</f>
        <v>268816278</v>
      </c>
      <c r="W85" s="167" t="s">
        <v>81</v>
      </c>
      <c r="X85" s="170">
        <f>X56</f>
        <v>4.5899999999999999E-4</v>
      </c>
      <c r="Y85" s="217">
        <f t="shared" ref="Y85:Y87" si="12">ROUND(V85*X85,2)</f>
        <v>123386.67</v>
      </c>
    </row>
    <row r="86" spans="1:26" ht="14.25" customHeight="1" x14ac:dyDescent="0.25">
      <c r="A86" s="820" t="s">
        <v>104</v>
      </c>
      <c r="B86" s="820"/>
      <c r="C86" s="820"/>
      <c r="D86" s="820"/>
      <c r="E86" s="820"/>
      <c r="F86" s="36" t="s">
        <v>103</v>
      </c>
      <c r="G86" s="133">
        <v>0</v>
      </c>
      <c r="H86" s="37" t="s">
        <v>81</v>
      </c>
      <c r="I86" s="41">
        <f>I57</f>
        <v>2.264E-3</v>
      </c>
      <c r="J86" s="132">
        <f>ROUND(G86*I86,2)</f>
        <v>0</v>
      </c>
      <c r="K86" s="70"/>
      <c r="L86" s="71"/>
      <c r="M86" s="76"/>
      <c r="N86" s="76"/>
      <c r="O86" s="76"/>
      <c r="P86" s="76"/>
      <c r="Q86" s="70"/>
      <c r="R86" s="739" t="s">
        <v>169</v>
      </c>
      <c r="S86" s="739"/>
      <c r="T86" s="739"/>
      <c r="U86" s="163"/>
      <c r="V86" s="197">
        <f>G86</f>
        <v>0</v>
      </c>
      <c r="W86" s="167" t="s">
        <v>81</v>
      </c>
      <c r="X86" s="170">
        <f>X56</f>
        <v>4.5899999999999999E-4</v>
      </c>
      <c r="Y86" s="217">
        <f t="shared" si="12"/>
        <v>0</v>
      </c>
    </row>
    <row r="87" spans="1:26" ht="18" customHeight="1" x14ac:dyDescent="0.25">
      <c r="A87" s="820" t="s">
        <v>105</v>
      </c>
      <c r="B87" s="820"/>
      <c r="C87" s="820"/>
      <c r="D87" s="820"/>
      <c r="E87" s="820"/>
      <c r="F87" s="36" t="s">
        <v>84</v>
      </c>
      <c r="G87" s="133">
        <v>0</v>
      </c>
      <c r="H87" s="37" t="s">
        <v>81</v>
      </c>
      <c r="I87" s="41">
        <f>I54</f>
        <v>4.8799999999999999E-4</v>
      </c>
      <c r="J87" s="62">
        <f>ROUND(G87*I87,2)</f>
        <v>0</v>
      </c>
      <c r="K87" s="77"/>
      <c r="L87" s="70"/>
      <c r="M87" s="71"/>
      <c r="N87" s="70"/>
      <c r="O87" s="70"/>
      <c r="P87" s="70"/>
      <c r="Q87" s="70"/>
      <c r="R87" s="171" t="s">
        <v>170</v>
      </c>
      <c r="S87" s="171"/>
      <c r="T87" s="171"/>
      <c r="U87" s="163"/>
      <c r="V87" s="197">
        <f>G87</f>
        <v>0</v>
      </c>
      <c r="W87" s="167" t="s">
        <v>81</v>
      </c>
      <c r="X87" s="170">
        <f>X53</f>
        <v>4.8799999999999999E-4</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499.30529999999999</v>
      </c>
      <c r="C90" s="80"/>
      <c r="D90" s="894">
        <f>I6</f>
        <v>1.0355000000000001</v>
      </c>
      <c r="E90" s="894"/>
      <c r="F90" s="894"/>
      <c r="G90" s="117">
        <f>Consolidated!F$118</f>
        <v>958.42</v>
      </c>
      <c r="H90" s="47" t="s">
        <v>68</v>
      </c>
      <c r="I90" s="135">
        <f>ROUND(B90*D90*G90,2)</f>
        <v>495532.5</v>
      </c>
      <c r="J90" s="81"/>
      <c r="K90" s="70"/>
      <c r="L90" s="70"/>
      <c r="M90" s="71"/>
      <c r="N90" s="70"/>
      <c r="O90" s="70"/>
      <c r="P90" s="70"/>
      <c r="Q90" s="70"/>
      <c r="R90" s="160" t="s">
        <v>110</v>
      </c>
      <c r="S90" s="198">
        <f>X12+X13+X18+X21+X24</f>
        <v>99.97999999999999</v>
      </c>
      <c r="T90" s="849">
        <f>X6</f>
        <v>1.0355000000000001</v>
      </c>
      <c r="U90" s="849"/>
      <c r="V90" s="117">
        <f>G90</f>
        <v>958.42</v>
      </c>
      <c r="W90" s="176" t="s">
        <v>68</v>
      </c>
      <c r="X90" s="221">
        <f>ROUND(S90*T90*V90,2)</f>
        <v>99224.54</v>
      </c>
      <c r="Y90" s="199"/>
    </row>
    <row r="91" spans="1:26" ht="21" customHeight="1" x14ac:dyDescent="0.25">
      <c r="A91" s="82" t="s">
        <v>60</v>
      </c>
      <c r="B91" s="80">
        <f>I14+I15+I19+I22+I25</f>
        <v>1.5</v>
      </c>
      <c r="C91" s="80"/>
      <c r="D91" s="894">
        <f>I6</f>
        <v>1.0355000000000001</v>
      </c>
      <c r="E91" s="894"/>
      <c r="F91" s="894"/>
      <c r="G91" s="117">
        <f>Consolidated!F$119</f>
        <v>915.09</v>
      </c>
      <c r="H91" s="47" t="s">
        <v>68</v>
      </c>
      <c r="I91" s="134">
        <f>ROUND(B91*D91*G91,2)</f>
        <v>1421.36</v>
      </c>
      <c r="K91" s="70"/>
      <c r="L91" s="70"/>
      <c r="M91" s="71"/>
      <c r="N91" s="70"/>
      <c r="O91" s="70"/>
      <c r="P91" s="70"/>
      <c r="Q91" s="70"/>
      <c r="R91" s="200" t="s">
        <v>60</v>
      </c>
      <c r="S91" s="198">
        <f>X14+X15+X19+X22+X25</f>
        <v>1.5</v>
      </c>
      <c r="T91" s="849">
        <f>X6</f>
        <v>1.0355000000000001</v>
      </c>
      <c r="U91" s="849"/>
      <c r="V91" s="117">
        <f>G91</f>
        <v>915.09</v>
      </c>
      <c r="W91" s="176" t="s">
        <v>68</v>
      </c>
      <c r="X91" s="221">
        <f>ROUND(S91*T91*V91,2)</f>
        <v>1421.36</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500.80529999999999</v>
      </c>
      <c r="C93" s="80"/>
      <c r="D93" s="80"/>
      <c r="E93" s="846" t="s">
        <v>112</v>
      </c>
      <c r="F93" s="846"/>
      <c r="G93" s="846"/>
      <c r="H93" s="846"/>
      <c r="I93" s="846"/>
      <c r="J93" s="121">
        <f>IF(A1=75,0,I92+I91+I90)</f>
        <v>496953.86</v>
      </c>
      <c r="K93" s="70"/>
      <c r="L93" s="70"/>
      <c r="M93" s="71"/>
      <c r="N93" s="70"/>
      <c r="O93" s="70"/>
      <c r="P93" s="70"/>
      <c r="Q93" s="70"/>
      <c r="R93" s="203" t="s">
        <v>111</v>
      </c>
      <c r="S93" s="204">
        <f>SUM(S90:S92)</f>
        <v>101.47999999999999</v>
      </c>
      <c r="T93" s="853" t="s">
        <v>112</v>
      </c>
      <c r="U93" s="854"/>
      <c r="V93" s="854"/>
      <c r="W93" s="854"/>
      <c r="X93" s="854"/>
      <c r="Y93" s="217">
        <f>IF(R1=75,0,X92+X91+X90)</f>
        <v>100645.9</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5</v>
      </c>
      <c r="U96" s="851"/>
      <c r="V96" s="851"/>
      <c r="W96" s="205" t="s">
        <v>117</v>
      </c>
      <c r="X96" s="206">
        <f>I97</f>
        <v>586</v>
      </c>
      <c r="Y96" s="217">
        <f>ROUND(X96*T96,2)</f>
        <v>2930</v>
      </c>
    </row>
    <row r="97" spans="1:25" ht="17.25" customHeight="1" x14ac:dyDescent="0.25">
      <c r="A97" s="818" t="s">
        <v>116</v>
      </c>
      <c r="B97" s="818"/>
      <c r="C97" s="357">
        <v>5</v>
      </c>
      <c r="D97" s="357">
        <v>0</v>
      </c>
      <c r="E97" s="913">
        <f>(C97+D97)</f>
        <v>5</v>
      </c>
      <c r="F97" s="850"/>
      <c r="G97" s="850"/>
      <c r="H97" s="85" t="s">
        <v>117</v>
      </c>
      <c r="I97" s="124">
        <f>Consolidated!G$127</f>
        <v>586</v>
      </c>
      <c r="J97" s="132">
        <f>ROUND(I97*E97,2)</f>
        <v>2930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3982628.22</v>
      </c>
      <c r="L107" s="516"/>
      <c r="R107" s="739" t="s">
        <v>125</v>
      </c>
      <c r="S107" s="739"/>
      <c r="T107" s="739"/>
      <c r="U107" s="739"/>
      <c r="V107" s="739"/>
      <c r="W107" s="739"/>
      <c r="X107" s="739"/>
      <c r="Y107" s="652">
        <f>SUM(Y106,Y105,Y97,Y96,Y93,Y86,Y85,Y84,Y70,Y69,Y67,Y33,Y71,Y50,Y87,Y83)</f>
        <v>831003.54999999993</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3784405.5700000003</v>
      </c>
      <c r="R109" s="164" t="s">
        <v>176</v>
      </c>
      <c r="S109" s="164"/>
      <c r="T109" s="164"/>
      <c r="U109" s="164"/>
      <c r="V109" s="164"/>
      <c r="W109" s="164"/>
      <c r="X109" s="164"/>
      <c r="Y109" s="653">
        <f>Y107-Y38</f>
        <v>632780.89999999991</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v>1</v>
      </c>
      <c r="J111" s="131">
        <f>Y109</f>
        <v>632780.89999999991</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237"/>
      <c r="I114" s="238">
        <f>IF(I111=1,J111,J109)</f>
        <v>632780.89999999991</v>
      </c>
      <c r="J114" s="239">
        <f>ROUND(IF(E28=0,0,IF(E28&gt;250,-(((250/E28)*I114)*IF(H114="H",0.02,0.05)),IF(H114="H",-0.02*I114,-0.05*I114))),2)</f>
        <v>-31639.05</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3950989.1700000004</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Payments'!R118</f>
        <v>-3218934.3339999998</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732054.83600000059</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366027.42</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ROUND(IF(H114="H",(I114*0.02)+J114,(I114*0.05)+J114),2)</f>
        <v>-0.01</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3BD71-9CD4-4C3B-9E05-F48F4DB4F35C}">
  <dimension ref="A1:Z207"/>
  <sheetViews>
    <sheetView workbookViewId="0">
      <selection activeCell="A5" sqref="A5:J5"/>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474</v>
      </c>
      <c r="B2" s="101"/>
      <c r="C2" s="101"/>
      <c r="D2" s="101"/>
      <c r="E2" s="6"/>
      <c r="F2" s="6"/>
      <c r="G2" s="6"/>
      <c r="H2" s="6"/>
      <c r="I2" s="686" t="str">
        <f>RIGHT(A2,4)</f>
        <v>4102</v>
      </c>
      <c r="J2" s="6"/>
      <c r="K2" s="6"/>
      <c r="L2" s="6"/>
      <c r="M2" s="6"/>
      <c r="N2" s="6"/>
      <c r="O2" s="6"/>
      <c r="P2" s="6"/>
      <c r="Q2" s="6"/>
      <c r="R2" s="898" t="str">
        <f>Revenue_Estimate_Worksheet_for___________Charter_School</f>
        <v>Revenue Estimate Worksheet: BridgePrep Academy of PB - 4102</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69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44.6</v>
      </c>
      <c r="D12" s="719">
        <f>SUMIFS(CountData!J:J,CountData!H:H,$I$2,CountData!I:I,$O12)</f>
        <v>40.799999999999997</v>
      </c>
      <c r="E12" s="804">
        <f t="shared" ref="E12:E27" si="0">IF($D$28=0,C12*2,C12+D12)</f>
        <v>85.4</v>
      </c>
      <c r="F12" s="804"/>
      <c r="G12" s="805">
        <f>Consolidated!$F14</f>
        <v>1.1080000000000001</v>
      </c>
      <c r="H12" s="805">
        <f>Consolidated!$H$9</f>
        <v>1</v>
      </c>
      <c r="I12" s="517">
        <f>ROUND(E12*G12,4)</f>
        <v>94.623199999999997</v>
      </c>
      <c r="J12" s="518">
        <f t="shared" ref="J12:J27" si="1">ROUND(ROUND(ROUND(I12*$E$6,4)*($I$6),2)*(MAX($I$7,1)),2)</f>
        <v>526419.82999999996</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4</v>
      </c>
      <c r="D13" s="357">
        <f>SUMIFS(CountData!J:J,CountData!H:H,$I$2,CountData!I:I,$O13)</f>
        <v>5.54</v>
      </c>
      <c r="E13" s="812">
        <f t="shared" si="0"/>
        <v>9.5399999999999991</v>
      </c>
      <c r="F13" s="812"/>
      <c r="G13" s="813">
        <f>Consolidated!$F15</f>
        <v>1.1080000000000001</v>
      </c>
      <c r="H13" s="813">
        <f>Consolidated!$H$9</f>
        <v>1</v>
      </c>
      <c r="I13" s="517">
        <f t="shared" ref="I13:I27" si="3">ROUND(E13*G13,4)</f>
        <v>10.5703</v>
      </c>
      <c r="J13" s="518">
        <f t="shared" si="1"/>
        <v>58806.04</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24.93</v>
      </c>
      <c r="D14" s="357">
        <f>SUMIFS(CountData!J:J,CountData!H:H,$I$2,CountData!I:I,$O14)</f>
        <v>25.36</v>
      </c>
      <c r="E14" s="812">
        <f t="shared" si="0"/>
        <v>50.29</v>
      </c>
      <c r="F14" s="812"/>
      <c r="G14" s="813">
        <f>Consolidated!$F16</f>
        <v>1</v>
      </c>
      <c r="H14" s="813">
        <f>Consolidated!$H$9</f>
        <v>1</v>
      </c>
      <c r="I14" s="517">
        <f t="shared" si="3"/>
        <v>50.29</v>
      </c>
      <c r="J14" s="518">
        <f>ROUND(ROUND(ROUND(I14*$E$6,4)*($I$6),2)*(MAX($I$7,1)),2)</f>
        <v>279779.73</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5.4</v>
      </c>
      <c r="D15" s="357">
        <f>SUMIFS(CountData!J:J,CountData!H:H,$I$2,CountData!I:I,$O15)</f>
        <v>3.8</v>
      </c>
      <c r="E15" s="812">
        <f t="shared" si="0"/>
        <v>9.1999999999999993</v>
      </c>
      <c r="F15" s="812"/>
      <c r="G15" s="813">
        <f>Consolidated!$F17</f>
        <v>1</v>
      </c>
      <c r="H15" s="813">
        <f>Consolidated!$H$9</f>
        <v>1</v>
      </c>
      <c r="I15" s="517">
        <f t="shared" si="3"/>
        <v>9.1999999999999993</v>
      </c>
      <c r="J15" s="518">
        <f t="shared" si="1"/>
        <v>51182.61</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0</v>
      </c>
      <c r="D16" s="357">
        <f>SUMIFS(CountData!J:J,CountData!H:H,$I$2,CountData!I:I,$O16)</f>
        <v>0</v>
      </c>
      <c r="E16" s="812">
        <f t="shared" si="0"/>
        <v>0</v>
      </c>
      <c r="F16" s="812"/>
      <c r="G16" s="813">
        <f>Consolidated!$F18</f>
        <v>0.97199999999999998</v>
      </c>
      <c r="H16" s="813">
        <f>Consolidated!$H$9</f>
        <v>1</v>
      </c>
      <c r="I16" s="517">
        <f t="shared" si="3"/>
        <v>0</v>
      </c>
      <c r="J16" s="518">
        <f t="shared" si="1"/>
        <v>0</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0</v>
      </c>
      <c r="D17" s="357">
        <f>SUMIFS(CountData!J:J,CountData!H:H,$I$2,CountData!I:I,$O17)</f>
        <v>0</v>
      </c>
      <c r="E17" s="812">
        <f t="shared" si="0"/>
        <v>0</v>
      </c>
      <c r="F17" s="812"/>
      <c r="G17" s="813">
        <f>Consolidated!$F19</f>
        <v>0.97199999999999998</v>
      </c>
      <c r="H17" s="813">
        <f>Consolidated!$H$9</f>
        <v>1</v>
      </c>
      <c r="I17" s="517">
        <f t="shared" si="3"/>
        <v>0</v>
      </c>
      <c r="J17" s="518">
        <f t="shared" si="1"/>
        <v>0</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254</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255</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13.33</v>
      </c>
      <c r="D25" s="357">
        <f>SUMIFS(CountData!J:J,CountData!H:H,$I$2,CountData!I:I,$O25)</f>
        <v>11.68</v>
      </c>
      <c r="E25" s="812">
        <f t="shared" si="0"/>
        <v>25.009999999999998</v>
      </c>
      <c r="F25" s="812"/>
      <c r="G25" s="813">
        <f>Consolidated!$F27</f>
        <v>1.165</v>
      </c>
      <c r="H25" s="813">
        <f>Consolidated!$H$9</f>
        <v>1</v>
      </c>
      <c r="I25" s="517">
        <f t="shared" si="3"/>
        <v>29.136700000000001</v>
      </c>
      <c r="J25" s="518">
        <f t="shared" si="1"/>
        <v>162097</v>
      </c>
      <c r="M25" s="2"/>
      <c r="O25" s="2" t="str">
        <f>IF(O$8="M",LEFT(R$25,3),"")</f>
        <v>130</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0</v>
      </c>
      <c r="D26" s="357">
        <f>SUMIFS(CountData!J:J,CountData!H:H,$I$2,CountData!I:I,$O26)</f>
        <v>0</v>
      </c>
      <c r="E26" s="812">
        <f t="shared" si="0"/>
        <v>0</v>
      </c>
      <c r="F26" s="812"/>
      <c r="G26" s="813">
        <f>Consolidated!$F28</f>
        <v>1.165</v>
      </c>
      <c r="H26" s="813">
        <f>Consolidated!$H$9</f>
        <v>1</v>
      </c>
      <c r="I26" s="517">
        <f t="shared" si="3"/>
        <v>0</v>
      </c>
      <c r="J26" s="518">
        <f t="shared" si="1"/>
        <v>0</v>
      </c>
      <c r="M26" s="2"/>
      <c r="O26" s="2" t="str">
        <f>IF(O$9="H",LEFT(R$26,3),"")</f>
        <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0</v>
      </c>
      <c r="D27" s="358">
        <f>SUMIFS(CountData!J:J,CountData!H:H,$I$2,CountData!I:I,$O27)</f>
        <v>0</v>
      </c>
      <c r="E27" s="814">
        <f t="shared" si="0"/>
        <v>0</v>
      </c>
      <c r="F27" s="814"/>
      <c r="G27" s="815">
        <f>Consolidated!$F29</f>
        <v>1.081</v>
      </c>
      <c r="H27" s="815">
        <f>Consolidated!$H$9</f>
        <v>1</v>
      </c>
      <c r="I27" s="22">
        <f t="shared" si="3"/>
        <v>0</v>
      </c>
      <c r="J27" s="121">
        <f t="shared" si="1"/>
        <v>0</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92.26</v>
      </c>
      <c r="D28" s="720">
        <f>SUM(D12:D27)</f>
        <v>87.179999999999978</v>
      </c>
      <c r="E28" s="817">
        <f>SUM(E12:E27)</f>
        <v>179.43999999999997</v>
      </c>
      <c r="F28" s="817"/>
      <c r="G28" s="812"/>
      <c r="H28" s="812"/>
      <c r="I28" s="23">
        <f>SUM(I12:I27)</f>
        <v>193.82019999999997</v>
      </c>
      <c r="J28" s="121">
        <f>SUM(J12:J27)</f>
        <v>1078285.21</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193.82019999999997</v>
      </c>
      <c r="H33" s="812" t="s">
        <v>45</v>
      </c>
      <c r="I33" s="812"/>
      <c r="J33" s="32">
        <f>SUM(J32,J28)</f>
        <v>1078285.21</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395">
        <v>845581.24</v>
      </c>
      <c r="H36" s="37" t="s">
        <v>49</v>
      </c>
      <c r="I36" s="38">
        <v>6.6699999999999995E-2</v>
      </c>
      <c r="J36" s="125">
        <f>ROUND(G36*I36,2)</f>
        <v>56400.27</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395">
        <v>845581.24</v>
      </c>
      <c r="H37" s="37" t="s">
        <v>49</v>
      </c>
      <c r="I37" s="38">
        <v>5.4000000000000003E-3</v>
      </c>
      <c r="J37" s="125">
        <f>ROUND(G37*I37,2)</f>
        <v>4566.1400000000003</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60966.409999999996</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2.5</v>
      </c>
      <c r="D41" s="357">
        <v>0</v>
      </c>
      <c r="E41" s="826">
        <f t="shared" ref="E41:E49" si="8">IF($D$50=0,C41*2,C41+D41)</f>
        <v>5</v>
      </c>
      <c r="F41" s="826"/>
      <c r="G41" s="37" t="s">
        <v>59</v>
      </c>
      <c r="H41" s="37">
        <v>251</v>
      </c>
      <c r="I41" s="130">
        <f>Consolidated!$H59</f>
        <v>1047</v>
      </c>
      <c r="J41" s="46">
        <f t="shared" ref="J41:J49" si="9">ROUND(E41*I41,2)</f>
        <v>5235</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1.5</v>
      </c>
      <c r="D42" s="357">
        <v>0</v>
      </c>
      <c r="E42" s="826">
        <f t="shared" si="8"/>
        <v>3</v>
      </c>
      <c r="F42" s="826"/>
      <c r="G42" s="37" t="s">
        <v>59</v>
      </c>
      <c r="H42" s="37">
        <v>252</v>
      </c>
      <c r="I42" s="130">
        <f>Consolidated!$H60</f>
        <v>3380</v>
      </c>
      <c r="J42" s="46">
        <f t="shared" si="9"/>
        <v>10140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x14ac:dyDescent="0.25">
      <c r="A44" s="825"/>
      <c r="B44" s="825"/>
      <c r="C44" s="357">
        <v>3.65</v>
      </c>
      <c r="D44" s="357">
        <v>0</v>
      </c>
      <c r="E44" s="826">
        <f t="shared" si="8"/>
        <v>7.3</v>
      </c>
      <c r="F44" s="826"/>
      <c r="G44" s="47" t="s">
        <v>60</v>
      </c>
      <c r="H44" s="37">
        <v>251</v>
      </c>
      <c r="I44" s="130">
        <f>Consolidated!$H62</f>
        <v>1173</v>
      </c>
      <c r="J44" s="131">
        <f t="shared" si="9"/>
        <v>8562.9</v>
      </c>
      <c r="L44" s="3"/>
      <c r="M44" s="2"/>
      <c r="Q44" s="4"/>
      <c r="R44" s="885"/>
      <c r="S44" s="885"/>
      <c r="T44" s="867"/>
      <c r="U44" s="867"/>
      <c r="V44" s="176" t="s">
        <v>60</v>
      </c>
      <c r="W44" s="167">
        <v>251</v>
      </c>
      <c r="X44" s="128">
        <f>Consolidated!$H62</f>
        <v>1173</v>
      </c>
      <c r="Y44" s="218">
        <f t="shared" si="10"/>
        <v>0</v>
      </c>
    </row>
    <row r="45" spans="1:25" x14ac:dyDescent="0.25">
      <c r="A45" s="825"/>
      <c r="B45" s="825"/>
      <c r="C45" s="357">
        <v>1.66</v>
      </c>
      <c r="D45" s="357">
        <v>0</v>
      </c>
      <c r="E45" s="826">
        <f t="shared" si="8"/>
        <v>3.32</v>
      </c>
      <c r="F45" s="826"/>
      <c r="G45" s="47" t="s">
        <v>60</v>
      </c>
      <c r="H45" s="37">
        <v>252</v>
      </c>
      <c r="I45" s="130">
        <f>Consolidated!$H63</f>
        <v>3506</v>
      </c>
      <c r="J45" s="46">
        <f t="shared" si="9"/>
        <v>11639.92</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0</v>
      </c>
      <c r="D47" s="357">
        <v>0</v>
      </c>
      <c r="E47" s="826">
        <f t="shared" si="8"/>
        <v>0</v>
      </c>
      <c r="F47" s="826"/>
      <c r="G47" s="47" t="s">
        <v>61</v>
      </c>
      <c r="H47" s="37">
        <v>251</v>
      </c>
      <c r="I47" s="130">
        <f>Consolidated!$H65</f>
        <v>835</v>
      </c>
      <c r="J47" s="46">
        <f t="shared" si="9"/>
        <v>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9.31</v>
      </c>
      <c r="D50" s="524">
        <f>SUM(D41:D49)</f>
        <v>0</v>
      </c>
      <c r="E50" s="832">
        <f>SUM(E41:E49)</f>
        <v>18.62</v>
      </c>
      <c r="F50" s="832"/>
      <c r="G50" s="818" t="s">
        <v>63</v>
      </c>
      <c r="H50" s="818"/>
      <c r="I50" s="818"/>
      <c r="J50" s="225">
        <f>SUM(J41:J49)</f>
        <v>35577.82</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179.43999999999997</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8.6399999999999997E-4</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193.82019999999997</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8.7600000000000004E-4</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179.43999999999997</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1.003E-3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179.43999999999997</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8.6499999999999999E-4</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179.43999999999997</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1.005E-3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8.6499999999999999E-4</v>
      </c>
      <c r="J68" s="132">
        <f>ROUND(G68*I68,2)</f>
        <v>39469.599999999999</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8.6399999999999997E-4</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1.005E-3</v>
      </c>
      <c r="J71" s="132">
        <f>ROUND(G71*I71,2)</f>
        <v>19028.73</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1.003E-3</v>
      </c>
      <c r="J72" s="132">
        <f>ROUND(G72*I72,2)</f>
        <v>11333.91</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0</v>
      </c>
      <c r="J84" s="62">
        <f>ROUND(G84*I84,2)</f>
        <v>0</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8.7600000000000004E-4</v>
      </c>
      <c r="J85" s="132">
        <f>ROUND(G85*I85,2)</f>
        <v>235483.06</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8.7600000000000004E-4</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8.6399999999999997E-4</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105.1935</v>
      </c>
      <c r="C90" s="80"/>
      <c r="D90" s="894">
        <f>I6</f>
        <v>1.0355000000000001</v>
      </c>
      <c r="E90" s="894"/>
      <c r="F90" s="894"/>
      <c r="G90" s="117">
        <f>Consolidated!F$118</f>
        <v>958.42</v>
      </c>
      <c r="H90" s="47" t="s">
        <v>68</v>
      </c>
      <c r="I90" s="135">
        <f>ROUND(B90*D90*G90,2)</f>
        <v>104398.65</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88.6267</v>
      </c>
      <c r="C91" s="80"/>
      <c r="D91" s="894">
        <f>I6</f>
        <v>1.0355000000000001</v>
      </c>
      <c r="E91" s="894"/>
      <c r="F91" s="894"/>
      <c r="G91" s="117">
        <f>Consolidated!F$119</f>
        <v>915.09</v>
      </c>
      <c r="H91" s="47" t="s">
        <v>68</v>
      </c>
      <c r="I91" s="134">
        <f>ROUND(B91*D91*G91,2)</f>
        <v>83980.51</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0</v>
      </c>
      <c r="C92" s="80"/>
      <c r="D92" s="894">
        <f>I6</f>
        <v>1.0355000000000001</v>
      </c>
      <c r="E92" s="894"/>
      <c r="F92" s="894"/>
      <c r="G92" s="117">
        <f>Consolidated!F$120</f>
        <v>917.3</v>
      </c>
      <c r="H92" s="47" t="s">
        <v>68</v>
      </c>
      <c r="I92" s="515">
        <f>ROUND(B92*D92*G92,2)</f>
        <v>0</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193.8202</v>
      </c>
      <c r="C93" s="80"/>
      <c r="D93" s="80"/>
      <c r="E93" s="846" t="s">
        <v>112</v>
      </c>
      <c r="F93" s="846"/>
      <c r="G93" s="846"/>
      <c r="H93" s="846"/>
      <c r="I93" s="846"/>
      <c r="J93" s="121">
        <f>IF(A1=75,0,I92+I91+I90)</f>
        <v>188379.15999999997</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357">
        <v>0</v>
      </c>
      <c r="D97" s="357">
        <v>0</v>
      </c>
      <c r="E97" s="913">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1607557.4899999998</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1546591.0799999998</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v>0</v>
      </c>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H114" s="237"/>
      <c r="I114" s="238">
        <f>IF(I111=1,J111,J109)</f>
        <v>1546591.0799999998</v>
      </c>
      <c r="J114" s="239">
        <f>ROUND(IF(E28=0,0,IF(E28&gt;250,-(((250/E28)*I114)*IF(H114="H",0.02,0.05)),IF(H114="H",-0.02*I114,-0.05*I114))),2)</f>
        <v>-77329.55</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1530227.9399999997</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Payments'!R119</f>
        <v>-1276375.4100000001</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253852.52999999956</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126926.27</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ROUND(IF(H114="H",(I114*0.02)+J114,(I114*0.05)+J114),2)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92FD9-020C-4DC7-8DE3-10CC80BC2BB8}">
  <dimension ref="A1:Z207"/>
  <sheetViews>
    <sheetView topLeftCell="A65" workbookViewId="0">
      <selection activeCell="J78" sqref="J7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475</v>
      </c>
      <c r="B2" s="101"/>
      <c r="C2" s="101"/>
      <c r="D2" s="101"/>
      <c r="E2" s="6"/>
      <c r="F2" s="6"/>
      <c r="G2" s="6"/>
      <c r="H2" s="6"/>
      <c r="I2" s="686" t="str">
        <f>RIGHT(A2,4)</f>
        <v>4103</v>
      </c>
      <c r="J2" s="6"/>
      <c r="K2" s="6"/>
      <c r="L2" s="6"/>
      <c r="M2" s="6"/>
      <c r="N2" s="6"/>
      <c r="O2" s="6"/>
      <c r="P2" s="6"/>
      <c r="Q2" s="6"/>
      <c r="R2" s="898" t="str">
        <f>Revenue_Estimate_Worksheet_for___________Charter_School</f>
        <v>Revenue Estimate Worksheet: Sports Leadership &amp; Management (SLAM) MHS (Boca) - 4103</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148.63999999999999</v>
      </c>
      <c r="D14" s="357">
        <f>SUMIFS(CountData!J:J,CountData!H:H,$I$2,CountData!I:I,$O14)</f>
        <v>149.76</v>
      </c>
      <c r="E14" s="812">
        <f t="shared" si="0"/>
        <v>298.39999999999998</v>
      </c>
      <c r="F14" s="812"/>
      <c r="G14" s="813">
        <f>Consolidated!$F16</f>
        <v>1</v>
      </c>
      <c r="H14" s="813">
        <f>Consolidated!$H$9</f>
        <v>1</v>
      </c>
      <c r="I14" s="517">
        <f t="shared" si="3"/>
        <v>298.39999999999998</v>
      </c>
      <c r="J14" s="518">
        <f>ROUND(ROUND(ROUND(I14*$E$6,4)*($I$6),2)*(MAX($I$7,1)),2)</f>
        <v>1660096.87</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24.47</v>
      </c>
      <c r="D15" s="357">
        <f>SUMIFS(CountData!J:J,CountData!H:H,$I$2,CountData!I:I,$O15)</f>
        <v>25.52</v>
      </c>
      <c r="E15" s="812">
        <f t="shared" si="0"/>
        <v>49.989999999999995</v>
      </c>
      <c r="F15" s="812"/>
      <c r="G15" s="813">
        <f>Consolidated!$F17</f>
        <v>1</v>
      </c>
      <c r="H15" s="813">
        <f>Consolidated!$H$9</f>
        <v>1</v>
      </c>
      <c r="I15" s="517">
        <f t="shared" si="3"/>
        <v>49.99</v>
      </c>
      <c r="J15" s="518">
        <f t="shared" si="1"/>
        <v>278110.73</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180.2</v>
      </c>
      <c r="D16" s="357">
        <f>SUMIFS(CountData!J:J,CountData!H:H,$I$2,CountData!I:I,$O16)</f>
        <v>182.06</v>
      </c>
      <c r="E16" s="812">
        <f t="shared" si="0"/>
        <v>362.26</v>
      </c>
      <c r="F16" s="812"/>
      <c r="G16" s="813">
        <f>Consolidated!$F18</f>
        <v>0.97199999999999998</v>
      </c>
      <c r="H16" s="813">
        <f>Consolidated!$H$9</f>
        <v>1</v>
      </c>
      <c r="I16" s="517">
        <f t="shared" si="3"/>
        <v>352.11669999999998</v>
      </c>
      <c r="J16" s="518">
        <f t="shared" si="1"/>
        <v>1958940.45</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31.21</v>
      </c>
      <c r="D17" s="357">
        <f>SUMIFS(CountData!J:J,CountData!H:H,$I$2,CountData!I:I,$O17)</f>
        <v>31.16</v>
      </c>
      <c r="E17" s="812">
        <f t="shared" si="0"/>
        <v>62.370000000000005</v>
      </c>
      <c r="F17" s="812"/>
      <c r="G17" s="813">
        <f>Consolidated!$F19</f>
        <v>0.97199999999999998</v>
      </c>
      <c r="H17" s="813">
        <f>Consolidated!$H$9</f>
        <v>1</v>
      </c>
      <c r="I17" s="517">
        <f t="shared" si="3"/>
        <v>60.623600000000003</v>
      </c>
      <c r="J17" s="518">
        <f t="shared" si="1"/>
        <v>337268.93</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254</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255</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71.94</v>
      </c>
      <c r="D26" s="357">
        <f>SUMIFS(CountData!J:J,CountData!H:H,$I$2,CountData!I:I,$O26)</f>
        <v>68.17</v>
      </c>
      <c r="E26" s="812">
        <f t="shared" si="0"/>
        <v>140.11000000000001</v>
      </c>
      <c r="F26" s="812"/>
      <c r="G26" s="813">
        <f>Consolidated!$F28</f>
        <v>1.165</v>
      </c>
      <c r="H26" s="813">
        <f>Consolidated!$H$9</f>
        <v>1</v>
      </c>
      <c r="I26" s="517">
        <f t="shared" si="3"/>
        <v>163.22819999999999</v>
      </c>
      <c r="J26" s="518">
        <f t="shared" si="1"/>
        <v>908091.9</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21.64</v>
      </c>
      <c r="D27" s="358">
        <f>SUMIFS(CountData!J:J,CountData!H:H,$I$2,CountData!I:I,$O27)</f>
        <v>23.03</v>
      </c>
      <c r="E27" s="814">
        <f t="shared" si="0"/>
        <v>44.67</v>
      </c>
      <c r="F27" s="814"/>
      <c r="G27" s="815">
        <f>Consolidated!$F29</f>
        <v>1.081</v>
      </c>
      <c r="H27" s="815">
        <f>Consolidated!$H$9</f>
        <v>1</v>
      </c>
      <c r="I27" s="22">
        <f t="shared" si="3"/>
        <v>48.2883</v>
      </c>
      <c r="J27" s="121">
        <f t="shared" si="1"/>
        <v>268643.62</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478.09999999999991</v>
      </c>
      <c r="D28" s="720">
        <f>SUM(D12:D27)</f>
        <v>479.70000000000005</v>
      </c>
      <c r="E28" s="817">
        <f>SUM(E12:E27)</f>
        <v>957.8</v>
      </c>
      <c r="F28" s="817"/>
      <c r="G28" s="812"/>
      <c r="H28" s="812"/>
      <c r="I28" s="23">
        <f>SUM(I12:I27)</f>
        <v>972.64679999999998</v>
      </c>
      <c r="J28" s="121">
        <f>SUM(J12:J27)</f>
        <v>5411152.5</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972.64679999999998</v>
      </c>
      <c r="H33" s="812" t="s">
        <v>45</v>
      </c>
      <c r="I33" s="812"/>
      <c r="J33" s="32">
        <f>SUM(J32,J28)</f>
        <v>5411152.5</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395">
        <v>5509576.6600000001</v>
      </c>
      <c r="H36" s="37" t="s">
        <v>49</v>
      </c>
      <c r="I36" s="38">
        <v>6.6699999999999995E-2</v>
      </c>
      <c r="J36" s="125">
        <f>ROUND(G36*I36,2)</f>
        <v>367488.76</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395">
        <v>5509576.6600000001</v>
      </c>
      <c r="H37" s="37" t="s">
        <v>49</v>
      </c>
      <c r="I37" s="38">
        <v>5.4000000000000003E-3</v>
      </c>
      <c r="J37" s="125">
        <f>ROUND(G37*I37,2)</f>
        <v>29751.71</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397240.47000000003</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46">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46">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x14ac:dyDescent="0.25">
      <c r="A44" s="825"/>
      <c r="B44" s="825"/>
      <c r="C44" s="357">
        <v>17.03</v>
      </c>
      <c r="D44" s="357">
        <v>0</v>
      </c>
      <c r="E44" s="826">
        <f t="shared" si="8"/>
        <v>34.06</v>
      </c>
      <c r="F44" s="826"/>
      <c r="G44" s="47" t="s">
        <v>60</v>
      </c>
      <c r="H44" s="37">
        <v>251</v>
      </c>
      <c r="I44" s="130">
        <f>Consolidated!$H62</f>
        <v>1173</v>
      </c>
      <c r="J44" s="131">
        <f t="shared" si="9"/>
        <v>39952.379999999997</v>
      </c>
      <c r="L44" s="3"/>
      <c r="M44" s="2"/>
      <c r="Q44" s="4"/>
      <c r="R44" s="885"/>
      <c r="S44" s="885"/>
      <c r="T44" s="867"/>
      <c r="U44" s="867"/>
      <c r="V44" s="176" t="s">
        <v>60</v>
      </c>
      <c r="W44" s="167">
        <v>251</v>
      </c>
      <c r="X44" s="128">
        <f>Consolidated!$H62</f>
        <v>1173</v>
      </c>
      <c r="Y44" s="218">
        <f t="shared" si="10"/>
        <v>0</v>
      </c>
    </row>
    <row r="45" spans="1:25" x14ac:dyDescent="0.25">
      <c r="A45" s="825"/>
      <c r="B45" s="825"/>
      <c r="C45" s="357">
        <v>7.51</v>
      </c>
      <c r="D45" s="357">
        <v>0</v>
      </c>
      <c r="E45" s="826">
        <f t="shared" si="8"/>
        <v>15.02</v>
      </c>
      <c r="F45" s="826"/>
      <c r="G45" s="47" t="s">
        <v>60</v>
      </c>
      <c r="H45" s="37">
        <v>252</v>
      </c>
      <c r="I45" s="130">
        <f>Consolidated!$H63</f>
        <v>3506</v>
      </c>
      <c r="J45" s="46">
        <f t="shared" si="9"/>
        <v>52660.12</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22.37</v>
      </c>
      <c r="D47" s="357">
        <v>0</v>
      </c>
      <c r="E47" s="826">
        <f t="shared" si="8"/>
        <v>44.74</v>
      </c>
      <c r="F47" s="826"/>
      <c r="G47" s="47" t="s">
        <v>61</v>
      </c>
      <c r="H47" s="37">
        <v>251</v>
      </c>
      <c r="I47" s="130">
        <f>Consolidated!$H65</f>
        <v>835</v>
      </c>
      <c r="J47" s="46">
        <f t="shared" si="9"/>
        <v>37357.9</v>
      </c>
      <c r="M47" s="2"/>
      <c r="R47" s="885"/>
      <c r="S47" s="885"/>
      <c r="T47" s="867"/>
      <c r="U47" s="867"/>
      <c r="V47" s="176" t="s">
        <v>61</v>
      </c>
      <c r="W47" s="167">
        <v>251</v>
      </c>
      <c r="X47" s="128">
        <f>Consolidated!$H65</f>
        <v>835</v>
      </c>
      <c r="Y47" s="218">
        <f t="shared" si="10"/>
        <v>0</v>
      </c>
    </row>
    <row r="48" spans="1:25" ht="15.75" customHeight="1" x14ac:dyDescent="0.25">
      <c r="A48" s="825"/>
      <c r="B48" s="825"/>
      <c r="C48" s="357">
        <v>8.99</v>
      </c>
      <c r="D48" s="357">
        <v>0</v>
      </c>
      <c r="E48" s="826">
        <f t="shared" si="8"/>
        <v>17.98</v>
      </c>
      <c r="F48" s="826"/>
      <c r="G48" s="47" t="s">
        <v>61</v>
      </c>
      <c r="H48" s="37">
        <v>252</v>
      </c>
      <c r="I48" s="130">
        <f>Consolidated!$H66</f>
        <v>3168</v>
      </c>
      <c r="J48" s="46">
        <f t="shared" si="9"/>
        <v>56960.639999999999</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55.9</v>
      </c>
      <c r="D50" s="524">
        <f>SUM(D41:D49)</f>
        <v>0</v>
      </c>
      <c r="E50" s="832">
        <f>SUM(E41:E49)</f>
        <v>111.8</v>
      </c>
      <c r="F50" s="832"/>
      <c r="G50" s="818" t="s">
        <v>63</v>
      </c>
      <c r="H50" s="818"/>
      <c r="I50" s="818"/>
      <c r="J50" s="225">
        <f>SUM(J41:J49)</f>
        <v>186931.03999999998</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957.8</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4.6100000000000004E-3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972.64679999999998</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4.398E-3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957.8</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5.3530000000000001E-3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957.8</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4.6169999999999996E-3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957.8</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5.3619999999999996E-3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4.6169999999999996E-3</v>
      </c>
      <c r="J68" s="132">
        <f>ROUND(G68*I68,2)</f>
        <v>210671.83</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4.6100000000000004E-3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5.3619999999999996E-3</v>
      </c>
      <c r="J71" s="132">
        <f>ROUND(G71*I71,2)</f>
        <v>101524.42</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5.3530000000000001E-3</v>
      </c>
      <c r="J72" s="132">
        <f>ROUND(G72*I72,2)</f>
        <v>60488.959999999999</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v>17.440000000000001</v>
      </c>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v>15.52</v>
      </c>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v>28.9</v>
      </c>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v>1</v>
      </c>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v>10.4</v>
      </c>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73.260000000000005</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5.6779999999999999E-3</v>
      </c>
      <c r="J84" s="62">
        <f>ROUND(G84*I84,2)</f>
        <v>332178.84000000003</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4.398E-3</v>
      </c>
      <c r="J85" s="132">
        <f>ROUND(G85*I85,2)</f>
        <v>1182253.99</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4.398E-3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4.6100000000000004E-3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13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348.39</v>
      </c>
      <c r="C91" s="80"/>
      <c r="D91" s="894">
        <f>I6</f>
        <v>1.0355000000000001</v>
      </c>
      <c r="E91" s="894"/>
      <c r="F91" s="894"/>
      <c r="G91" s="117">
        <f>Consolidated!F$119</f>
        <v>915.09</v>
      </c>
      <c r="H91" s="47" t="s">
        <v>68</v>
      </c>
      <c r="I91" s="134">
        <f>ROUND(B91*D91*G91,2)</f>
        <v>330125.90000000002</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624.2568</v>
      </c>
      <c r="C92" s="80"/>
      <c r="D92" s="894">
        <f>I6</f>
        <v>1.0355000000000001</v>
      </c>
      <c r="E92" s="894"/>
      <c r="F92" s="894"/>
      <c r="G92" s="117">
        <f>Consolidated!F$120</f>
        <v>917.3</v>
      </c>
      <c r="H92" s="47" t="s">
        <v>68</v>
      </c>
      <c r="I92" s="515">
        <f>ROUND(B92*D92*G92,2)</f>
        <v>592959.15</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972.64679999999998</v>
      </c>
      <c r="C93" s="80"/>
      <c r="D93" s="80"/>
      <c r="E93" s="846" t="s">
        <v>112</v>
      </c>
      <c r="F93" s="846"/>
      <c r="G93" s="846"/>
      <c r="H93" s="846"/>
      <c r="I93" s="846"/>
      <c r="J93" s="121">
        <f>IF(A1=75,0,I92+I91+I90)</f>
        <v>923085.05</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357">
        <v>0</v>
      </c>
      <c r="D97" s="357">
        <v>0</v>
      </c>
      <c r="E97" s="913">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8408286.6300000008</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8011046.1600000011</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v>0</v>
      </c>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237"/>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I114" s="238">
        <f>IF(I111=1,J111,J109)</f>
        <v>8011046.1600000011</v>
      </c>
      <c r="J114" s="239">
        <f>ROUND(IF(E28=0,0,IF(E28&gt;250,-(((250/E28)*I114)*IF(H113="H",0.02,0.05)),IF(H113="H",-0.02*I114,-0.05*I114))),2)</f>
        <v>-104550.09</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8303736.540000001</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Payments'!R120</f>
        <v>-6946977.8999999994</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1356758.6400000015</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678379.32</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ROUND(IF(H113="H",(I114*0.02)+J114,(I114*0.05)+J114),2)</f>
        <v>296002.21999999997</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6FFD-A0D9-46D3-80B6-7B6479F21159}">
  <dimension ref="A1:Z207"/>
  <sheetViews>
    <sheetView workbookViewId="0">
      <selection activeCell="A5" sqref="A5:J5"/>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476</v>
      </c>
      <c r="B2" s="101"/>
      <c r="C2" s="101"/>
      <c r="D2" s="101"/>
      <c r="E2" s="6"/>
      <c r="F2" s="6"/>
      <c r="G2" s="6"/>
      <c r="H2" s="6"/>
      <c r="I2" s="686" t="str">
        <f>RIGHT(A2,4)</f>
        <v>4111</v>
      </c>
      <c r="J2" s="6"/>
      <c r="K2" s="6"/>
      <c r="L2" s="6"/>
      <c r="M2" s="6"/>
      <c r="N2" s="6"/>
      <c r="O2" s="6"/>
      <c r="P2" s="6"/>
      <c r="Q2" s="6"/>
      <c r="R2" s="898" t="str">
        <f>Revenue_Estimate_Worksheet_for___________Charter_School</f>
        <v>Revenue Estimate Worksheet: Sports Leadership &amp; Management (SLAM) Academy High School - 4111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0</v>
      </c>
      <c r="D14" s="357">
        <f>SUMIFS(CountData!J:J,CountData!H:H,$I$2,CountData!I:I,$O14)</f>
        <v>0</v>
      </c>
      <c r="E14" s="812">
        <f t="shared" si="0"/>
        <v>0</v>
      </c>
      <c r="F14" s="812"/>
      <c r="G14" s="813">
        <f>Consolidated!$F16</f>
        <v>1</v>
      </c>
      <c r="H14" s="813">
        <f>Consolidated!$H$9</f>
        <v>1</v>
      </c>
      <c r="I14" s="517">
        <f t="shared" si="3"/>
        <v>0</v>
      </c>
      <c r="J14" s="518">
        <f>ROUND(ROUND(ROUND(I14*$E$6,4)*($I$6),2)*(MAX($I$7,1)),2)</f>
        <v>0</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0</v>
      </c>
      <c r="D15" s="357">
        <f>SUMIFS(CountData!J:J,CountData!H:H,$I$2,CountData!I:I,$O15)</f>
        <v>0</v>
      </c>
      <c r="E15" s="812">
        <f t="shared" si="0"/>
        <v>0</v>
      </c>
      <c r="F15" s="812"/>
      <c r="G15" s="813">
        <f>Consolidated!$F17</f>
        <v>1</v>
      </c>
      <c r="H15" s="813">
        <f>Consolidated!$H$9</f>
        <v>1</v>
      </c>
      <c r="I15" s="517">
        <f t="shared" si="3"/>
        <v>0</v>
      </c>
      <c r="J15" s="518">
        <f t="shared" si="1"/>
        <v>0</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109.82</v>
      </c>
      <c r="D16" s="357">
        <f>SUMIFS(CountData!J:J,CountData!H:H,$I$2,CountData!I:I,$O16)</f>
        <v>114.36</v>
      </c>
      <c r="E16" s="812">
        <f t="shared" si="0"/>
        <v>224.18</v>
      </c>
      <c r="F16" s="812"/>
      <c r="G16" s="813">
        <f>Consolidated!$F18</f>
        <v>0.97199999999999998</v>
      </c>
      <c r="H16" s="813">
        <f>Consolidated!$H$9</f>
        <v>1</v>
      </c>
      <c r="I16" s="517">
        <f t="shared" si="3"/>
        <v>217.90299999999999</v>
      </c>
      <c r="J16" s="518">
        <f t="shared" si="1"/>
        <v>1212265.71</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18.440000000000001</v>
      </c>
      <c r="D17" s="357">
        <f>SUMIFS(CountData!J:J,CountData!H:H,$I$2,CountData!I:I,$O17)</f>
        <v>18.57</v>
      </c>
      <c r="E17" s="812">
        <f t="shared" si="0"/>
        <v>37.010000000000005</v>
      </c>
      <c r="F17" s="812"/>
      <c r="G17" s="813">
        <f>Consolidated!$F19</f>
        <v>0.97199999999999998</v>
      </c>
      <c r="H17" s="813">
        <f>Consolidated!$H$9</f>
        <v>1</v>
      </c>
      <c r="I17" s="517">
        <f t="shared" si="3"/>
        <v>35.973700000000001</v>
      </c>
      <c r="J17" s="518">
        <f t="shared" si="1"/>
        <v>200133.47</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254</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255</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19.34</v>
      </c>
      <c r="D26" s="357">
        <f>SUMIFS(CountData!J:J,CountData!H:H,$I$2,CountData!I:I,$O26)</f>
        <v>20.05</v>
      </c>
      <c r="E26" s="812">
        <f t="shared" si="0"/>
        <v>39.39</v>
      </c>
      <c r="F26" s="812"/>
      <c r="G26" s="813">
        <f>Consolidated!$F28</f>
        <v>1.165</v>
      </c>
      <c r="H26" s="813">
        <f>Consolidated!$H$9</f>
        <v>1</v>
      </c>
      <c r="I26" s="517">
        <f t="shared" si="3"/>
        <v>45.889400000000002</v>
      </c>
      <c r="J26" s="518">
        <f t="shared" si="1"/>
        <v>255297.75</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12.13</v>
      </c>
      <c r="D27" s="358">
        <f>SUMIFS(CountData!J:J,CountData!H:H,$I$2,CountData!I:I,$O27)</f>
        <v>12.43</v>
      </c>
      <c r="E27" s="814">
        <f t="shared" si="0"/>
        <v>24.560000000000002</v>
      </c>
      <c r="F27" s="814"/>
      <c r="G27" s="815">
        <f>Consolidated!$F29</f>
        <v>1.081</v>
      </c>
      <c r="H27" s="815">
        <f>Consolidated!$H$9</f>
        <v>1</v>
      </c>
      <c r="I27" s="22">
        <f t="shared" si="3"/>
        <v>26.549399999999999</v>
      </c>
      <c r="J27" s="121">
        <f t="shared" si="1"/>
        <v>147703</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159.72999999999999</v>
      </c>
      <c r="D28" s="720">
        <f>SUM(D12:D27)</f>
        <v>165.41000000000003</v>
      </c>
      <c r="E28" s="817">
        <f>SUM(E12:E27)</f>
        <v>325.14</v>
      </c>
      <c r="F28" s="817"/>
      <c r="G28" s="812"/>
      <c r="H28" s="812"/>
      <c r="I28" s="23">
        <f>SUM(I12:I27)</f>
        <v>326.31549999999999</v>
      </c>
      <c r="J28" s="121">
        <f>SUM(J12:J27)</f>
        <v>1815399.93</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326.31549999999999</v>
      </c>
      <c r="H33" s="812" t="s">
        <v>45</v>
      </c>
      <c r="I33" s="812"/>
      <c r="J33" s="32">
        <f>SUM(J32,J28)</f>
        <v>1815399.93</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395">
        <v>1721880.3900000001</v>
      </c>
      <c r="H36" s="37" t="s">
        <v>49</v>
      </c>
      <c r="I36" s="38">
        <v>6.6699999999999995E-2</v>
      </c>
      <c r="J36" s="125">
        <f>ROUND(G36*I36,2)</f>
        <v>114849.42</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395">
        <v>1721880.3900000001</v>
      </c>
      <c r="H37" s="37" t="s">
        <v>49</v>
      </c>
      <c r="I37" s="38">
        <v>5.4000000000000003E-3</v>
      </c>
      <c r="J37" s="125">
        <f>ROUND(G37*I37,2)</f>
        <v>9298.15</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124147.56999999999</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46">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46">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x14ac:dyDescent="0.25">
      <c r="A44" s="825"/>
      <c r="B44" s="825"/>
      <c r="C44" s="357">
        <v>0</v>
      </c>
      <c r="D44" s="357">
        <v>0</v>
      </c>
      <c r="E44" s="826">
        <f t="shared" si="8"/>
        <v>0</v>
      </c>
      <c r="F44" s="826"/>
      <c r="G44" s="47" t="s">
        <v>60</v>
      </c>
      <c r="H44" s="37">
        <v>251</v>
      </c>
      <c r="I44" s="130">
        <f>Consolidated!$H62</f>
        <v>1173</v>
      </c>
      <c r="J44" s="131">
        <f t="shared" si="9"/>
        <v>0</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46">
        <f t="shared" si="9"/>
        <v>0</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18.5</v>
      </c>
      <c r="D47" s="357">
        <v>0</v>
      </c>
      <c r="E47" s="826">
        <f t="shared" si="8"/>
        <v>37</v>
      </c>
      <c r="F47" s="826"/>
      <c r="G47" s="47" t="s">
        <v>61</v>
      </c>
      <c r="H47" s="37">
        <v>251</v>
      </c>
      <c r="I47" s="130">
        <f>Consolidated!$H65</f>
        <v>835</v>
      </c>
      <c r="J47" s="46">
        <f t="shared" si="9"/>
        <v>30895</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18.5</v>
      </c>
      <c r="D50" s="524">
        <f>SUM(D41:D49)</f>
        <v>0</v>
      </c>
      <c r="E50" s="832">
        <f>SUM(E41:E49)</f>
        <v>37</v>
      </c>
      <c r="F50" s="832"/>
      <c r="G50" s="818" t="s">
        <v>63</v>
      </c>
      <c r="H50" s="818"/>
      <c r="I50" s="818"/>
      <c r="J50" s="225">
        <f>SUM(J41:J49)</f>
        <v>30895</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325.14</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1.565E-3</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326.31549999999999</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1.475E-3</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325.14</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1.817E-3</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325.14</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1.567E-3</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325.14</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1.82E-3</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1.567E-3</v>
      </c>
      <c r="J68" s="132">
        <f>ROUND(G68*I68,2)</f>
        <v>71501.570000000007</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1.565E-3</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1.82E-3</v>
      </c>
      <c r="J71" s="132">
        <f>ROUND(G71*I71,2)</f>
        <v>34459.99</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1.817E-3</v>
      </c>
      <c r="J72" s="132">
        <f>ROUND(G72*I72,2)</f>
        <v>20532.12</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v>2.88</v>
      </c>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v>0.5</v>
      </c>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v>1.36</v>
      </c>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4.74</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3.6699999999999998E-4</v>
      </c>
      <c r="J84" s="62">
        <f>ROUND(G84*I84,2)</f>
        <v>21470.52</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1.475E-3</v>
      </c>
      <c r="J85" s="132">
        <f>ROUND(G85*I85,2)</f>
        <v>396504.01</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1.475E-3</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1.565E-3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13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0</v>
      </c>
      <c r="C91" s="80"/>
      <c r="D91" s="894">
        <f>I6</f>
        <v>1.0355000000000001</v>
      </c>
      <c r="E91" s="894"/>
      <c r="F91" s="894"/>
      <c r="G91" s="117">
        <f>Consolidated!F$119</f>
        <v>915.09</v>
      </c>
      <c r="H91" s="47" t="s">
        <v>68</v>
      </c>
      <c r="I91" s="134">
        <f>ROUND(B91*D91*G91,2)</f>
        <v>0</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326.31549999999999</v>
      </c>
      <c r="C92" s="80"/>
      <c r="D92" s="894">
        <f>I6</f>
        <v>1.0355000000000001</v>
      </c>
      <c r="E92" s="894"/>
      <c r="F92" s="894"/>
      <c r="G92" s="117">
        <f>Consolidated!F$120</f>
        <v>917.3</v>
      </c>
      <c r="H92" s="47" t="s">
        <v>68</v>
      </c>
      <c r="I92" s="515">
        <f>ROUND(B92*D92*G92,2)</f>
        <v>309955.40000000002</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326.31549999999999</v>
      </c>
      <c r="C93" s="80"/>
      <c r="D93" s="80"/>
      <c r="E93" s="846" t="s">
        <v>112</v>
      </c>
      <c r="F93" s="846"/>
      <c r="G93" s="846"/>
      <c r="H93" s="846"/>
      <c r="I93" s="846"/>
      <c r="J93" s="121">
        <f>IF(A1=75,0,I92+I91+I90)</f>
        <v>309955.40000000002</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357">
        <v>0</v>
      </c>
      <c r="D97" s="357">
        <v>0</v>
      </c>
      <c r="E97" s="913">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2700718.54</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2576570.9700000002</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237"/>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I114" s="238">
        <f>IF(I111=1,J111,J109)</f>
        <v>2576570.9700000002</v>
      </c>
      <c r="J114" s="239">
        <f>ROUND(IF(E28=0,0,IF(E28&gt;250,-(((250/E28)*I114)*IF(H113="H",0.02,0.05)),IF(H113="H",-0.02*I114,-0.05*I114))),2)</f>
        <v>-99056.21</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2601662.33</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Payments'!R121</f>
        <v>-2131589.06</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470073.27</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235036.64</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ROUND(IF(H113="H",(I114*0.02)+J114,(I114*0.05)+J114),2)</f>
        <v>29772.34</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29111-E801-4F91-9AE4-B755BFDD8FCA}">
  <dimension ref="A1:Z207"/>
  <sheetViews>
    <sheetView workbookViewId="0">
      <selection activeCell="H4" sqref="H4"/>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796" t="s">
        <v>0</v>
      </c>
      <c r="C1" s="797"/>
      <c r="D1" s="797"/>
      <c r="E1" s="797"/>
      <c r="F1" s="797"/>
      <c r="G1" s="797"/>
      <c r="H1" s="797"/>
      <c r="I1" s="797"/>
      <c r="J1" s="797"/>
      <c r="L1" s="3"/>
      <c r="M1" s="2"/>
      <c r="Q1" s="4"/>
      <c r="R1" s="136">
        <v>50</v>
      </c>
      <c r="S1" s="896" t="s">
        <v>0</v>
      </c>
      <c r="T1" s="897"/>
      <c r="U1" s="897"/>
      <c r="V1" s="897"/>
      <c r="W1" s="897"/>
      <c r="X1" s="897"/>
      <c r="Y1" s="897"/>
    </row>
    <row r="2" spans="1:25" ht="21.75" customHeight="1" x14ac:dyDescent="0.3">
      <c r="A2" s="712" t="s">
        <v>477</v>
      </c>
      <c r="B2" s="101"/>
      <c r="C2" s="101"/>
      <c r="D2" s="101"/>
      <c r="E2" s="6"/>
      <c r="F2" s="6"/>
      <c r="G2" s="6"/>
      <c r="H2" s="6"/>
      <c r="I2" s="686" t="str">
        <f>RIGHT(A2,4)</f>
        <v>4131</v>
      </c>
      <c r="J2" s="6"/>
      <c r="K2" s="6"/>
      <c r="L2" s="6"/>
      <c r="M2" s="6"/>
      <c r="N2" s="6"/>
      <c r="O2" s="6"/>
      <c r="P2" s="6"/>
      <c r="Q2" s="6"/>
      <c r="R2" s="898" t="str">
        <f>Revenue_Estimate_Worksheet_for___________Charter_School</f>
        <v>Revenue Estimate Worksheet: Somerset Academy Wellington HS - 4131</v>
      </c>
      <c r="S2" s="898"/>
      <c r="T2" s="898"/>
      <c r="U2" s="898"/>
      <c r="V2" s="898"/>
      <c r="W2" s="898"/>
      <c r="X2" s="898"/>
      <c r="Y2" s="898"/>
    </row>
    <row r="3" spans="1:25" ht="18.75" x14ac:dyDescent="0.3">
      <c r="A3" s="793" t="s">
        <v>569</v>
      </c>
      <c r="B3" s="793"/>
      <c r="C3" s="793"/>
      <c r="D3" s="793"/>
      <c r="E3" s="793"/>
      <c r="F3" s="793"/>
      <c r="G3" s="793"/>
      <c r="H3" s="793"/>
      <c r="I3" s="793"/>
      <c r="J3" s="793"/>
      <c r="K3" s="7"/>
      <c r="L3" s="7"/>
      <c r="M3" s="7"/>
      <c r="N3" s="7"/>
      <c r="O3" s="7"/>
      <c r="P3" s="7"/>
      <c r="Q3" s="7"/>
      <c r="R3" s="834" t="s">
        <v>1</v>
      </c>
      <c r="S3" s="834"/>
      <c r="T3" s="834"/>
      <c r="U3" s="834"/>
      <c r="V3" s="834"/>
      <c r="W3" s="834"/>
      <c r="X3" s="834"/>
      <c r="Y3" s="834"/>
    </row>
    <row r="4" spans="1:25" ht="18.75" customHeight="1" x14ac:dyDescent="0.25">
      <c r="A4" s="798" t="s">
        <v>2</v>
      </c>
      <c r="B4" s="798"/>
      <c r="C4" s="85"/>
      <c r="D4" s="216" t="s">
        <v>179</v>
      </c>
      <c r="E4" s="216"/>
      <c r="H4" s="230">
        <f>Consolidated!H4</f>
        <v>46143</v>
      </c>
      <c r="I4" s="231"/>
      <c r="J4" s="8"/>
      <c r="K4" s="4"/>
      <c r="L4" s="4"/>
      <c r="M4" s="4"/>
      <c r="N4" s="4"/>
      <c r="O4" s="4"/>
      <c r="P4" s="4"/>
      <c r="Q4" s="4"/>
      <c r="R4" s="899" t="s">
        <v>2</v>
      </c>
      <c r="S4" s="899"/>
      <c r="T4" s="900" t="s">
        <v>179</v>
      </c>
      <c r="U4" s="900"/>
      <c r="V4" s="137"/>
      <c r="W4" s="137"/>
      <c r="X4" s="137"/>
      <c r="Y4" s="137"/>
    </row>
    <row r="5" spans="1:25" ht="21" customHeight="1" x14ac:dyDescent="0.25">
      <c r="A5" s="799" t="s">
        <v>3</v>
      </c>
      <c r="B5" s="799"/>
      <c r="C5" s="799"/>
      <c r="D5" s="799"/>
      <c r="E5" s="799"/>
      <c r="F5" s="799"/>
      <c r="G5" s="799"/>
      <c r="H5" s="799"/>
      <c r="I5" s="799"/>
      <c r="J5" s="799"/>
      <c r="K5" s="4"/>
      <c r="L5" s="4"/>
      <c r="M5" s="4"/>
      <c r="N5" s="4"/>
      <c r="O5" s="4"/>
      <c r="P5" s="4"/>
      <c r="Q5" s="4"/>
      <c r="R5" s="901" t="s">
        <v>3</v>
      </c>
      <c r="S5" s="901"/>
      <c r="T5" s="901"/>
      <c r="U5" s="901"/>
      <c r="V5" s="901"/>
      <c r="W5" s="901"/>
      <c r="X5" s="901"/>
      <c r="Y5" s="901"/>
    </row>
    <row r="6" spans="1:25" ht="18" customHeight="1" x14ac:dyDescent="0.25">
      <c r="A6" s="806" t="s">
        <v>4</v>
      </c>
      <c r="B6" s="806"/>
      <c r="C6" s="9"/>
      <c r="D6" s="9"/>
      <c r="E6" s="807">
        <f>Consolidated!$C$8</f>
        <v>5372.6</v>
      </c>
      <c r="F6" s="807"/>
      <c r="G6" s="808" t="s">
        <v>5</v>
      </c>
      <c r="H6" s="808"/>
      <c r="I6" s="232">
        <f>Consolidated!$H$8</f>
        <v>1.0355000000000001</v>
      </c>
      <c r="J6" s="102"/>
      <c r="L6" s="56"/>
      <c r="M6" s="2"/>
      <c r="R6" s="902" t="s">
        <v>4</v>
      </c>
      <c r="S6" s="902"/>
      <c r="T6" s="903">
        <f>E6</f>
        <v>5372.6</v>
      </c>
      <c r="U6" s="903"/>
      <c r="V6" s="904" t="s">
        <v>5</v>
      </c>
      <c r="W6" s="904"/>
      <c r="X6" s="905">
        <v>1.0355000000000001</v>
      </c>
      <c r="Y6" s="905"/>
    </row>
    <row r="7" spans="1:25" ht="18" customHeight="1" x14ac:dyDescent="0.2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2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25">
      <c r="A9" s="9"/>
      <c r="B9" s="9"/>
      <c r="C9" s="107" t="str">
        <f>Consolidated!C$11</f>
        <v>Oct 2025</v>
      </c>
      <c r="D9" s="108" t="str">
        <f>Consolidated!D$11</f>
        <v>Feb 2026</v>
      </c>
      <c r="E9" s="13"/>
      <c r="F9" s="13"/>
      <c r="G9" s="809" t="s">
        <v>8</v>
      </c>
      <c r="H9" s="809"/>
      <c r="I9" s="15" t="s">
        <v>9</v>
      </c>
      <c r="J9" s="16" t="s">
        <v>10</v>
      </c>
      <c r="M9" s="2"/>
      <c r="O9" s="2" t="str">
        <f>IF(AND(C17&gt;C15, C17&gt;C13), "H", "-")</f>
        <v>H</v>
      </c>
      <c r="R9" s="138"/>
      <c r="S9" s="138"/>
      <c r="T9" s="142"/>
      <c r="U9" s="142"/>
      <c r="V9" s="906" t="s">
        <v>8</v>
      </c>
      <c r="W9" s="906"/>
      <c r="X9" s="144" t="s">
        <v>9</v>
      </c>
      <c r="Y9" s="145" t="s">
        <v>10</v>
      </c>
    </row>
    <row r="10" spans="1:25" ht="15.75" customHeight="1" x14ac:dyDescent="0.25">
      <c r="A10" s="752" t="s">
        <v>8</v>
      </c>
      <c r="B10" s="752"/>
      <c r="C10" s="109" t="s">
        <v>54</v>
      </c>
      <c r="D10" s="109" t="s">
        <v>54</v>
      </c>
      <c r="E10" s="810" t="s">
        <v>156</v>
      </c>
      <c r="F10" s="810"/>
      <c r="G10" s="811" t="s">
        <v>12</v>
      </c>
      <c r="H10" s="811"/>
      <c r="I10" s="17" t="s">
        <v>13</v>
      </c>
      <c r="J10" s="18" t="s">
        <v>14</v>
      </c>
      <c r="M10" s="2"/>
      <c r="R10" s="749" t="s">
        <v>8</v>
      </c>
      <c r="S10" s="749"/>
      <c r="T10" s="907" t="s">
        <v>11</v>
      </c>
      <c r="U10" s="907"/>
      <c r="V10" s="908" t="s">
        <v>12</v>
      </c>
      <c r="W10" s="908"/>
      <c r="X10" s="146" t="s">
        <v>13</v>
      </c>
      <c r="Y10" s="147" t="s">
        <v>14</v>
      </c>
    </row>
    <row r="11" spans="1:25" ht="14.25" customHeight="1" x14ac:dyDescent="0.25">
      <c r="A11" s="800" t="s">
        <v>15</v>
      </c>
      <c r="B11" s="800"/>
      <c r="C11" s="110"/>
      <c r="D11" s="110"/>
      <c r="E11" s="801" t="s">
        <v>16</v>
      </c>
      <c r="F11" s="801"/>
      <c r="G11" s="802" t="s">
        <v>17</v>
      </c>
      <c r="H11" s="802"/>
      <c r="I11" s="19" t="s">
        <v>18</v>
      </c>
      <c r="J11" s="20" t="s">
        <v>19</v>
      </c>
      <c r="L11" s="21"/>
      <c r="M11" s="2"/>
      <c r="R11" s="909" t="s">
        <v>15</v>
      </c>
      <c r="S11" s="909"/>
      <c r="T11" s="910" t="s">
        <v>16</v>
      </c>
      <c r="U11" s="910"/>
      <c r="V11" s="890" t="s">
        <v>17</v>
      </c>
      <c r="W11" s="890"/>
      <c r="X11" s="148" t="s">
        <v>18</v>
      </c>
      <c r="Y11" s="149" t="s">
        <v>19</v>
      </c>
    </row>
    <row r="12" spans="1:25" x14ac:dyDescent="0.25">
      <c r="A12" s="803" t="s">
        <v>20</v>
      </c>
      <c r="B12" s="803"/>
      <c r="C12" s="718">
        <f>SUMIFS(CountData!D:D,CountData!B:B,$I$2,CountData!C:C,$O12)</f>
        <v>0</v>
      </c>
      <c r="D12" s="719">
        <f>SUMIFS(CountData!J:J,CountData!H:H,$I$2,CountData!I:I,$O12)</f>
        <v>0</v>
      </c>
      <c r="E12" s="804">
        <f t="shared" ref="E12:E27" si="0">IF($D$28=0,C12*2,C12+D12)</f>
        <v>0</v>
      </c>
      <c r="F12" s="804"/>
      <c r="G12" s="805">
        <f>Consolidated!$F14</f>
        <v>1.1080000000000001</v>
      </c>
      <c r="H12" s="805">
        <f>Consolidated!$H$9</f>
        <v>1</v>
      </c>
      <c r="I12" s="517">
        <f>ROUND(E12*G12,4)</f>
        <v>0</v>
      </c>
      <c r="J12" s="518">
        <f t="shared" ref="J12:J27" si="1">ROUND(ROUND(ROUND(I12*$E$6,4)*($I$6),2)*(MAX($I$7,1)),2)</f>
        <v>0</v>
      </c>
      <c r="L12" s="21"/>
      <c r="M12" s="2"/>
      <c r="O12" s="2" t="str">
        <f t="shared" ref="O12:O17" si="2">LEFT(R12,3)</f>
        <v>101</v>
      </c>
      <c r="R12" s="891" t="s">
        <v>20</v>
      </c>
      <c r="S12" s="891"/>
      <c r="T12" s="876">
        <f>IF($I$111=1,E12,0)</f>
        <v>0</v>
      </c>
      <c r="U12" s="876"/>
      <c r="V12" s="892">
        <v>1</v>
      </c>
      <c r="W12" s="892"/>
      <c r="X12" s="150">
        <f>ROUND(T12*V12,4)</f>
        <v>0</v>
      </c>
      <c r="Y12" s="217">
        <f>ROUND(ROUND(ROUND(X12*$E$6,4)*($I$6),2)*(MAX($I$7,1)),2)</f>
        <v>0</v>
      </c>
    </row>
    <row r="13" spans="1:25" x14ac:dyDescent="0.25">
      <c r="A13" s="738" t="s">
        <v>21</v>
      </c>
      <c r="B13" s="738"/>
      <c r="C13" s="357">
        <f>SUMIFS(CountData!D:D,CountData!B:B,$I$2,CountData!C:C,$O13)</f>
        <v>0</v>
      </c>
      <c r="D13" s="357">
        <f>SUMIFS(CountData!J:J,CountData!H:H,$I$2,CountData!I:I,$O13)</f>
        <v>0</v>
      </c>
      <c r="E13" s="812">
        <f t="shared" si="0"/>
        <v>0</v>
      </c>
      <c r="F13" s="812"/>
      <c r="G13" s="813">
        <f>Consolidated!$F15</f>
        <v>1.1080000000000001</v>
      </c>
      <c r="H13" s="813">
        <f>Consolidated!$H$9</f>
        <v>1</v>
      </c>
      <c r="I13" s="517">
        <f t="shared" ref="I13:I27" si="3">ROUND(E13*G13,4)</f>
        <v>0</v>
      </c>
      <c r="J13" s="518">
        <f t="shared" si="1"/>
        <v>0</v>
      </c>
      <c r="L13" s="21"/>
      <c r="M13" s="2"/>
      <c r="O13" s="2" t="str">
        <f t="shared" si="2"/>
        <v>111</v>
      </c>
      <c r="R13" s="737" t="s">
        <v>21</v>
      </c>
      <c r="S13" s="737"/>
      <c r="T13" s="876">
        <f t="shared" ref="T13:T27" si="4">IF($I$111=1,E13,0)</f>
        <v>0</v>
      </c>
      <c r="U13" s="876"/>
      <c r="V13" s="875">
        <v>1</v>
      </c>
      <c r="W13" s="875"/>
      <c r="X13" s="150">
        <f t="shared" ref="X13:X27" si="5">ROUND(T13*V13,4)</f>
        <v>0</v>
      </c>
      <c r="Y13" s="217">
        <f t="shared" ref="Y13" si="6">ROUND(ROUND(ROUND(X13*$E$6,4)*($I$6),2)*(MAX($I$7,1)),2)</f>
        <v>0</v>
      </c>
    </row>
    <row r="14" spans="1:25" x14ac:dyDescent="0.25">
      <c r="A14" s="738" t="s">
        <v>22</v>
      </c>
      <c r="B14" s="738"/>
      <c r="C14" s="357">
        <f>SUMIFS(CountData!D:D,CountData!B:B,$I$2,CountData!C:C,$O14)</f>
        <v>0</v>
      </c>
      <c r="D14" s="357">
        <f>SUMIFS(CountData!J:J,CountData!H:H,$I$2,CountData!I:I,$O14)</f>
        <v>0</v>
      </c>
      <c r="E14" s="812">
        <f t="shared" si="0"/>
        <v>0</v>
      </c>
      <c r="F14" s="812"/>
      <c r="G14" s="813">
        <f>Consolidated!$F16</f>
        <v>1</v>
      </c>
      <c r="H14" s="813">
        <f>Consolidated!$H$9</f>
        <v>1</v>
      </c>
      <c r="I14" s="517">
        <f t="shared" si="3"/>
        <v>0</v>
      </c>
      <c r="J14" s="518">
        <f>ROUND(ROUND(ROUND(I14*$E$6,4)*($I$6),2)*(MAX($I$7,1)),2)</f>
        <v>0</v>
      </c>
      <c r="L14" s="21"/>
      <c r="M14" s="2"/>
      <c r="O14" s="2" t="str">
        <f t="shared" si="2"/>
        <v>102</v>
      </c>
      <c r="R14" s="737" t="s">
        <v>22</v>
      </c>
      <c r="S14" s="737"/>
      <c r="T14" s="876">
        <f t="shared" si="4"/>
        <v>0</v>
      </c>
      <c r="U14" s="876"/>
      <c r="V14" s="875">
        <v>1</v>
      </c>
      <c r="W14" s="875"/>
      <c r="X14" s="150">
        <f t="shared" si="5"/>
        <v>0</v>
      </c>
      <c r="Y14" s="217">
        <f>ROUND(ROUND(ROUND(X14*$E$6,4)*($I$6),2)*(MAX($I$7,1)),2)</f>
        <v>0</v>
      </c>
    </row>
    <row r="15" spans="1:25" x14ac:dyDescent="0.25">
      <c r="A15" s="738" t="s">
        <v>23</v>
      </c>
      <c r="B15" s="738"/>
      <c r="C15" s="357">
        <f>SUMIFS(CountData!D:D,CountData!B:B,$I$2,CountData!C:C,$O15)</f>
        <v>0</v>
      </c>
      <c r="D15" s="357">
        <f>SUMIFS(CountData!J:J,CountData!H:H,$I$2,CountData!I:I,$O15)</f>
        <v>0</v>
      </c>
      <c r="E15" s="812">
        <f t="shared" si="0"/>
        <v>0</v>
      </c>
      <c r="F15" s="812"/>
      <c r="G15" s="813">
        <f>Consolidated!$F17</f>
        <v>1</v>
      </c>
      <c r="H15" s="813">
        <f>Consolidated!$H$9</f>
        <v>1</v>
      </c>
      <c r="I15" s="517">
        <f t="shared" si="3"/>
        <v>0</v>
      </c>
      <c r="J15" s="518">
        <f t="shared" si="1"/>
        <v>0</v>
      </c>
      <c r="M15" s="2"/>
      <c r="O15" s="2" t="str">
        <f t="shared" si="2"/>
        <v>112</v>
      </c>
      <c r="R15" s="737" t="s">
        <v>23</v>
      </c>
      <c r="S15" s="737"/>
      <c r="T15" s="876">
        <f t="shared" si="4"/>
        <v>0</v>
      </c>
      <c r="U15" s="876"/>
      <c r="V15" s="875">
        <v>1</v>
      </c>
      <c r="W15" s="875"/>
      <c r="X15" s="150">
        <f t="shared" si="5"/>
        <v>0</v>
      </c>
      <c r="Y15" s="217">
        <f t="shared" ref="Y15:Y27" si="7">ROUND(ROUND(ROUND(X15*$E$6,4)*($I$6),2)*(MAX($I$7,1)),2)</f>
        <v>0</v>
      </c>
    </row>
    <row r="16" spans="1:25" x14ac:dyDescent="0.25">
      <c r="A16" s="738" t="s">
        <v>24</v>
      </c>
      <c r="B16" s="738"/>
      <c r="C16" s="357">
        <f>SUMIFS(CountData!D:D,CountData!B:B,$I$2,CountData!C:C,$O16)</f>
        <v>45.03</v>
      </c>
      <c r="D16" s="357">
        <f>SUMIFS(CountData!J:J,CountData!H:H,$I$2,CountData!I:I,$O16)</f>
        <v>42.11</v>
      </c>
      <c r="E16" s="812">
        <f t="shared" si="0"/>
        <v>87.14</v>
      </c>
      <c r="F16" s="812"/>
      <c r="G16" s="813">
        <f>Consolidated!$F18</f>
        <v>0.97199999999999998</v>
      </c>
      <c r="H16" s="813">
        <f>Consolidated!$H$9</f>
        <v>1</v>
      </c>
      <c r="I16" s="517">
        <f t="shared" si="3"/>
        <v>84.700100000000006</v>
      </c>
      <c r="J16" s="518">
        <f t="shared" si="1"/>
        <v>471214.38</v>
      </c>
      <c r="M16" s="2"/>
      <c r="O16" s="2" t="str">
        <f t="shared" si="2"/>
        <v>103</v>
      </c>
      <c r="R16" s="737" t="s">
        <v>24</v>
      </c>
      <c r="S16" s="737"/>
      <c r="T16" s="876">
        <f t="shared" si="4"/>
        <v>0</v>
      </c>
      <c r="U16" s="876"/>
      <c r="V16" s="875">
        <v>1</v>
      </c>
      <c r="W16" s="875"/>
      <c r="X16" s="150">
        <f t="shared" si="5"/>
        <v>0</v>
      </c>
      <c r="Y16" s="217">
        <f t="shared" si="7"/>
        <v>0</v>
      </c>
    </row>
    <row r="17" spans="1:25" x14ac:dyDescent="0.25">
      <c r="A17" s="738" t="s">
        <v>25</v>
      </c>
      <c r="B17" s="738"/>
      <c r="C17" s="357">
        <f>SUMIFS(CountData!D:D,CountData!B:B,$I$2,CountData!C:C,$O17)</f>
        <v>7.07</v>
      </c>
      <c r="D17" s="357">
        <f>SUMIFS(CountData!J:J,CountData!H:H,$I$2,CountData!I:I,$O17)</f>
        <v>4.97</v>
      </c>
      <c r="E17" s="812">
        <f t="shared" si="0"/>
        <v>12.04</v>
      </c>
      <c r="F17" s="812"/>
      <c r="G17" s="813">
        <f>Consolidated!$F19</f>
        <v>0.97199999999999998</v>
      </c>
      <c r="H17" s="813">
        <f>Consolidated!$H$9</f>
        <v>1</v>
      </c>
      <c r="I17" s="517">
        <f t="shared" si="3"/>
        <v>11.7029</v>
      </c>
      <c r="J17" s="518">
        <f t="shared" si="1"/>
        <v>65107.06</v>
      </c>
      <c r="M17" s="2"/>
      <c r="O17" s="2" t="str">
        <f t="shared" si="2"/>
        <v>113</v>
      </c>
      <c r="R17" s="737" t="s">
        <v>25</v>
      </c>
      <c r="S17" s="737"/>
      <c r="T17" s="876">
        <f t="shared" si="4"/>
        <v>0</v>
      </c>
      <c r="U17" s="876"/>
      <c r="V17" s="875">
        <v>1</v>
      </c>
      <c r="W17" s="875"/>
      <c r="X17" s="150">
        <f t="shared" si="5"/>
        <v>0</v>
      </c>
      <c r="Y17" s="217">
        <f t="shared" si="7"/>
        <v>0</v>
      </c>
    </row>
    <row r="18" spans="1:25" x14ac:dyDescent="0.25">
      <c r="A18" s="738" t="s">
        <v>26</v>
      </c>
      <c r="B18" s="738"/>
      <c r="C18" s="357">
        <f>SUMIFS(CountData!D:D,CountData!B:B,$I$2,CountData!C:C,$O18)</f>
        <v>0</v>
      </c>
      <c r="D18" s="357">
        <f>SUMIFS(CountData!J:J,CountData!H:H,$I$2,CountData!I:I,$O18)</f>
        <v>0</v>
      </c>
      <c r="E18" s="812">
        <f t="shared" si="0"/>
        <v>0</v>
      </c>
      <c r="F18" s="812"/>
      <c r="G18" s="813">
        <f>Consolidated!$F20</f>
        <v>3.609</v>
      </c>
      <c r="H18" s="813">
        <f>Consolidated!$H$9</f>
        <v>1</v>
      </c>
      <c r="I18" s="517">
        <f t="shared" si="3"/>
        <v>0</v>
      </c>
      <c r="J18" s="518">
        <f t="shared" si="1"/>
        <v>0</v>
      </c>
      <c r="M18" s="2"/>
      <c r="O18" s="2" t="str">
        <f>IF(O$7="E",LEFT(R$18,3),"")</f>
        <v/>
      </c>
      <c r="R18" s="737" t="s">
        <v>26</v>
      </c>
      <c r="S18" s="737"/>
      <c r="T18" s="876">
        <f t="shared" si="4"/>
        <v>0</v>
      </c>
      <c r="U18" s="876"/>
      <c r="V18" s="875">
        <v>1</v>
      </c>
      <c r="W18" s="875"/>
      <c r="X18" s="150">
        <f t="shared" si="5"/>
        <v>0</v>
      </c>
      <c r="Y18" s="217">
        <f t="shared" si="7"/>
        <v>0</v>
      </c>
    </row>
    <row r="19" spans="1:25" x14ac:dyDescent="0.25">
      <c r="A19" s="738" t="s">
        <v>27</v>
      </c>
      <c r="B19" s="738"/>
      <c r="C19" s="357">
        <f>SUMIFS(CountData!D:D,CountData!B:B,$I$2,CountData!C:C,$O19)</f>
        <v>0</v>
      </c>
      <c r="D19" s="357">
        <f>SUMIFS(CountData!J:J,CountData!H:H,$I$2,CountData!I:I,$O19)</f>
        <v>0</v>
      </c>
      <c r="E19" s="812">
        <f t="shared" si="0"/>
        <v>0</v>
      </c>
      <c r="F19" s="812"/>
      <c r="G19" s="813">
        <f>Consolidated!$F21</f>
        <v>3.609</v>
      </c>
      <c r="H19" s="813">
        <f>Consolidated!$H$9</f>
        <v>1</v>
      </c>
      <c r="I19" s="517">
        <f t="shared" si="3"/>
        <v>0</v>
      </c>
      <c r="J19" s="518">
        <f t="shared" si="1"/>
        <v>0</v>
      </c>
      <c r="M19" s="2"/>
      <c r="O19" s="2" t="str">
        <f>IF(O$8="M",LEFT(R$19,3),"")</f>
        <v/>
      </c>
      <c r="R19" s="737" t="s">
        <v>27</v>
      </c>
      <c r="S19" s="737"/>
      <c r="T19" s="876">
        <f t="shared" si="4"/>
        <v>0</v>
      </c>
      <c r="U19" s="876"/>
      <c r="V19" s="875">
        <v>1</v>
      </c>
      <c r="W19" s="875"/>
      <c r="X19" s="150">
        <f t="shared" si="5"/>
        <v>0</v>
      </c>
      <c r="Y19" s="217">
        <f t="shared" si="7"/>
        <v>0</v>
      </c>
    </row>
    <row r="20" spans="1:25" x14ac:dyDescent="0.25">
      <c r="A20" s="738" t="s">
        <v>28</v>
      </c>
      <c r="B20" s="738"/>
      <c r="C20" s="357">
        <f>SUMIFS(CountData!D:D,CountData!B:B,$I$2,CountData!C:C,$O20)</f>
        <v>0</v>
      </c>
      <c r="D20" s="357">
        <f>SUMIFS(CountData!J:J,CountData!H:H,$I$2,CountData!I:I,$O20)</f>
        <v>0</v>
      </c>
      <c r="E20" s="812">
        <f t="shared" si="0"/>
        <v>0</v>
      </c>
      <c r="F20" s="812"/>
      <c r="G20" s="813">
        <f>Consolidated!$F22</f>
        <v>3.609</v>
      </c>
      <c r="H20" s="813">
        <f>Consolidated!$H$9</f>
        <v>1</v>
      </c>
      <c r="I20" s="517">
        <f t="shared" si="3"/>
        <v>0</v>
      </c>
      <c r="J20" s="518">
        <f t="shared" si="1"/>
        <v>0</v>
      </c>
      <c r="M20" s="2"/>
      <c r="O20" s="2" t="str">
        <f>IF(O$9="H",LEFT(R$20,3),"")</f>
        <v>254</v>
      </c>
      <c r="R20" s="737" t="s">
        <v>28</v>
      </c>
      <c r="S20" s="737"/>
      <c r="T20" s="876">
        <f t="shared" si="4"/>
        <v>0</v>
      </c>
      <c r="U20" s="876"/>
      <c r="V20" s="875">
        <v>1</v>
      </c>
      <c r="W20" s="875"/>
      <c r="X20" s="150">
        <f t="shared" si="5"/>
        <v>0</v>
      </c>
      <c r="Y20" s="217">
        <f t="shared" si="7"/>
        <v>0</v>
      </c>
    </row>
    <row r="21" spans="1:25" ht="15" customHeight="1" x14ac:dyDescent="0.25">
      <c r="A21" s="738" t="s">
        <v>29</v>
      </c>
      <c r="B21" s="738"/>
      <c r="C21" s="357">
        <f>SUMIFS(CountData!D:D,CountData!B:B,$I$2,CountData!C:C,$O21)</f>
        <v>0</v>
      </c>
      <c r="D21" s="357">
        <f>SUMIFS(CountData!J:J,CountData!H:H,$I$2,CountData!I:I,$O21)</f>
        <v>0</v>
      </c>
      <c r="E21" s="812">
        <f t="shared" si="0"/>
        <v>0</v>
      </c>
      <c r="F21" s="812"/>
      <c r="G21" s="813">
        <f>Consolidated!$F23</f>
        <v>6.0640000000000001</v>
      </c>
      <c r="H21" s="813">
        <f>Consolidated!$H$9</f>
        <v>1</v>
      </c>
      <c r="I21" s="517">
        <f t="shared" si="3"/>
        <v>0</v>
      </c>
      <c r="J21" s="518">
        <f t="shared" si="1"/>
        <v>0</v>
      </c>
      <c r="M21" s="2"/>
      <c r="O21" s="2" t="str">
        <f>IF(O$7="E",LEFT(R$21,3),"")</f>
        <v/>
      </c>
      <c r="R21" s="737" t="s">
        <v>29</v>
      </c>
      <c r="S21" s="737"/>
      <c r="T21" s="876">
        <f t="shared" si="4"/>
        <v>0</v>
      </c>
      <c r="U21" s="876"/>
      <c r="V21" s="875">
        <v>1</v>
      </c>
      <c r="W21" s="875"/>
      <c r="X21" s="150">
        <f t="shared" si="5"/>
        <v>0</v>
      </c>
      <c r="Y21" s="217">
        <f t="shared" si="7"/>
        <v>0</v>
      </c>
    </row>
    <row r="22" spans="1:25" ht="15" customHeight="1" x14ac:dyDescent="0.25">
      <c r="A22" s="738" t="s">
        <v>30</v>
      </c>
      <c r="B22" s="738"/>
      <c r="C22" s="357">
        <f>SUMIFS(CountData!D:D,CountData!B:B,$I$2,CountData!C:C,$O22)</f>
        <v>0</v>
      </c>
      <c r="D22" s="357">
        <f>SUMIFS(CountData!J:J,CountData!H:H,$I$2,CountData!I:I,$O22)</f>
        <v>0</v>
      </c>
      <c r="E22" s="812">
        <f t="shared" si="0"/>
        <v>0</v>
      </c>
      <c r="F22" s="812"/>
      <c r="G22" s="813">
        <f>Consolidated!$F24</f>
        <v>6.0640000000000001</v>
      </c>
      <c r="H22" s="813">
        <f>Consolidated!$H$9</f>
        <v>1</v>
      </c>
      <c r="I22" s="517">
        <f t="shared" si="3"/>
        <v>0</v>
      </c>
      <c r="J22" s="518">
        <f t="shared" si="1"/>
        <v>0</v>
      </c>
      <c r="M22" s="2"/>
      <c r="O22" s="2" t="str">
        <f>IF(O$8="M",LEFT(R$22,3),"")</f>
        <v/>
      </c>
      <c r="R22" s="737" t="s">
        <v>30</v>
      </c>
      <c r="S22" s="737"/>
      <c r="T22" s="876">
        <f t="shared" si="4"/>
        <v>0</v>
      </c>
      <c r="U22" s="876"/>
      <c r="V22" s="875">
        <v>1</v>
      </c>
      <c r="W22" s="875"/>
      <c r="X22" s="150">
        <f t="shared" si="5"/>
        <v>0</v>
      </c>
      <c r="Y22" s="217">
        <f t="shared" si="7"/>
        <v>0</v>
      </c>
    </row>
    <row r="23" spans="1:25" ht="15" customHeight="1" x14ac:dyDescent="0.25">
      <c r="A23" s="738" t="s">
        <v>31</v>
      </c>
      <c r="B23" s="738"/>
      <c r="C23" s="357">
        <f>SUMIFS(CountData!D:D,CountData!B:B,$I$2,CountData!C:C,$O23)</f>
        <v>0</v>
      </c>
      <c r="D23" s="357">
        <f>SUMIFS(CountData!J:J,CountData!H:H,$I$2,CountData!I:I,$O23)</f>
        <v>0</v>
      </c>
      <c r="E23" s="812">
        <f t="shared" si="0"/>
        <v>0</v>
      </c>
      <c r="F23" s="812"/>
      <c r="G23" s="813">
        <f>Consolidated!$F25</f>
        <v>6.0640000000000001</v>
      </c>
      <c r="H23" s="813">
        <f>Consolidated!$H$9</f>
        <v>1</v>
      </c>
      <c r="I23" s="517">
        <f t="shared" si="3"/>
        <v>0</v>
      </c>
      <c r="J23" s="518">
        <f t="shared" si="1"/>
        <v>0</v>
      </c>
      <c r="M23" s="2"/>
      <c r="O23" s="2" t="str">
        <f>IF(O$9="H",LEFT(R$23,3),"")</f>
        <v>255</v>
      </c>
      <c r="R23" s="737" t="s">
        <v>31</v>
      </c>
      <c r="S23" s="737"/>
      <c r="T23" s="876">
        <f t="shared" si="4"/>
        <v>0</v>
      </c>
      <c r="U23" s="876"/>
      <c r="V23" s="875">
        <v>1</v>
      </c>
      <c r="W23" s="875"/>
      <c r="X23" s="150">
        <f t="shared" si="5"/>
        <v>0</v>
      </c>
      <c r="Y23" s="217">
        <f t="shared" si="7"/>
        <v>0</v>
      </c>
    </row>
    <row r="24" spans="1:25" x14ac:dyDescent="0.25">
      <c r="A24" s="738" t="s">
        <v>32</v>
      </c>
      <c r="B24" s="738"/>
      <c r="C24" s="357">
        <f>SUMIFS(CountData!D:D,CountData!B:B,$I$2,CountData!C:C,$O24)</f>
        <v>0</v>
      </c>
      <c r="D24" s="357">
        <f>SUMIFS(CountData!J:J,CountData!H:H,$I$2,CountData!I:I,$O24)</f>
        <v>0</v>
      </c>
      <c r="E24" s="812">
        <f t="shared" si="0"/>
        <v>0</v>
      </c>
      <c r="F24" s="812"/>
      <c r="G24" s="813">
        <f>Consolidated!$F26</f>
        <v>1.165</v>
      </c>
      <c r="H24" s="813">
        <f>Consolidated!$H$9</f>
        <v>1</v>
      </c>
      <c r="I24" s="517">
        <f t="shared" si="3"/>
        <v>0</v>
      </c>
      <c r="J24" s="518">
        <f t="shared" si="1"/>
        <v>0</v>
      </c>
      <c r="M24" s="2"/>
      <c r="O24" s="2" t="str">
        <f>IF(O$7="E",LEFT(R$24,3),"")</f>
        <v/>
      </c>
      <c r="R24" s="737" t="s">
        <v>32</v>
      </c>
      <c r="S24" s="737"/>
      <c r="T24" s="876">
        <f t="shared" si="4"/>
        <v>0</v>
      </c>
      <c r="U24" s="876"/>
      <c r="V24" s="875">
        <v>1</v>
      </c>
      <c r="W24" s="875"/>
      <c r="X24" s="150">
        <f t="shared" si="5"/>
        <v>0</v>
      </c>
      <c r="Y24" s="217">
        <f t="shared" si="7"/>
        <v>0</v>
      </c>
    </row>
    <row r="25" spans="1:25" x14ac:dyDescent="0.25">
      <c r="A25" s="738" t="s">
        <v>33</v>
      </c>
      <c r="B25" s="738"/>
      <c r="C25" s="357">
        <f>SUMIFS(CountData!D:D,CountData!B:B,$I$2,CountData!C:C,$O25)</f>
        <v>0</v>
      </c>
      <c r="D25" s="357">
        <f>SUMIFS(CountData!J:J,CountData!H:H,$I$2,CountData!I:I,$O25)</f>
        <v>0</v>
      </c>
      <c r="E25" s="812">
        <f t="shared" si="0"/>
        <v>0</v>
      </c>
      <c r="F25" s="812"/>
      <c r="G25" s="813">
        <f>Consolidated!$F27</f>
        <v>1.165</v>
      </c>
      <c r="H25" s="813">
        <f>Consolidated!$H$9</f>
        <v>1</v>
      </c>
      <c r="I25" s="517">
        <f t="shared" si="3"/>
        <v>0</v>
      </c>
      <c r="J25" s="518">
        <f t="shared" si="1"/>
        <v>0</v>
      </c>
      <c r="M25" s="2"/>
      <c r="O25" s="2" t="str">
        <f>IF(O$8="M",LEFT(R$25,3),"")</f>
        <v/>
      </c>
      <c r="R25" s="737" t="s">
        <v>33</v>
      </c>
      <c r="S25" s="737"/>
      <c r="T25" s="876">
        <f t="shared" si="4"/>
        <v>0</v>
      </c>
      <c r="U25" s="876"/>
      <c r="V25" s="875">
        <v>1</v>
      </c>
      <c r="W25" s="875"/>
      <c r="X25" s="150">
        <f t="shared" si="5"/>
        <v>0</v>
      </c>
      <c r="Y25" s="217">
        <f t="shared" si="7"/>
        <v>0</v>
      </c>
    </row>
    <row r="26" spans="1:25" x14ac:dyDescent="0.25">
      <c r="A26" s="738" t="s">
        <v>34</v>
      </c>
      <c r="B26" s="738"/>
      <c r="C26" s="357">
        <f>SUMIFS(CountData!D:D,CountData!B:B,$I$2,CountData!C:C,$O26)</f>
        <v>7.96</v>
      </c>
      <c r="D26" s="357">
        <f>SUMIFS(CountData!J:J,CountData!H:H,$I$2,CountData!I:I,$O26)</f>
        <v>7.31</v>
      </c>
      <c r="E26" s="812">
        <f t="shared" si="0"/>
        <v>15.27</v>
      </c>
      <c r="F26" s="812"/>
      <c r="G26" s="813">
        <f>Consolidated!$F28</f>
        <v>1.165</v>
      </c>
      <c r="H26" s="813">
        <f>Consolidated!$H$9</f>
        <v>1</v>
      </c>
      <c r="I26" s="517">
        <f t="shared" si="3"/>
        <v>17.7896</v>
      </c>
      <c r="J26" s="518">
        <f t="shared" si="1"/>
        <v>98969.37</v>
      </c>
      <c r="M26" s="2"/>
      <c r="O26" s="2" t="str">
        <f>IF(O$9="H",LEFT(R$26,3),"")</f>
        <v>130</v>
      </c>
      <c r="R26" s="737" t="s">
        <v>34</v>
      </c>
      <c r="S26" s="737"/>
      <c r="T26" s="876">
        <f t="shared" si="4"/>
        <v>0</v>
      </c>
      <c r="U26" s="876"/>
      <c r="V26" s="875">
        <v>1</v>
      </c>
      <c r="W26" s="875"/>
      <c r="X26" s="150">
        <f t="shared" si="5"/>
        <v>0</v>
      </c>
      <c r="Y26" s="217">
        <f t="shared" si="7"/>
        <v>0</v>
      </c>
    </row>
    <row r="27" spans="1:25" x14ac:dyDescent="0.25">
      <c r="A27" s="745" t="s">
        <v>35</v>
      </c>
      <c r="B27" s="745"/>
      <c r="C27" s="358">
        <f>SUMIFS(CountData!D:D,CountData!B:B,$I$2,CountData!C:C,$O27)</f>
        <v>3.9</v>
      </c>
      <c r="D27" s="358">
        <f>SUMIFS(CountData!J:J,CountData!H:H,$I$2,CountData!I:I,$O27)</f>
        <v>3.77</v>
      </c>
      <c r="E27" s="814">
        <f t="shared" si="0"/>
        <v>7.67</v>
      </c>
      <c r="F27" s="814"/>
      <c r="G27" s="815">
        <f>Consolidated!$F29</f>
        <v>1.081</v>
      </c>
      <c r="H27" s="815">
        <f>Consolidated!$H$9</f>
        <v>1</v>
      </c>
      <c r="I27" s="22">
        <f t="shared" si="3"/>
        <v>8.2912999999999997</v>
      </c>
      <c r="J27" s="121">
        <f t="shared" si="1"/>
        <v>46127.22</v>
      </c>
      <c r="M27" s="2"/>
      <c r="O27" s="2" t="str">
        <f>LEFT(R27,3)</f>
        <v>300</v>
      </c>
      <c r="R27" s="744" t="s">
        <v>35</v>
      </c>
      <c r="S27" s="744"/>
      <c r="T27" s="876">
        <f t="shared" si="4"/>
        <v>0</v>
      </c>
      <c r="U27" s="876"/>
      <c r="V27" s="877">
        <v>1</v>
      </c>
      <c r="W27" s="877"/>
      <c r="X27" s="150">
        <f t="shared" si="5"/>
        <v>0</v>
      </c>
      <c r="Y27" s="217">
        <f t="shared" si="7"/>
        <v>0</v>
      </c>
    </row>
    <row r="28" spans="1:25" ht="20.25" customHeight="1" x14ac:dyDescent="0.25">
      <c r="A28" s="816" t="s">
        <v>36</v>
      </c>
      <c r="B28" s="816"/>
      <c r="C28" s="630">
        <f>SUM(C12:C27)</f>
        <v>63.96</v>
      </c>
      <c r="D28" s="720">
        <f>SUM(D12:D27)</f>
        <v>58.160000000000004</v>
      </c>
      <c r="E28" s="817">
        <f>SUM(E12:E27)</f>
        <v>122.12</v>
      </c>
      <c r="F28" s="817"/>
      <c r="G28" s="812"/>
      <c r="H28" s="812"/>
      <c r="I28" s="23">
        <f>SUM(I12:I27)</f>
        <v>122.48390000000001</v>
      </c>
      <c r="J28" s="121">
        <f>SUM(J12:J27)</f>
        <v>681418.02999999991</v>
      </c>
      <c r="M28" s="2"/>
      <c r="R28" s="878" t="s">
        <v>36</v>
      </c>
      <c r="S28" s="878"/>
      <c r="T28" s="879">
        <f>SUM(T12:T27)</f>
        <v>0</v>
      </c>
      <c r="U28" s="879"/>
      <c r="V28" s="880"/>
      <c r="W28" s="880"/>
      <c r="X28" s="152">
        <f>SUM(X12:X27)</f>
        <v>0</v>
      </c>
      <c r="Y28" s="217">
        <f>SUM(Y12:Y27)</f>
        <v>0</v>
      </c>
    </row>
    <row r="29" spans="1:25" ht="36" hidden="1" customHeight="1" x14ac:dyDescent="0.25">
      <c r="A29" s="821" t="s">
        <v>37</v>
      </c>
      <c r="B29" s="821"/>
      <c r="C29" s="821"/>
      <c r="D29" s="821"/>
      <c r="E29" s="821"/>
      <c r="F29" s="821"/>
      <c r="G29" s="821"/>
      <c r="H29" s="821"/>
      <c r="I29" s="821"/>
      <c r="J29" s="24"/>
      <c r="M29" s="2"/>
      <c r="R29" s="834" t="s">
        <v>37</v>
      </c>
      <c r="S29" s="834"/>
      <c r="T29" s="834"/>
      <c r="U29" s="834"/>
      <c r="V29" s="834"/>
      <c r="W29" s="834"/>
      <c r="X29" s="834"/>
      <c r="Y29" s="153"/>
    </row>
    <row r="30" spans="1:25" ht="56.25" hidden="1" customHeight="1" x14ac:dyDescent="0.25">
      <c r="A30" s="752" t="s">
        <v>38</v>
      </c>
      <c r="B30" s="752"/>
      <c r="C30" s="100"/>
      <c r="D30" s="100"/>
      <c r="E30" s="753" t="s">
        <v>39</v>
      </c>
      <c r="F30" s="754"/>
      <c r="G30" s="754"/>
      <c r="H30" s="754"/>
      <c r="I30" s="754"/>
      <c r="J30" s="18" t="s">
        <v>40</v>
      </c>
      <c r="L30" s="25"/>
      <c r="M30" s="25"/>
      <c r="R30" s="154" t="s">
        <v>38</v>
      </c>
      <c r="S30" s="154"/>
      <c r="T30" s="750" t="s">
        <v>158</v>
      </c>
      <c r="U30" s="751"/>
      <c r="V30" s="751"/>
      <c r="W30" s="751"/>
      <c r="X30" s="751"/>
      <c r="Y30" s="147" t="s">
        <v>40</v>
      </c>
    </row>
    <row r="31" spans="1:25" ht="20.25" hidden="1" customHeight="1" x14ac:dyDescent="0.25">
      <c r="A31" s="743" t="s">
        <v>41</v>
      </c>
      <c r="B31" s="743"/>
      <c r="C31" s="69"/>
      <c r="D31" s="69"/>
      <c r="E31" s="26"/>
      <c r="F31" s="26"/>
      <c r="G31" s="26"/>
      <c r="H31" s="26"/>
      <c r="I31" s="27"/>
      <c r="J31" s="28">
        <f>ROUND(ROUND(ROUND(I31*$E$6,4)*($I$6),0)*(MAX($I$7,1)),0)</f>
        <v>0</v>
      </c>
      <c r="M31" s="2"/>
      <c r="R31" s="737" t="s">
        <v>41</v>
      </c>
      <c r="S31" s="737"/>
      <c r="T31" s="881"/>
      <c r="U31" s="881"/>
      <c r="V31" s="881"/>
      <c r="W31" s="881"/>
      <c r="X31" s="881"/>
      <c r="Y31" s="155">
        <f>J31</f>
        <v>0</v>
      </c>
    </row>
    <row r="32" spans="1:25" ht="20.25" hidden="1" customHeight="1" thickBot="1" x14ac:dyDescent="0.3">
      <c r="A32" s="818" t="s">
        <v>42</v>
      </c>
      <c r="B32" s="818"/>
      <c r="C32" s="818"/>
      <c r="D32" s="818"/>
      <c r="E32" s="818"/>
      <c r="F32" s="818"/>
      <c r="G32" s="29">
        <f>SUM(I31:I31)</f>
        <v>0</v>
      </c>
      <c r="H32" s="804" t="s">
        <v>43</v>
      </c>
      <c r="I32" s="804"/>
      <c r="J32" s="30">
        <f>SUM(J31:J31)</f>
        <v>0</v>
      </c>
      <c r="M32" s="2"/>
      <c r="R32" s="833" t="s">
        <v>42</v>
      </c>
      <c r="S32" s="833"/>
      <c r="T32" s="833"/>
      <c r="U32" s="833"/>
      <c r="V32" s="156">
        <f>SUM(T31:V31)</f>
        <v>0</v>
      </c>
      <c r="W32" s="880" t="s">
        <v>43</v>
      </c>
      <c r="X32" s="880"/>
      <c r="Y32" s="157">
        <f>SUM(Y31:Y31)</f>
        <v>0</v>
      </c>
    </row>
    <row r="33" spans="1:25" ht="20.25" hidden="1" customHeight="1" thickBot="1" x14ac:dyDescent="0.3">
      <c r="A33" s="818" t="s">
        <v>44</v>
      </c>
      <c r="B33" s="818"/>
      <c r="C33" s="818"/>
      <c r="D33" s="818"/>
      <c r="E33" s="818"/>
      <c r="F33" s="818"/>
      <c r="G33" s="31">
        <f>G32+I28</f>
        <v>122.48390000000001</v>
      </c>
      <c r="H33" s="812" t="s">
        <v>45</v>
      </c>
      <c r="I33" s="812"/>
      <c r="J33" s="32">
        <f>SUM(J32,J28)</f>
        <v>681418.02999999991</v>
      </c>
      <c r="M33" s="2"/>
      <c r="R33" s="833" t="s">
        <v>44</v>
      </c>
      <c r="S33" s="833"/>
      <c r="T33" s="833"/>
      <c r="U33" s="833"/>
      <c r="V33" s="158">
        <f>V32+X28</f>
        <v>0</v>
      </c>
      <c r="W33" s="880" t="s">
        <v>45</v>
      </c>
      <c r="X33" s="880"/>
      <c r="Y33" s="159">
        <f>SUM(Y32,Y28)</f>
        <v>0</v>
      </c>
    </row>
    <row r="34" spans="1:25" ht="20.25" customHeight="1" x14ac:dyDescent="0.25">
      <c r="A34" s="33"/>
      <c r="B34" s="33"/>
      <c r="C34" s="33"/>
      <c r="D34" s="33"/>
      <c r="E34" s="33"/>
      <c r="F34" s="33"/>
      <c r="G34" s="31"/>
      <c r="H34" s="34"/>
      <c r="I34" s="34"/>
      <c r="J34" s="35"/>
      <c r="M34" s="2"/>
      <c r="R34" s="160"/>
      <c r="S34" s="160"/>
      <c r="T34" s="160"/>
      <c r="U34" s="160"/>
      <c r="V34" s="158"/>
      <c r="W34" s="161"/>
      <c r="X34" s="161"/>
      <c r="Y34" s="162"/>
    </row>
    <row r="35" spans="1:25" ht="66.75" customHeight="1" x14ac:dyDescent="0.25">
      <c r="A35" s="819" t="s">
        <v>46</v>
      </c>
      <c r="B35" s="819"/>
      <c r="C35" s="819"/>
      <c r="D35" s="819"/>
      <c r="E35" s="819"/>
      <c r="F35" s="819"/>
      <c r="G35" s="36"/>
      <c r="J35" s="40"/>
      <c r="M35" s="2"/>
      <c r="R35" s="865" t="s">
        <v>46</v>
      </c>
      <c r="S35" s="739"/>
      <c r="T35" s="739"/>
      <c r="U35" s="739"/>
      <c r="V35" s="163"/>
      <c r="W35" s="164"/>
      <c r="X35" s="164"/>
      <c r="Y35" s="169"/>
    </row>
    <row r="36" spans="1:25" ht="20.25" customHeight="1" x14ac:dyDescent="0.25">
      <c r="A36" s="738" t="s">
        <v>47</v>
      </c>
      <c r="B36" s="738"/>
      <c r="C36" s="738"/>
      <c r="D36" s="738"/>
      <c r="E36" s="738"/>
      <c r="F36" s="36" t="s">
        <v>48</v>
      </c>
      <c r="G36" s="395">
        <v>570364.56999999995</v>
      </c>
      <c r="H36" s="37" t="s">
        <v>49</v>
      </c>
      <c r="I36" s="38">
        <v>6.6699999999999995E-2</v>
      </c>
      <c r="J36" s="125">
        <f>ROUND(G36*I36,2)</f>
        <v>38043.32</v>
      </c>
      <c r="K36" s="39"/>
      <c r="L36" s="33"/>
      <c r="M36" s="33"/>
      <c r="N36" s="33"/>
      <c r="O36" s="31"/>
      <c r="P36" s="34"/>
      <c r="Q36" s="34"/>
      <c r="R36" s="737" t="s">
        <v>47</v>
      </c>
      <c r="S36" s="737"/>
      <c r="T36" s="737"/>
      <c r="U36" s="163"/>
      <c r="V36" s="166">
        <v>0</v>
      </c>
      <c r="W36" s="167" t="s">
        <v>49</v>
      </c>
      <c r="X36" s="168">
        <v>6.6699999999999995E-2</v>
      </c>
      <c r="Y36" s="217">
        <f>ROUND(V36*X36,2)</f>
        <v>0</v>
      </c>
    </row>
    <row r="37" spans="1:25" ht="20.25" customHeight="1" x14ac:dyDescent="0.25">
      <c r="A37" s="738" t="s">
        <v>50</v>
      </c>
      <c r="B37" s="738"/>
      <c r="C37" s="738"/>
      <c r="D37" s="738"/>
      <c r="E37" s="738"/>
      <c r="F37" s="36" t="s">
        <v>48</v>
      </c>
      <c r="G37" s="395">
        <v>570364.56999999995</v>
      </c>
      <c r="H37" s="37" t="s">
        <v>49</v>
      </c>
      <c r="I37" s="38">
        <v>5.4000000000000003E-3</v>
      </c>
      <c r="J37" s="125">
        <f>ROUND(G37*I37,2)</f>
        <v>3079.97</v>
      </c>
      <c r="K37" s="39"/>
      <c r="L37" s="33"/>
      <c r="M37" s="33"/>
      <c r="N37" s="33"/>
      <c r="O37" s="31"/>
      <c r="P37" s="34"/>
      <c r="Q37" s="34"/>
      <c r="R37" s="737" t="s">
        <v>50</v>
      </c>
      <c r="S37" s="737"/>
      <c r="T37" s="737"/>
      <c r="U37" s="163"/>
      <c r="V37" s="166">
        <v>0</v>
      </c>
      <c r="W37" s="167" t="s">
        <v>49</v>
      </c>
      <c r="X37" s="168">
        <v>5.4000000000000003E-3</v>
      </c>
      <c r="Y37" s="217">
        <f>ROUND(V37*X37,2)</f>
        <v>0</v>
      </c>
    </row>
    <row r="38" spans="1:25" ht="20.25" customHeight="1" x14ac:dyDescent="0.25">
      <c r="A38" s="820" t="s">
        <v>51</v>
      </c>
      <c r="B38" s="820"/>
      <c r="C38" s="820"/>
      <c r="D38" s="820"/>
      <c r="E38" s="820"/>
      <c r="F38" s="36" t="s">
        <v>52</v>
      </c>
      <c r="G38" s="40"/>
      <c r="H38" s="37"/>
      <c r="I38" s="41"/>
      <c r="J38" s="125">
        <f>SUM(J36:J37)</f>
        <v>41123.29</v>
      </c>
      <c r="K38" s="39"/>
      <c r="L38" s="33"/>
      <c r="M38" s="33"/>
      <c r="N38" s="33"/>
      <c r="O38" s="31"/>
      <c r="P38" s="34"/>
      <c r="Q38" s="34"/>
      <c r="R38" s="739" t="s">
        <v>51</v>
      </c>
      <c r="S38" s="739"/>
      <c r="T38" s="739"/>
      <c r="U38" s="163" t="s">
        <v>52</v>
      </c>
      <c r="V38" s="169"/>
      <c r="W38" s="167"/>
      <c r="X38" s="170"/>
      <c r="Y38" s="151">
        <f>Y36+Y37</f>
        <v>0</v>
      </c>
    </row>
    <row r="39" spans="1:25" ht="20.25" customHeight="1" x14ac:dyDescent="0.25">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25">
      <c r="A40" s="822" t="s">
        <v>53</v>
      </c>
      <c r="B40" s="822"/>
      <c r="C40" s="112" t="s">
        <v>567</v>
      </c>
      <c r="D40" s="112" t="s">
        <v>568</v>
      </c>
      <c r="E40" s="823" t="s">
        <v>156</v>
      </c>
      <c r="F40" s="823"/>
      <c r="G40" s="44" t="s">
        <v>55</v>
      </c>
      <c r="H40" s="45" t="s">
        <v>56</v>
      </c>
      <c r="I40" s="129" t="s">
        <v>57</v>
      </c>
      <c r="J40" s="44"/>
      <c r="K40" s="39"/>
      <c r="L40" s="33"/>
      <c r="M40" s="33"/>
      <c r="N40" s="33"/>
      <c r="O40" s="31"/>
      <c r="P40" s="34"/>
      <c r="Q40" s="34"/>
      <c r="R40" s="883" t="s">
        <v>53</v>
      </c>
      <c r="S40" s="883"/>
      <c r="T40" s="884" t="s">
        <v>54</v>
      </c>
      <c r="U40" s="884"/>
      <c r="V40" s="173" t="s">
        <v>55</v>
      </c>
      <c r="W40" s="174" t="s">
        <v>56</v>
      </c>
      <c r="X40" s="175" t="s">
        <v>57</v>
      </c>
      <c r="Y40" s="173"/>
    </row>
    <row r="41" spans="1:25" ht="17.25" customHeight="1" x14ac:dyDescent="0.25">
      <c r="A41" s="824" t="s">
        <v>58</v>
      </c>
      <c r="B41" s="824"/>
      <c r="C41" s="357">
        <v>0</v>
      </c>
      <c r="D41" s="357">
        <v>0</v>
      </c>
      <c r="E41" s="826">
        <f t="shared" ref="E41:E49" si="8">IF($D$50=0,C41*2,C41+D41)</f>
        <v>0</v>
      </c>
      <c r="F41" s="826"/>
      <c r="G41" s="37" t="s">
        <v>59</v>
      </c>
      <c r="H41" s="37">
        <v>251</v>
      </c>
      <c r="I41" s="130">
        <f>Consolidated!$H59</f>
        <v>1047</v>
      </c>
      <c r="J41" s="46">
        <f t="shared" ref="J41:J49" si="9">ROUND(E41*I41,2)</f>
        <v>0</v>
      </c>
      <c r="L41" s="3"/>
      <c r="M41" s="2"/>
      <c r="Q41" s="4"/>
      <c r="R41" s="885" t="s">
        <v>159</v>
      </c>
      <c r="S41" s="885"/>
      <c r="T41" s="893"/>
      <c r="U41" s="893"/>
      <c r="V41" s="167" t="s">
        <v>59</v>
      </c>
      <c r="W41" s="167">
        <v>251</v>
      </c>
      <c r="X41" s="128">
        <f>Consolidated!$H59</f>
        <v>1047</v>
      </c>
      <c r="Y41" s="218">
        <f>ROUND(T41*X41,2)</f>
        <v>0</v>
      </c>
    </row>
    <row r="42" spans="1:25" x14ac:dyDescent="0.25">
      <c r="A42" s="825"/>
      <c r="B42" s="825"/>
      <c r="C42" s="357">
        <v>0</v>
      </c>
      <c r="D42" s="357">
        <v>0</v>
      </c>
      <c r="E42" s="826">
        <f t="shared" si="8"/>
        <v>0</v>
      </c>
      <c r="F42" s="826"/>
      <c r="G42" s="37" t="s">
        <v>59</v>
      </c>
      <c r="H42" s="37">
        <v>252</v>
      </c>
      <c r="I42" s="130">
        <f>Consolidated!$H60</f>
        <v>3380</v>
      </c>
      <c r="J42" s="46">
        <f t="shared" si="9"/>
        <v>0</v>
      </c>
      <c r="M42" s="2"/>
      <c r="R42" s="885"/>
      <c r="S42" s="885"/>
      <c r="T42" s="886"/>
      <c r="U42" s="886"/>
      <c r="V42" s="167" t="s">
        <v>59</v>
      </c>
      <c r="W42" s="167">
        <v>252</v>
      </c>
      <c r="X42" s="128">
        <f>Consolidated!$H60</f>
        <v>3380</v>
      </c>
      <c r="Y42" s="218">
        <f t="shared" ref="Y42:Y49" si="10">ROUND(T42*X42,2)</f>
        <v>0</v>
      </c>
    </row>
    <row r="43" spans="1:25" x14ac:dyDescent="0.25">
      <c r="A43" s="825"/>
      <c r="B43" s="825"/>
      <c r="C43" s="357">
        <v>0</v>
      </c>
      <c r="D43" s="357">
        <v>0</v>
      </c>
      <c r="E43" s="826">
        <f t="shared" si="8"/>
        <v>0</v>
      </c>
      <c r="F43" s="826"/>
      <c r="G43" s="37" t="s">
        <v>59</v>
      </c>
      <c r="H43" s="37">
        <v>253</v>
      </c>
      <c r="I43" s="130">
        <f>Consolidated!$H61</f>
        <v>6896</v>
      </c>
      <c r="J43" s="46">
        <f t="shared" si="9"/>
        <v>0</v>
      </c>
      <c r="M43" s="2"/>
      <c r="R43" s="885"/>
      <c r="S43" s="885"/>
      <c r="T43" s="867"/>
      <c r="U43" s="867"/>
      <c r="V43" s="167" t="s">
        <v>59</v>
      </c>
      <c r="W43" s="167">
        <v>253</v>
      </c>
      <c r="X43" s="128">
        <f>Consolidated!$H61</f>
        <v>6896</v>
      </c>
      <c r="Y43" s="218">
        <f t="shared" si="10"/>
        <v>0</v>
      </c>
    </row>
    <row r="44" spans="1:25" x14ac:dyDescent="0.25">
      <c r="A44" s="825"/>
      <c r="B44" s="825"/>
      <c r="C44" s="357">
        <v>0</v>
      </c>
      <c r="D44" s="357">
        <v>0</v>
      </c>
      <c r="E44" s="826">
        <f t="shared" si="8"/>
        <v>0</v>
      </c>
      <c r="F44" s="826"/>
      <c r="G44" s="47" t="s">
        <v>60</v>
      </c>
      <c r="H44" s="37">
        <v>251</v>
      </c>
      <c r="I44" s="130">
        <f>Consolidated!$H62</f>
        <v>1173</v>
      </c>
      <c r="J44" s="131">
        <f t="shared" si="9"/>
        <v>0</v>
      </c>
      <c r="L44" s="3"/>
      <c r="M44" s="2"/>
      <c r="Q44" s="4"/>
      <c r="R44" s="885"/>
      <c r="S44" s="885"/>
      <c r="T44" s="867"/>
      <c r="U44" s="867"/>
      <c r="V44" s="176" t="s">
        <v>60</v>
      </c>
      <c r="W44" s="167">
        <v>251</v>
      </c>
      <c r="X44" s="128">
        <f>Consolidated!$H62</f>
        <v>1173</v>
      </c>
      <c r="Y44" s="218">
        <f t="shared" si="10"/>
        <v>0</v>
      </c>
    </row>
    <row r="45" spans="1:25" x14ac:dyDescent="0.25">
      <c r="A45" s="825"/>
      <c r="B45" s="825"/>
      <c r="C45" s="357">
        <v>0</v>
      </c>
      <c r="D45" s="357">
        <v>0</v>
      </c>
      <c r="E45" s="826">
        <f t="shared" si="8"/>
        <v>0</v>
      </c>
      <c r="F45" s="826"/>
      <c r="G45" s="47" t="s">
        <v>60</v>
      </c>
      <c r="H45" s="37">
        <v>252</v>
      </c>
      <c r="I45" s="130">
        <f>Consolidated!$H63</f>
        <v>3506</v>
      </c>
      <c r="J45" s="46">
        <f t="shared" si="9"/>
        <v>0</v>
      </c>
      <c r="M45" s="2"/>
      <c r="R45" s="885"/>
      <c r="S45" s="885"/>
      <c r="T45" s="867"/>
      <c r="U45" s="867"/>
      <c r="V45" s="176" t="s">
        <v>60</v>
      </c>
      <c r="W45" s="167">
        <v>252</v>
      </c>
      <c r="X45" s="128">
        <f>Consolidated!$H63</f>
        <v>3506</v>
      </c>
      <c r="Y45" s="218">
        <f t="shared" si="10"/>
        <v>0</v>
      </c>
    </row>
    <row r="46" spans="1:25" x14ac:dyDescent="0.25">
      <c r="A46" s="825"/>
      <c r="B46" s="825"/>
      <c r="C46" s="357">
        <v>0</v>
      </c>
      <c r="D46" s="357">
        <v>0</v>
      </c>
      <c r="E46" s="826">
        <f t="shared" si="8"/>
        <v>0</v>
      </c>
      <c r="F46" s="826"/>
      <c r="G46" s="47" t="s">
        <v>60</v>
      </c>
      <c r="H46" s="37">
        <v>253</v>
      </c>
      <c r="I46" s="130">
        <f>Consolidated!$H64</f>
        <v>7023</v>
      </c>
      <c r="J46" s="46">
        <f t="shared" si="9"/>
        <v>0</v>
      </c>
      <c r="M46" s="2"/>
      <c r="R46" s="885"/>
      <c r="S46" s="885"/>
      <c r="T46" s="867"/>
      <c r="U46" s="867"/>
      <c r="V46" s="176" t="s">
        <v>60</v>
      </c>
      <c r="W46" s="167">
        <v>253</v>
      </c>
      <c r="X46" s="128">
        <f>Consolidated!$H64</f>
        <v>7023</v>
      </c>
      <c r="Y46" s="218">
        <f t="shared" si="10"/>
        <v>0</v>
      </c>
    </row>
    <row r="47" spans="1:25" ht="16.5" customHeight="1" x14ac:dyDescent="0.25">
      <c r="A47" s="825"/>
      <c r="B47" s="825"/>
      <c r="C47" s="357">
        <v>7</v>
      </c>
      <c r="D47" s="357">
        <v>0</v>
      </c>
      <c r="E47" s="826">
        <f t="shared" si="8"/>
        <v>14</v>
      </c>
      <c r="F47" s="826"/>
      <c r="G47" s="47" t="s">
        <v>61</v>
      </c>
      <c r="H47" s="37">
        <v>251</v>
      </c>
      <c r="I47" s="130">
        <f>Consolidated!$H65</f>
        <v>835</v>
      </c>
      <c r="J47" s="46">
        <f t="shared" si="9"/>
        <v>11690</v>
      </c>
      <c r="M47" s="2"/>
      <c r="R47" s="885"/>
      <c r="S47" s="885"/>
      <c r="T47" s="867"/>
      <c r="U47" s="867"/>
      <c r="V47" s="176" t="s">
        <v>61</v>
      </c>
      <c r="W47" s="167">
        <v>251</v>
      </c>
      <c r="X47" s="128">
        <f>Consolidated!$H65</f>
        <v>835</v>
      </c>
      <c r="Y47" s="218">
        <f t="shared" si="10"/>
        <v>0</v>
      </c>
    </row>
    <row r="48" spans="1:25" ht="15.75" customHeight="1" x14ac:dyDescent="0.25">
      <c r="A48" s="825"/>
      <c r="B48" s="825"/>
      <c r="C48" s="357">
        <v>0</v>
      </c>
      <c r="D48" s="357">
        <v>0</v>
      </c>
      <c r="E48" s="826">
        <f t="shared" si="8"/>
        <v>0</v>
      </c>
      <c r="F48" s="826"/>
      <c r="G48" s="47" t="s">
        <v>61</v>
      </c>
      <c r="H48" s="37">
        <v>252</v>
      </c>
      <c r="I48" s="130">
        <f>Consolidated!$H66</f>
        <v>3168</v>
      </c>
      <c r="J48" s="46">
        <f t="shared" si="9"/>
        <v>0</v>
      </c>
      <c r="M48" s="2"/>
      <c r="R48" s="885"/>
      <c r="S48" s="885"/>
      <c r="T48" s="867"/>
      <c r="U48" s="867"/>
      <c r="V48" s="176" t="s">
        <v>61</v>
      </c>
      <c r="W48" s="167">
        <v>252</v>
      </c>
      <c r="X48" s="128">
        <f>Consolidated!$H66</f>
        <v>3168</v>
      </c>
      <c r="Y48" s="218">
        <f t="shared" si="10"/>
        <v>0</v>
      </c>
    </row>
    <row r="49" spans="1:25" ht="15.75" customHeight="1" thickBot="1" x14ac:dyDescent="0.3">
      <c r="A49" s="825"/>
      <c r="B49" s="825"/>
      <c r="C49" s="357">
        <v>0</v>
      </c>
      <c r="D49" s="357">
        <v>0</v>
      </c>
      <c r="E49" s="831">
        <f t="shared" si="8"/>
        <v>0</v>
      </c>
      <c r="F49" s="831"/>
      <c r="G49" s="47" t="s">
        <v>61</v>
      </c>
      <c r="H49" s="37">
        <v>253</v>
      </c>
      <c r="I49" s="130">
        <f>Consolidated!$H67</f>
        <v>6685</v>
      </c>
      <c r="J49" s="46">
        <f t="shared" si="9"/>
        <v>0</v>
      </c>
      <c r="M49" s="2"/>
      <c r="R49" s="885"/>
      <c r="S49" s="885"/>
      <c r="T49" s="868"/>
      <c r="U49" s="868"/>
      <c r="V49" s="176" t="s">
        <v>61</v>
      </c>
      <c r="W49" s="167">
        <v>253</v>
      </c>
      <c r="X49" s="128">
        <f>Consolidated!$H67</f>
        <v>6685</v>
      </c>
      <c r="Y49" s="218">
        <f t="shared" si="10"/>
        <v>0</v>
      </c>
    </row>
    <row r="50" spans="1:25" ht="15.75" customHeight="1" thickBot="1" x14ac:dyDescent="0.3">
      <c r="A50" s="818" t="s">
        <v>62</v>
      </c>
      <c r="B50" s="818"/>
      <c r="C50" s="524">
        <f>SUM(C41:C49)</f>
        <v>7</v>
      </c>
      <c r="D50" s="524">
        <f>SUM(D41:D49)</f>
        <v>0</v>
      </c>
      <c r="E50" s="832">
        <f>SUM(E41:E49)</f>
        <v>14</v>
      </c>
      <c r="F50" s="832"/>
      <c r="G50" s="818" t="s">
        <v>63</v>
      </c>
      <c r="H50" s="818"/>
      <c r="I50" s="818"/>
      <c r="J50" s="225">
        <f>SUM(J41:J49)</f>
        <v>11690</v>
      </c>
      <c r="M50" s="2"/>
      <c r="R50" s="833" t="s">
        <v>62</v>
      </c>
      <c r="S50" s="833"/>
      <c r="T50" s="869">
        <f>SUM(T42:T49)</f>
        <v>0</v>
      </c>
      <c r="U50" s="869"/>
      <c r="V50" s="833" t="s">
        <v>63</v>
      </c>
      <c r="W50" s="833"/>
      <c r="X50" s="833"/>
      <c r="Y50" s="219">
        <f>SUM(Y41:Y49)</f>
        <v>0</v>
      </c>
    </row>
    <row r="51" spans="1:25" ht="15.75" customHeight="1" x14ac:dyDescent="0.25">
      <c r="A51" s="33"/>
      <c r="B51" s="33"/>
      <c r="C51" s="33"/>
      <c r="D51" s="33"/>
      <c r="E51" s="34"/>
      <c r="F51" s="34"/>
      <c r="G51" s="33"/>
      <c r="H51" s="33"/>
      <c r="I51" s="33"/>
      <c r="J51" s="35"/>
      <c r="M51" s="2"/>
      <c r="R51" s="739" t="s">
        <v>64</v>
      </c>
      <c r="S51" s="739"/>
      <c r="T51" s="739"/>
      <c r="U51" s="739"/>
      <c r="V51" s="739"/>
      <c r="W51" s="739"/>
      <c r="X51" s="739"/>
      <c r="Y51" s="739"/>
    </row>
    <row r="52" spans="1:25" ht="29.25" customHeight="1" x14ac:dyDescent="0.25">
      <c r="A52" s="820" t="s">
        <v>64</v>
      </c>
      <c r="B52" s="820"/>
      <c r="C52" s="820"/>
      <c r="D52" s="820"/>
      <c r="E52" s="820"/>
      <c r="F52" s="820"/>
      <c r="G52" s="820"/>
      <c r="H52" s="820"/>
      <c r="I52" s="820"/>
      <c r="J52" s="820"/>
      <c r="M52" s="2"/>
      <c r="R52" s="861" t="s">
        <v>65</v>
      </c>
      <c r="S52" s="861"/>
      <c r="T52" s="177">
        <f>T28</f>
        <v>0</v>
      </c>
      <c r="U52" s="178" t="s">
        <v>66</v>
      </c>
      <c r="V52" s="179"/>
      <c r="W52" s="180" t="s">
        <v>67</v>
      </c>
      <c r="X52" s="863">
        <f>I53</f>
        <v>207782.75</v>
      </c>
      <c r="Y52" s="863"/>
    </row>
    <row r="53" spans="1:25" ht="16.5" customHeight="1" x14ac:dyDescent="0.25">
      <c r="A53" s="827" t="s">
        <v>65</v>
      </c>
      <c r="B53" s="827"/>
      <c r="C53" s="51"/>
      <c r="D53" s="51"/>
      <c r="E53" s="48">
        <f>E28</f>
        <v>122.12</v>
      </c>
      <c r="F53" s="49" t="s">
        <v>66</v>
      </c>
      <c r="G53" s="3"/>
      <c r="H53" s="50" t="s">
        <v>67</v>
      </c>
      <c r="I53" s="918">
        <f>Consolidated!H$71</f>
        <v>207782.75</v>
      </c>
      <c r="J53" s="918"/>
      <c r="M53" s="2"/>
      <c r="R53" s="181"/>
      <c r="S53" s="182"/>
      <c r="T53" s="164"/>
      <c r="U53" s="164"/>
      <c r="V53" s="164"/>
      <c r="W53" s="183" t="s">
        <v>68</v>
      </c>
      <c r="X53" s="864">
        <f>ROUND(T52/X52,6)</f>
        <v>0</v>
      </c>
      <c r="Y53" s="864"/>
    </row>
    <row r="54" spans="1:25" ht="22.5" customHeight="1" x14ac:dyDescent="0.25">
      <c r="A54" s="51"/>
      <c r="B54" s="52"/>
      <c r="C54" s="52"/>
      <c r="D54" s="52"/>
      <c r="H54" s="53" t="s">
        <v>68</v>
      </c>
      <c r="I54" s="828">
        <f>IFERROR(ROUND(E53/I53,6),0)</f>
        <v>5.8799999999999998E-4</v>
      </c>
      <c r="J54" s="828"/>
      <c r="M54" s="2"/>
      <c r="R54" s="739" t="s">
        <v>160</v>
      </c>
      <c r="S54" s="739"/>
      <c r="T54" s="739"/>
      <c r="U54" s="739"/>
      <c r="V54" s="739"/>
      <c r="W54" s="739"/>
      <c r="X54" s="739"/>
      <c r="Y54" s="739"/>
    </row>
    <row r="55" spans="1:25" ht="15" customHeight="1" x14ac:dyDescent="0.25">
      <c r="A55" s="820" t="s">
        <v>69</v>
      </c>
      <c r="B55" s="820"/>
      <c r="C55" s="820"/>
      <c r="D55" s="820"/>
      <c r="E55" s="820"/>
      <c r="F55" s="820"/>
      <c r="G55" s="820"/>
      <c r="H55" s="820"/>
      <c r="I55" s="820"/>
      <c r="J55" s="820"/>
      <c r="M55" s="2"/>
      <c r="R55" s="861" t="s">
        <v>70</v>
      </c>
      <c r="S55" s="861"/>
      <c r="T55" s="177">
        <f>X28</f>
        <v>0</v>
      </c>
      <c r="U55" s="178" t="s">
        <v>66</v>
      </c>
      <c r="V55" s="179"/>
      <c r="W55" s="180" t="s">
        <v>71</v>
      </c>
      <c r="X55" s="863">
        <f>I56</f>
        <v>221179.83999999997</v>
      </c>
      <c r="Y55" s="863"/>
    </row>
    <row r="56" spans="1:25" ht="16.5" customHeight="1" x14ac:dyDescent="0.25">
      <c r="A56" s="827" t="s">
        <v>70</v>
      </c>
      <c r="B56" s="827"/>
      <c r="C56" s="51"/>
      <c r="D56" s="51"/>
      <c r="E56" s="48">
        <f>G33</f>
        <v>122.48390000000001</v>
      </c>
      <c r="F56" s="49" t="s">
        <v>66</v>
      </c>
      <c r="G56" s="3"/>
      <c r="H56" s="50" t="s">
        <v>71</v>
      </c>
      <c r="I56" s="918">
        <f>Consolidated!H$74</f>
        <v>221179.83999999997</v>
      </c>
      <c r="J56" s="918"/>
      <c r="M56" s="2"/>
      <c r="R56" s="181"/>
      <c r="S56" s="164"/>
      <c r="T56" s="164"/>
      <c r="U56" s="164"/>
      <c r="V56" s="164"/>
      <c r="W56" s="183" t="s">
        <v>68</v>
      </c>
      <c r="X56" s="864">
        <f>ROUND(T55/X55,6)</f>
        <v>0</v>
      </c>
      <c r="Y56" s="864"/>
    </row>
    <row r="57" spans="1:25" ht="18.75" customHeight="1" x14ac:dyDescent="0.25">
      <c r="A57" s="51"/>
      <c r="H57" s="53" t="s">
        <v>68</v>
      </c>
      <c r="I57" s="828">
        <f>IFERROR(ROUND(E56/I56,6),0)</f>
        <v>5.5400000000000002E-4</v>
      </c>
      <c r="J57" s="828"/>
      <c r="M57" s="2"/>
      <c r="P57" s="42"/>
      <c r="Q57" s="54"/>
      <c r="R57" s="739" t="s">
        <v>72</v>
      </c>
      <c r="S57" s="739"/>
      <c r="T57" s="739"/>
      <c r="U57" s="739"/>
      <c r="V57" s="739"/>
      <c r="W57" s="739"/>
      <c r="X57" s="739"/>
      <c r="Y57" s="739"/>
    </row>
    <row r="58" spans="1:25" ht="18.75" customHeight="1" x14ac:dyDescent="0.25">
      <c r="A58" s="820" t="s">
        <v>72</v>
      </c>
      <c r="B58" s="820"/>
      <c r="C58" s="820"/>
      <c r="D58" s="820"/>
      <c r="E58" s="820"/>
      <c r="F58" s="820"/>
      <c r="G58" s="820"/>
      <c r="H58" s="820"/>
      <c r="I58" s="820"/>
      <c r="J58" s="820"/>
      <c r="M58" s="2"/>
      <c r="R58" s="861" t="s">
        <v>73</v>
      </c>
      <c r="S58" s="861"/>
      <c r="T58" s="177">
        <f>T28</f>
        <v>0</v>
      </c>
      <c r="U58" s="178" t="s">
        <v>66</v>
      </c>
      <c r="V58" s="862" t="s">
        <v>74</v>
      </c>
      <c r="W58" s="862"/>
      <c r="X58" s="863">
        <f>I59</f>
        <v>178931.75</v>
      </c>
      <c r="Y58" s="863"/>
    </row>
    <row r="59" spans="1:25" ht="18.75" customHeight="1" x14ac:dyDescent="0.25">
      <c r="A59" s="827" t="s">
        <v>73</v>
      </c>
      <c r="B59" s="827"/>
      <c r="C59" s="51"/>
      <c r="D59" s="51"/>
      <c r="E59" s="48">
        <f>E28</f>
        <v>122.12</v>
      </c>
      <c r="F59" s="49" t="s">
        <v>66</v>
      </c>
      <c r="G59" s="911" t="s">
        <v>74</v>
      </c>
      <c r="H59" s="911"/>
      <c r="I59" s="918">
        <f>Consolidated!H$77</f>
        <v>178931.75</v>
      </c>
      <c r="J59" s="918"/>
      <c r="M59" s="2"/>
      <c r="R59" s="181"/>
      <c r="S59" s="164"/>
      <c r="T59" s="164"/>
      <c r="U59" s="164"/>
      <c r="V59" s="164"/>
      <c r="W59" s="183" t="s">
        <v>68</v>
      </c>
      <c r="X59" s="864">
        <f>ROUND(T58/X58,6)</f>
        <v>0</v>
      </c>
      <c r="Y59" s="864"/>
    </row>
    <row r="60" spans="1:25" ht="18" customHeight="1" x14ac:dyDescent="0.25">
      <c r="A60" s="51"/>
      <c r="H60" s="53" t="s">
        <v>68</v>
      </c>
      <c r="I60" s="828">
        <f>IFERROR(ROUND(E59/I59,6),0)</f>
        <v>6.8199999999999999E-4</v>
      </c>
      <c r="J60" s="828"/>
      <c r="M60" s="2"/>
      <c r="R60" s="739" t="s">
        <v>75</v>
      </c>
      <c r="S60" s="739"/>
      <c r="T60" s="739"/>
      <c r="U60" s="739"/>
      <c r="V60" s="739"/>
      <c r="W60" s="739"/>
      <c r="X60" s="739"/>
      <c r="Y60" s="739"/>
    </row>
    <row r="61" spans="1:25" ht="19.5" customHeight="1" x14ac:dyDescent="0.25">
      <c r="A61" s="820" t="s">
        <v>75</v>
      </c>
      <c r="B61" s="820"/>
      <c r="C61" s="820"/>
      <c r="D61" s="820"/>
      <c r="E61" s="820"/>
      <c r="F61" s="820"/>
      <c r="G61" s="820"/>
      <c r="H61" s="820"/>
      <c r="I61" s="820"/>
      <c r="J61" s="820"/>
      <c r="M61" s="2"/>
      <c r="R61" s="861" t="s">
        <v>73</v>
      </c>
      <c r="S61" s="861"/>
      <c r="T61" s="177">
        <f>T28</f>
        <v>0</v>
      </c>
      <c r="U61" s="178" t="s">
        <v>66</v>
      </c>
      <c r="V61" s="862" t="s">
        <v>76</v>
      </c>
      <c r="W61" s="862"/>
      <c r="X61" s="863">
        <f>I62</f>
        <v>207463.82</v>
      </c>
      <c r="Y61" s="863"/>
    </row>
    <row r="62" spans="1:25" ht="30.75" customHeight="1" x14ac:dyDescent="0.25">
      <c r="A62" s="827" t="s">
        <v>73</v>
      </c>
      <c r="B62" s="827"/>
      <c r="C62" s="51"/>
      <c r="D62" s="51"/>
      <c r="E62" s="48">
        <f>E28</f>
        <v>122.12</v>
      </c>
      <c r="F62" s="49" t="s">
        <v>66</v>
      </c>
      <c r="G62" s="911" t="s">
        <v>76</v>
      </c>
      <c r="H62" s="911"/>
      <c r="I62" s="918">
        <f>Consolidated!H$80</f>
        <v>207463.82</v>
      </c>
      <c r="J62" s="918"/>
      <c r="M62" s="2"/>
      <c r="R62" s="181"/>
      <c r="S62" s="164"/>
      <c r="T62" s="164"/>
      <c r="U62" s="164"/>
      <c r="V62" s="164"/>
      <c r="W62" s="183" t="s">
        <v>68</v>
      </c>
      <c r="X62" s="864">
        <f>ROUND(T61/X61,6)</f>
        <v>0</v>
      </c>
      <c r="Y62" s="864"/>
    </row>
    <row r="63" spans="1:25" ht="19.5" customHeight="1" x14ac:dyDescent="0.25">
      <c r="A63" s="51"/>
      <c r="H63" s="53" t="s">
        <v>68</v>
      </c>
      <c r="I63" s="828">
        <f>IFERROR(ROUND(E62/I62,6),0)</f>
        <v>5.8900000000000001E-4</v>
      </c>
      <c r="J63" s="828"/>
      <c r="L63" s="55"/>
      <c r="M63" s="56"/>
      <c r="O63" s="57"/>
      <c r="P63" s="58"/>
      <c r="R63" s="739" t="s">
        <v>77</v>
      </c>
      <c r="S63" s="739"/>
      <c r="T63" s="739"/>
      <c r="U63" s="739"/>
      <c r="V63" s="739"/>
      <c r="W63" s="739"/>
      <c r="X63" s="739"/>
      <c r="Y63" s="739"/>
    </row>
    <row r="64" spans="1:25" ht="15" customHeight="1" x14ac:dyDescent="0.25">
      <c r="A64" s="820" t="s">
        <v>77</v>
      </c>
      <c r="B64" s="820"/>
      <c r="C64" s="820"/>
      <c r="D64" s="820"/>
      <c r="E64" s="820"/>
      <c r="F64" s="820"/>
      <c r="G64" s="820"/>
      <c r="H64" s="820"/>
      <c r="I64" s="820"/>
      <c r="J64" s="820"/>
      <c r="M64" s="2"/>
      <c r="R64" s="861" t="s">
        <v>73</v>
      </c>
      <c r="S64" s="861"/>
      <c r="T64" s="177">
        <f>T28</f>
        <v>0</v>
      </c>
      <c r="U64" s="178" t="s">
        <v>66</v>
      </c>
      <c r="V64" s="862" t="s">
        <v>161</v>
      </c>
      <c r="W64" s="862"/>
      <c r="X64" s="863">
        <f>I65</f>
        <v>178612.82</v>
      </c>
      <c r="Y64" s="863"/>
    </row>
    <row r="65" spans="1:26" ht="49.5" customHeight="1" x14ac:dyDescent="0.25">
      <c r="A65" s="827" t="s">
        <v>73</v>
      </c>
      <c r="B65" s="827"/>
      <c r="C65" s="51"/>
      <c r="D65" s="51"/>
      <c r="E65" s="48">
        <f>E28</f>
        <v>122.12</v>
      </c>
      <c r="F65" s="49" t="s">
        <v>66</v>
      </c>
      <c r="G65" s="911" t="s">
        <v>78</v>
      </c>
      <c r="H65" s="911"/>
      <c r="I65" s="918">
        <f>Consolidated!H$83</f>
        <v>178612.82</v>
      </c>
      <c r="J65" s="918"/>
      <c r="M65" s="2"/>
      <c r="R65" s="184"/>
      <c r="S65" s="164"/>
      <c r="T65" s="164"/>
      <c r="U65" s="164"/>
      <c r="V65" s="164"/>
      <c r="W65" s="183" t="s">
        <v>68</v>
      </c>
      <c r="X65" s="864">
        <f>ROUND(T64/X64,6)</f>
        <v>0</v>
      </c>
      <c r="Y65" s="864"/>
    </row>
    <row r="66" spans="1:26" ht="19.5" customHeight="1" x14ac:dyDescent="0.25">
      <c r="A66" s="51"/>
      <c r="H66" s="53" t="s">
        <v>68</v>
      </c>
      <c r="I66" s="828">
        <f>IFERROR(ROUND(E65/I65,6),0)</f>
        <v>6.8400000000000004E-4</v>
      </c>
      <c r="J66" s="828"/>
      <c r="M66" s="2"/>
      <c r="R66" s="181"/>
      <c r="S66" s="173"/>
      <c r="T66" s="173"/>
      <c r="U66" s="173"/>
      <c r="V66" s="173"/>
      <c r="W66" s="185"/>
      <c r="X66" s="186"/>
      <c r="Y66" s="186"/>
    </row>
    <row r="67" spans="1:26" ht="21" customHeight="1" x14ac:dyDescent="0.25">
      <c r="A67" s="59"/>
      <c r="B67" s="44"/>
      <c r="C67" s="44"/>
      <c r="D67" s="44"/>
      <c r="E67" s="44"/>
      <c r="F67" s="44"/>
      <c r="G67" s="44"/>
      <c r="H67" s="60"/>
      <c r="I67" s="61"/>
      <c r="J67" s="61"/>
      <c r="M67" s="2"/>
      <c r="R67" s="739" t="s">
        <v>79</v>
      </c>
      <c r="S67" s="739"/>
      <c r="T67" s="739"/>
      <c r="U67" s="163"/>
      <c r="V67" s="187">
        <f>G68</f>
        <v>45629593</v>
      </c>
      <c r="W67" s="167" t="s">
        <v>81</v>
      </c>
      <c r="X67" s="170">
        <f>X62</f>
        <v>0</v>
      </c>
      <c r="Y67" s="220">
        <f>ROUND(V67*X67,2)</f>
        <v>0</v>
      </c>
    </row>
    <row r="68" spans="1:26" ht="30.75" customHeight="1" x14ac:dyDescent="0.25">
      <c r="A68" s="836" t="s">
        <v>79</v>
      </c>
      <c r="B68" s="836"/>
      <c r="C68" s="836"/>
      <c r="D68" s="836"/>
      <c r="E68" s="836"/>
      <c r="F68" s="36" t="s">
        <v>80</v>
      </c>
      <c r="G68" s="226">
        <f>Consolidated!F$86</f>
        <v>45629593</v>
      </c>
      <c r="H68" s="37" t="s">
        <v>81</v>
      </c>
      <c r="I68" s="41">
        <f>I63</f>
        <v>5.8900000000000001E-4</v>
      </c>
      <c r="J68" s="132">
        <f>ROUND(G68*I68,2)</f>
        <v>26875.83</v>
      </c>
      <c r="M68" s="2"/>
      <c r="R68" s="865" t="s">
        <v>82</v>
      </c>
      <c r="S68" s="865"/>
      <c r="T68" s="171"/>
      <c r="U68" s="163"/>
      <c r="V68" s="188"/>
      <c r="W68" s="167"/>
      <c r="X68" s="170"/>
      <c r="Y68" s="220"/>
    </row>
    <row r="69" spans="1:26" ht="30.75" customHeight="1" x14ac:dyDescent="0.25">
      <c r="A69" s="819" t="s">
        <v>82</v>
      </c>
      <c r="B69" s="819"/>
      <c r="C69" s="104"/>
      <c r="D69" s="104"/>
      <c r="E69" s="42"/>
      <c r="F69" s="36"/>
      <c r="G69" s="63"/>
      <c r="H69" s="37"/>
      <c r="I69" s="41"/>
      <c r="J69" s="62"/>
      <c r="M69" s="2"/>
      <c r="R69" s="866" t="s">
        <v>162</v>
      </c>
      <c r="S69" s="861"/>
      <c r="T69" s="861"/>
      <c r="U69" s="163"/>
      <c r="V69" s="189">
        <f>G70</f>
        <v>0</v>
      </c>
      <c r="W69" s="167" t="s">
        <v>81</v>
      </c>
      <c r="X69" s="170">
        <f>X53</f>
        <v>0</v>
      </c>
      <c r="Y69" s="217">
        <f t="shared" ref="Y69:Y71" si="11">ROUND(V69*X69,2)</f>
        <v>0</v>
      </c>
    </row>
    <row r="70" spans="1:26" ht="17.25" customHeight="1" x14ac:dyDescent="0.25">
      <c r="A70" s="839" t="s">
        <v>83</v>
      </c>
      <c r="B70" s="839"/>
      <c r="C70" s="839"/>
      <c r="D70" s="839"/>
      <c r="E70" s="839"/>
      <c r="F70" s="36" t="s">
        <v>84</v>
      </c>
      <c r="G70" s="226">
        <f>Consolidated!F$89</f>
        <v>0</v>
      </c>
      <c r="H70" s="37" t="s">
        <v>81</v>
      </c>
      <c r="I70" s="41">
        <f>I54</f>
        <v>5.8799999999999998E-4</v>
      </c>
      <c r="J70" s="132">
        <f>ROUND(G70*I70,2)</f>
        <v>0</v>
      </c>
      <c r="M70" s="2"/>
      <c r="R70" s="739" t="s">
        <v>163</v>
      </c>
      <c r="S70" s="739"/>
      <c r="T70" s="739"/>
      <c r="U70" s="163"/>
      <c r="V70" s="187">
        <f>G71</f>
        <v>18934058</v>
      </c>
      <c r="W70" s="167" t="s">
        <v>81</v>
      </c>
      <c r="X70" s="170">
        <f>X65</f>
        <v>0</v>
      </c>
      <c r="Y70" s="217">
        <f t="shared" si="11"/>
        <v>0</v>
      </c>
    </row>
    <row r="71" spans="1:26" ht="19.5" customHeight="1" x14ac:dyDescent="0.25">
      <c r="A71" s="820" t="s">
        <v>85</v>
      </c>
      <c r="B71" s="820"/>
      <c r="C71" s="820"/>
      <c r="D71" s="820"/>
      <c r="E71" s="820"/>
      <c r="F71" s="36" t="s">
        <v>86</v>
      </c>
      <c r="G71" s="226">
        <f>Consolidated!F$91</f>
        <v>18934058</v>
      </c>
      <c r="H71" s="37" t="s">
        <v>81</v>
      </c>
      <c r="I71" s="41">
        <f>I66</f>
        <v>6.8400000000000004E-4</v>
      </c>
      <c r="J71" s="132">
        <f>ROUND(G71*I71,2)</f>
        <v>12950.9</v>
      </c>
      <c r="M71" s="2"/>
      <c r="R71" s="171" t="s">
        <v>164</v>
      </c>
      <c r="S71" s="171"/>
      <c r="T71" s="171"/>
      <c r="U71" s="163"/>
      <c r="V71" s="165">
        <f>G72</f>
        <v>11300012</v>
      </c>
      <c r="W71" s="167" t="s">
        <v>81</v>
      </c>
      <c r="X71" s="170">
        <f>X59</f>
        <v>0</v>
      </c>
      <c r="Y71" s="217">
        <f t="shared" si="11"/>
        <v>0</v>
      </c>
    </row>
    <row r="72" spans="1:26" ht="19.5" customHeight="1" x14ac:dyDescent="0.25">
      <c r="A72" s="42" t="s">
        <v>87</v>
      </c>
      <c r="B72" s="42"/>
      <c r="C72" s="42"/>
      <c r="D72" s="42"/>
      <c r="E72" s="42"/>
      <c r="F72" s="36" t="s">
        <v>88</v>
      </c>
      <c r="G72" s="226">
        <f>Consolidated!F$93</f>
        <v>11300012</v>
      </c>
      <c r="H72" s="37" t="s">
        <v>81</v>
      </c>
      <c r="I72" s="41">
        <f>I60</f>
        <v>6.8199999999999999E-4</v>
      </c>
      <c r="J72" s="132">
        <f>ROUND(G72*I72,2)</f>
        <v>7706.61</v>
      </c>
      <c r="M72" s="2"/>
      <c r="R72" s="171" t="s">
        <v>165</v>
      </c>
      <c r="S72" s="171"/>
      <c r="T72" s="171"/>
      <c r="U72" s="163"/>
      <c r="V72" s="190"/>
      <c r="W72" s="167"/>
      <c r="X72" s="170"/>
      <c r="Y72" s="172"/>
    </row>
    <row r="73" spans="1:26" ht="24.75" customHeight="1" x14ac:dyDescent="0.25">
      <c r="A73" s="42" t="s">
        <v>89</v>
      </c>
      <c r="B73" s="42"/>
      <c r="C73" s="42"/>
      <c r="D73" s="42"/>
      <c r="E73" s="42"/>
      <c r="F73" s="36" t="s">
        <v>90</v>
      </c>
      <c r="G73" s="64"/>
      <c r="H73" s="37"/>
      <c r="I73" s="41"/>
      <c r="J73" s="30"/>
      <c r="M73" s="2"/>
      <c r="R73" s="749" t="s">
        <v>91</v>
      </c>
      <c r="S73" s="749"/>
      <c r="T73" s="750" t="s">
        <v>166</v>
      </c>
      <c r="U73" s="751"/>
      <c r="V73" s="751"/>
      <c r="W73" s="751"/>
      <c r="X73" s="751"/>
      <c r="Y73" s="147"/>
    </row>
    <row r="74" spans="1:26" ht="63" customHeight="1" x14ac:dyDescent="0.25">
      <c r="A74" s="752" t="s">
        <v>91</v>
      </c>
      <c r="B74" s="752"/>
      <c r="C74" s="100"/>
      <c r="D74" s="100"/>
      <c r="E74" s="753" t="s">
        <v>92</v>
      </c>
      <c r="F74" s="754"/>
      <c r="G74" s="754"/>
      <c r="H74" s="754"/>
      <c r="I74" s="754"/>
      <c r="J74" s="18"/>
      <c r="M74" s="2"/>
      <c r="R74" s="742" t="s">
        <v>93</v>
      </c>
      <c r="S74" s="742"/>
      <c r="T74" s="191"/>
      <c r="U74" s="191"/>
      <c r="V74" s="191"/>
      <c r="W74" s="191"/>
      <c r="X74" s="191"/>
      <c r="Y74" s="191"/>
    </row>
    <row r="75" spans="1:26" ht="22.5" customHeight="1" x14ac:dyDescent="0.25">
      <c r="A75" s="743" t="s">
        <v>93</v>
      </c>
      <c r="B75" s="743"/>
      <c r="C75" s="69"/>
      <c r="D75" s="69"/>
      <c r="E75" s="65"/>
      <c r="F75" s="65"/>
      <c r="G75" s="65"/>
      <c r="H75" s="65"/>
      <c r="I75" s="65"/>
      <c r="J75" s="123"/>
      <c r="L75" s="66"/>
      <c r="M75" s="2"/>
      <c r="O75" s="36"/>
      <c r="P75" s="36"/>
      <c r="R75" s="742" t="s">
        <v>94</v>
      </c>
      <c r="S75" s="742"/>
      <c r="T75" s="191"/>
      <c r="U75" s="191"/>
      <c r="V75" s="191"/>
      <c r="W75" s="191"/>
      <c r="X75" s="191"/>
      <c r="Y75" s="191"/>
    </row>
    <row r="76" spans="1:26" ht="18.75" customHeight="1" x14ac:dyDescent="0.25">
      <c r="A76" s="743" t="s">
        <v>94</v>
      </c>
      <c r="B76" s="743"/>
      <c r="C76" s="69"/>
      <c r="D76" s="69"/>
      <c r="E76" s="65"/>
      <c r="F76" s="65"/>
      <c r="G76" s="65"/>
      <c r="H76" s="65"/>
      <c r="I76" s="65"/>
      <c r="J76" s="123"/>
      <c r="L76" s="67"/>
      <c r="M76" s="2"/>
      <c r="O76" s="36"/>
      <c r="P76" s="36"/>
      <c r="R76" s="740" t="s">
        <v>95</v>
      </c>
      <c r="S76" s="740"/>
      <c r="T76" s="192"/>
      <c r="U76" s="192"/>
      <c r="V76" s="192"/>
      <c r="W76" s="192"/>
      <c r="X76" s="192"/>
      <c r="Y76" s="191"/>
    </row>
    <row r="77" spans="1:26" ht="18.75" customHeight="1" x14ac:dyDescent="0.25">
      <c r="A77" s="741" t="s">
        <v>95</v>
      </c>
      <c r="B77" s="741"/>
      <c r="C77" s="105"/>
      <c r="D77" s="105"/>
      <c r="E77" s="68"/>
      <c r="F77" s="68"/>
      <c r="G77" s="68"/>
      <c r="H77" s="68"/>
      <c r="I77" s="68"/>
      <c r="J77" s="122">
        <v>1.92</v>
      </c>
      <c r="L77" s="67"/>
      <c r="M77" s="2"/>
      <c r="O77" s="36"/>
      <c r="P77" s="36"/>
      <c r="R77" s="193" t="s">
        <v>96</v>
      </c>
      <c r="S77" s="193"/>
      <c r="T77" s="191"/>
      <c r="U77" s="191"/>
      <c r="V77" s="191"/>
      <c r="W77" s="191"/>
      <c r="X77" s="191"/>
      <c r="Y77" s="191"/>
    </row>
    <row r="78" spans="1:26" ht="20.25" customHeight="1" x14ac:dyDescent="0.25">
      <c r="A78" s="69" t="s">
        <v>96</v>
      </c>
      <c r="B78" s="69"/>
      <c r="C78" s="69"/>
      <c r="D78" s="69"/>
      <c r="E78" s="65"/>
      <c r="F78" s="65"/>
      <c r="G78" s="65"/>
      <c r="H78" s="65"/>
      <c r="I78" s="65"/>
      <c r="J78" s="123"/>
      <c r="K78" s="70"/>
      <c r="L78" s="70"/>
      <c r="M78" s="71"/>
      <c r="N78" s="70"/>
      <c r="O78" s="70"/>
      <c r="P78" s="70"/>
      <c r="Q78" s="70"/>
      <c r="R78" s="742" t="s">
        <v>97</v>
      </c>
      <c r="S78" s="742"/>
      <c r="T78" s="191"/>
      <c r="U78" s="191"/>
      <c r="V78" s="191"/>
      <c r="W78" s="191"/>
      <c r="X78" s="191"/>
      <c r="Y78" s="191"/>
      <c r="Z78" s="72"/>
    </row>
    <row r="79" spans="1:26" ht="18.75" customHeight="1" x14ac:dyDescent="0.25">
      <c r="A79" s="743" t="s">
        <v>97</v>
      </c>
      <c r="B79" s="743"/>
      <c r="C79" s="69"/>
      <c r="D79" s="69"/>
      <c r="E79" s="65"/>
      <c r="F79" s="65"/>
      <c r="G79" s="65"/>
      <c r="H79" s="65"/>
      <c r="I79" s="65"/>
      <c r="J79" s="123"/>
      <c r="K79" s="70"/>
      <c r="L79" s="70"/>
      <c r="M79" s="71"/>
      <c r="N79" s="70"/>
      <c r="O79" s="70"/>
      <c r="P79" s="70"/>
      <c r="Q79" s="70"/>
      <c r="R79" s="744" t="s">
        <v>98</v>
      </c>
      <c r="S79" s="744"/>
      <c r="T79" s="194"/>
      <c r="U79" s="194"/>
      <c r="V79" s="194"/>
      <c r="W79" s="194"/>
      <c r="X79" s="194"/>
      <c r="Y79" s="191"/>
      <c r="Z79" s="72"/>
    </row>
    <row r="80" spans="1:26" ht="17.25" customHeight="1" x14ac:dyDescent="0.25">
      <c r="A80" s="745" t="s">
        <v>98</v>
      </c>
      <c r="B80" s="745"/>
      <c r="C80" s="103"/>
      <c r="D80" s="103"/>
      <c r="E80" s="73"/>
      <c r="F80" s="73"/>
      <c r="G80" s="73"/>
      <c r="H80" s="73"/>
      <c r="I80" s="73"/>
      <c r="J80" s="123">
        <v>0</v>
      </c>
      <c r="K80" s="70"/>
      <c r="L80" s="70"/>
      <c r="M80" s="71"/>
      <c r="N80" s="70"/>
      <c r="O80" s="70"/>
      <c r="P80" s="70"/>
      <c r="Q80" s="70"/>
      <c r="R80" s="160"/>
      <c r="S80" s="160"/>
      <c r="T80" s="160"/>
      <c r="U80" s="160"/>
      <c r="V80" s="158"/>
      <c r="W80" s="161"/>
      <c r="X80" s="161" t="s">
        <v>99</v>
      </c>
      <c r="Y80" s="195">
        <f>SUM(Y74:Y79)</f>
        <v>0</v>
      </c>
      <c r="Z80" s="72"/>
    </row>
    <row r="81" spans="1:26" ht="17.25" customHeight="1" x14ac:dyDescent="0.25">
      <c r="A81" s="33"/>
      <c r="B81" s="33"/>
      <c r="C81" s="33"/>
      <c r="D81" s="33"/>
      <c r="E81" s="33"/>
      <c r="F81" s="33"/>
      <c r="G81" s="31"/>
      <c r="H81" s="34"/>
      <c r="I81" s="34" t="s">
        <v>99</v>
      </c>
      <c r="J81" s="74">
        <f>SUM(J75:J80)</f>
        <v>1.92</v>
      </c>
      <c r="K81" s="70"/>
      <c r="L81" s="70"/>
      <c r="M81" s="71"/>
      <c r="N81" s="70"/>
      <c r="O81" s="70"/>
      <c r="P81" s="70"/>
      <c r="Q81" s="70"/>
      <c r="R81" s="160"/>
      <c r="S81" s="160"/>
      <c r="T81" s="160"/>
      <c r="U81" s="160"/>
      <c r="V81" s="158"/>
      <c r="W81" s="161"/>
      <c r="X81" s="161" t="s">
        <v>100</v>
      </c>
      <c r="Y81" s="195">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25">
      <c r="A83" s="33"/>
      <c r="B83" s="33"/>
      <c r="C83" s="33"/>
      <c r="D83" s="33"/>
      <c r="E83" s="33"/>
      <c r="F83" s="33"/>
      <c r="G83" s="31"/>
      <c r="H83" s="34"/>
      <c r="I83" s="34"/>
      <c r="J83" s="75"/>
      <c r="K83" s="70"/>
      <c r="L83" s="70"/>
      <c r="M83" s="71"/>
      <c r="N83" s="70"/>
      <c r="O83" s="70"/>
      <c r="P83" s="70"/>
      <c r="Q83" s="70"/>
      <c r="R83" s="737" t="s">
        <v>101</v>
      </c>
      <c r="S83" s="737"/>
      <c r="T83" s="164"/>
      <c r="U83" s="164"/>
      <c r="V83" s="165">
        <f>G84</f>
        <v>58502790</v>
      </c>
      <c r="W83" s="167" t="s">
        <v>81</v>
      </c>
      <c r="X83" s="170">
        <f>IFERROR(ROUND(Y80/Y81,6),0)</f>
        <v>0</v>
      </c>
      <c r="Y83" s="217">
        <f>ROUND(V83*X83,2)</f>
        <v>0</v>
      </c>
      <c r="Z83" s="72"/>
    </row>
    <row r="84" spans="1:26" ht="21" customHeight="1" x14ac:dyDescent="0.25">
      <c r="A84" s="738" t="s">
        <v>101</v>
      </c>
      <c r="B84" s="738"/>
      <c r="C84" s="52"/>
      <c r="D84" s="52"/>
      <c r="G84" s="116">
        <f>Consolidated!F$106</f>
        <v>58502790</v>
      </c>
      <c r="H84" s="37" t="s">
        <v>81</v>
      </c>
      <c r="I84" s="41">
        <f>IFERROR(ROUND(J81/J82,6),0)</f>
        <v>1.4899999999999999E-4</v>
      </c>
      <c r="J84" s="62">
        <f>ROUND(G84*I84,2)</f>
        <v>8716.92</v>
      </c>
      <c r="K84" s="70"/>
      <c r="L84" s="70"/>
      <c r="M84" s="71"/>
      <c r="N84" s="70"/>
      <c r="O84" s="70"/>
      <c r="P84" s="70"/>
      <c r="Q84" s="70"/>
      <c r="R84" s="739" t="s">
        <v>167</v>
      </c>
      <c r="S84" s="739"/>
      <c r="T84" s="739"/>
      <c r="U84" s="163"/>
      <c r="V84" s="223"/>
      <c r="W84" s="167"/>
      <c r="X84" s="170"/>
      <c r="Y84" s="217"/>
    </row>
    <row r="85" spans="1:26" ht="17.25" customHeight="1" x14ac:dyDescent="0.25">
      <c r="A85" s="820" t="s">
        <v>102</v>
      </c>
      <c r="B85" s="820"/>
      <c r="C85" s="820"/>
      <c r="D85" s="820"/>
      <c r="E85" s="820"/>
      <c r="F85" s="36" t="s">
        <v>103</v>
      </c>
      <c r="G85" s="116">
        <f>Consolidated!F$108</f>
        <v>268816278</v>
      </c>
      <c r="H85" s="37" t="s">
        <v>81</v>
      </c>
      <c r="I85" s="41">
        <f>I57</f>
        <v>5.5400000000000002E-4</v>
      </c>
      <c r="J85" s="132">
        <f>ROUND(G85*I85,2)</f>
        <v>148924.22</v>
      </c>
      <c r="K85" s="70"/>
      <c r="L85" s="70"/>
      <c r="M85" s="71"/>
      <c r="N85" s="70"/>
      <c r="O85" s="70"/>
      <c r="P85" s="70"/>
      <c r="Q85" s="70"/>
      <c r="R85" s="739" t="s">
        <v>168</v>
      </c>
      <c r="S85" s="739"/>
      <c r="T85" s="739"/>
      <c r="U85" s="163"/>
      <c r="V85" s="165">
        <f>G85</f>
        <v>268816278</v>
      </c>
      <c r="W85" s="167" t="s">
        <v>81</v>
      </c>
      <c r="X85" s="170">
        <f>X56</f>
        <v>0</v>
      </c>
      <c r="Y85" s="217">
        <f t="shared" ref="Y85:Y87" si="12">ROUND(V85*X85,2)</f>
        <v>0</v>
      </c>
    </row>
    <row r="86" spans="1:26" ht="14.25" customHeight="1" x14ac:dyDescent="0.25">
      <c r="A86" s="820" t="s">
        <v>104</v>
      </c>
      <c r="B86" s="820"/>
      <c r="C86" s="820"/>
      <c r="D86" s="820"/>
      <c r="E86" s="820"/>
      <c r="F86" s="36" t="s">
        <v>103</v>
      </c>
      <c r="G86" s="133">
        <v>0</v>
      </c>
      <c r="H86" s="37" t="s">
        <v>81</v>
      </c>
      <c r="I86" s="41">
        <f>I57</f>
        <v>5.5400000000000002E-4</v>
      </c>
      <c r="J86" s="132">
        <f>ROUND(G86*I86,2)</f>
        <v>0</v>
      </c>
      <c r="K86" s="70"/>
      <c r="L86" s="71"/>
      <c r="M86" s="76"/>
      <c r="N86" s="76"/>
      <c r="O86" s="76"/>
      <c r="P86" s="76"/>
      <c r="Q86" s="70"/>
      <c r="R86" s="739" t="s">
        <v>169</v>
      </c>
      <c r="S86" s="739"/>
      <c r="T86" s="739"/>
      <c r="U86" s="163"/>
      <c r="V86" s="197">
        <f>G86</f>
        <v>0</v>
      </c>
      <c r="W86" s="167" t="s">
        <v>81</v>
      </c>
      <c r="X86" s="170">
        <f>X56</f>
        <v>0</v>
      </c>
      <c r="Y86" s="217">
        <f t="shared" si="12"/>
        <v>0</v>
      </c>
    </row>
    <row r="87" spans="1:26" ht="18" customHeight="1" x14ac:dyDescent="0.25">
      <c r="A87" s="820" t="s">
        <v>105</v>
      </c>
      <c r="B87" s="820"/>
      <c r="C87" s="820"/>
      <c r="D87" s="820"/>
      <c r="E87" s="820"/>
      <c r="F87" s="36" t="s">
        <v>84</v>
      </c>
      <c r="G87" s="133">
        <v>0</v>
      </c>
      <c r="H87" s="37" t="s">
        <v>81</v>
      </c>
      <c r="I87" s="41">
        <f>I54</f>
        <v>5.8799999999999998E-4</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25">
      <c r="A88" s="820" t="s">
        <v>106</v>
      </c>
      <c r="B88" s="820"/>
      <c r="C88" s="820"/>
      <c r="D88" s="820"/>
      <c r="E88" s="820"/>
      <c r="F88" s="820"/>
      <c r="G88" s="820"/>
      <c r="H88" s="820"/>
      <c r="I88" s="820"/>
      <c r="J88" s="820"/>
      <c r="K88" s="70"/>
      <c r="L88" s="70"/>
      <c r="M88" s="71"/>
      <c r="N88" s="70"/>
      <c r="O88" s="70"/>
      <c r="P88" s="70"/>
      <c r="Q88" s="70"/>
      <c r="R88" s="739" t="s">
        <v>171</v>
      </c>
      <c r="S88" s="739"/>
      <c r="T88" s="739"/>
      <c r="U88" s="739"/>
      <c r="V88" s="739"/>
      <c r="W88" s="739"/>
      <c r="X88" s="739"/>
      <c r="Y88" s="739"/>
    </row>
    <row r="89" spans="1:26" ht="15.75" customHeight="1" x14ac:dyDescent="0.25">
      <c r="A89" s="78"/>
      <c r="B89" s="79" t="s">
        <v>107</v>
      </c>
      <c r="C89" s="79"/>
      <c r="D89" s="821" t="s">
        <v>108</v>
      </c>
      <c r="E89" s="821"/>
      <c r="F89" s="821"/>
      <c r="G89" s="912" t="s">
        <v>109</v>
      </c>
      <c r="H89" s="912"/>
      <c r="I89" s="912"/>
      <c r="J89" s="912"/>
      <c r="K89" s="70"/>
      <c r="L89" s="70"/>
      <c r="M89" s="71"/>
      <c r="N89" s="70"/>
      <c r="O89" s="70"/>
      <c r="P89" s="70"/>
      <c r="Q89" s="70"/>
      <c r="R89" s="858" t="s">
        <v>107</v>
      </c>
      <c r="S89" s="858"/>
      <c r="T89" s="834" t="s">
        <v>172</v>
      </c>
      <c r="U89" s="859"/>
      <c r="V89" s="860" t="s">
        <v>109</v>
      </c>
      <c r="W89" s="860"/>
      <c r="X89" s="860"/>
      <c r="Y89" s="860"/>
    </row>
    <row r="90" spans="1:26" ht="18.75" customHeight="1" x14ac:dyDescent="0.25">
      <c r="A90" s="33" t="s">
        <v>110</v>
      </c>
      <c r="B90" s="80">
        <f>I12+I13+I18+I21+I24</f>
        <v>0</v>
      </c>
      <c r="C90" s="80"/>
      <c r="D90" s="894">
        <f>I6</f>
        <v>1.0355000000000001</v>
      </c>
      <c r="E90" s="894"/>
      <c r="F90" s="894"/>
      <c r="G90" s="117">
        <f>Consolidated!F$118</f>
        <v>958.42</v>
      </c>
      <c r="H90" s="47" t="s">
        <v>68</v>
      </c>
      <c r="I90" s="135">
        <f>ROUND(B90*D90*G90,2)</f>
        <v>0</v>
      </c>
      <c r="J90" s="81"/>
      <c r="K90" s="70"/>
      <c r="L90" s="70"/>
      <c r="M90" s="71"/>
      <c r="N90" s="70"/>
      <c r="O90" s="70"/>
      <c r="P90" s="70"/>
      <c r="Q90" s="70"/>
      <c r="R90" s="160" t="s">
        <v>110</v>
      </c>
      <c r="S90" s="198">
        <f>X12+X13+X18+X21+X24</f>
        <v>0</v>
      </c>
      <c r="T90" s="849">
        <f>X6</f>
        <v>1.0355000000000001</v>
      </c>
      <c r="U90" s="849"/>
      <c r="V90" s="117">
        <f>G90</f>
        <v>958.42</v>
      </c>
      <c r="W90" s="176" t="s">
        <v>68</v>
      </c>
      <c r="X90" s="221">
        <f>ROUND(S90*T90*V90,2)</f>
        <v>0</v>
      </c>
      <c r="Y90" s="199"/>
    </row>
    <row r="91" spans="1:26" ht="21" customHeight="1" x14ac:dyDescent="0.25">
      <c r="A91" s="82" t="s">
        <v>60</v>
      </c>
      <c r="B91" s="80">
        <f>I14+I15+I19+I22+I25</f>
        <v>0</v>
      </c>
      <c r="C91" s="80"/>
      <c r="D91" s="894">
        <f>I6</f>
        <v>1.0355000000000001</v>
      </c>
      <c r="E91" s="894"/>
      <c r="F91" s="894"/>
      <c r="G91" s="117">
        <f>Consolidated!F$119</f>
        <v>915.09</v>
      </c>
      <c r="H91" s="47" t="s">
        <v>68</v>
      </c>
      <c r="I91" s="134">
        <f>ROUND(B91*D91*G91,2)</f>
        <v>0</v>
      </c>
      <c r="K91" s="70"/>
      <c r="L91" s="70"/>
      <c r="M91" s="71"/>
      <c r="N91" s="70"/>
      <c r="O91" s="70"/>
      <c r="P91" s="70"/>
      <c r="Q91" s="70"/>
      <c r="R91" s="200" t="s">
        <v>60</v>
      </c>
      <c r="S91" s="198">
        <f>X14+X15+X19+X22+X25</f>
        <v>0</v>
      </c>
      <c r="T91" s="849">
        <f>X6</f>
        <v>1.0355000000000001</v>
      </c>
      <c r="U91" s="849"/>
      <c r="V91" s="117">
        <f>G91</f>
        <v>915.09</v>
      </c>
      <c r="W91" s="176" t="s">
        <v>68</v>
      </c>
      <c r="X91" s="221">
        <f>ROUND(S91*T91*V91,2)</f>
        <v>0</v>
      </c>
      <c r="Y91" s="164"/>
    </row>
    <row r="92" spans="1:26" ht="19.5" customHeight="1" thickBot="1" x14ac:dyDescent="0.3">
      <c r="A92" s="83" t="s">
        <v>61</v>
      </c>
      <c r="B92" s="80">
        <f>I16+I17+I20+I23+I26+I27</f>
        <v>122.48390000000001</v>
      </c>
      <c r="C92" s="80"/>
      <c r="D92" s="894">
        <f>I6</f>
        <v>1.0355000000000001</v>
      </c>
      <c r="E92" s="894"/>
      <c r="F92" s="894"/>
      <c r="G92" s="117">
        <f>Consolidated!F$120</f>
        <v>917.3</v>
      </c>
      <c r="H92" s="47" t="s">
        <v>68</v>
      </c>
      <c r="I92" s="515">
        <f>ROUND(B92*D92*G92,2)</f>
        <v>116343.07</v>
      </c>
      <c r="K92" s="70"/>
      <c r="L92" s="70"/>
      <c r="M92" s="71"/>
      <c r="N92" s="70"/>
      <c r="O92" s="70"/>
      <c r="P92" s="70"/>
      <c r="Q92" s="70"/>
      <c r="R92" s="201" t="s">
        <v>61</v>
      </c>
      <c r="S92" s="202">
        <f>X16+X17+X20+X23+X26+X27</f>
        <v>0</v>
      </c>
      <c r="T92" s="849">
        <f>X6</f>
        <v>1.0355000000000001</v>
      </c>
      <c r="U92" s="849"/>
      <c r="V92" s="117">
        <f>G92</f>
        <v>917.3</v>
      </c>
      <c r="W92" s="176" t="s">
        <v>68</v>
      </c>
      <c r="X92" s="221">
        <f>ROUND(S92*T92*V92,2)</f>
        <v>0</v>
      </c>
      <c r="Y92" s="164"/>
    </row>
    <row r="93" spans="1:26" ht="18.75" customHeight="1" thickBot="1" x14ac:dyDescent="0.3">
      <c r="A93" s="84" t="s">
        <v>111</v>
      </c>
      <c r="B93" s="80">
        <f>SUM(B90:B92)</f>
        <v>122.48390000000001</v>
      </c>
      <c r="C93" s="80"/>
      <c r="D93" s="80"/>
      <c r="E93" s="846" t="s">
        <v>112</v>
      </c>
      <c r="F93" s="846"/>
      <c r="G93" s="846"/>
      <c r="H93" s="846"/>
      <c r="I93" s="846"/>
      <c r="J93" s="121">
        <f>IF(A1=75,0,I92+I91+I90)</f>
        <v>116343.07</v>
      </c>
      <c r="K93" s="70"/>
      <c r="L93" s="70"/>
      <c r="M93" s="71"/>
      <c r="N93" s="70"/>
      <c r="O93" s="70"/>
      <c r="P93" s="70"/>
      <c r="Q93" s="70"/>
      <c r="R93" s="203" t="s">
        <v>111</v>
      </c>
      <c r="S93" s="204">
        <f>SUM(S90:S92)</f>
        <v>0</v>
      </c>
      <c r="T93" s="853" t="s">
        <v>112</v>
      </c>
      <c r="U93" s="854"/>
      <c r="V93" s="854"/>
      <c r="W93" s="854"/>
      <c r="X93" s="854"/>
      <c r="Y93" s="217">
        <f>IF(R1=75,0,X92+X91+X90)</f>
        <v>0</v>
      </c>
    </row>
    <row r="94" spans="1:26" ht="18" customHeight="1" x14ac:dyDescent="0.25">
      <c r="A94" s="847" t="s">
        <v>113</v>
      </c>
      <c r="B94" s="847"/>
      <c r="C94" s="847"/>
      <c r="D94" s="847"/>
      <c r="E94" s="847"/>
      <c r="F94" s="847"/>
      <c r="G94" s="847"/>
      <c r="H94" s="847"/>
      <c r="I94" s="847"/>
      <c r="J94" s="847"/>
      <c r="K94" s="70"/>
      <c r="L94" s="70"/>
      <c r="M94" s="71"/>
      <c r="N94" s="70"/>
      <c r="O94" s="70"/>
      <c r="P94" s="70"/>
      <c r="Q94" s="70"/>
      <c r="R94" s="855" t="s">
        <v>113</v>
      </c>
      <c r="S94" s="855"/>
      <c r="T94" s="855"/>
      <c r="U94" s="855"/>
      <c r="V94" s="855"/>
      <c r="W94" s="855"/>
      <c r="X94" s="855"/>
      <c r="Y94" s="855"/>
    </row>
    <row r="95" spans="1:26" ht="17.25" customHeight="1" x14ac:dyDescent="0.25">
      <c r="A95" s="820" t="s">
        <v>114</v>
      </c>
      <c r="B95" s="820"/>
      <c r="C95" s="820"/>
      <c r="D95" s="820"/>
      <c r="E95" s="820"/>
      <c r="F95" s="36" t="s">
        <v>115</v>
      </c>
      <c r="G95" s="848"/>
      <c r="H95" s="848"/>
      <c r="I95" s="848"/>
      <c r="J95" s="848"/>
      <c r="K95" s="70"/>
      <c r="L95" s="70"/>
      <c r="M95" s="71"/>
      <c r="N95" s="70"/>
      <c r="O95" s="70"/>
      <c r="P95" s="70"/>
      <c r="Q95" s="70"/>
      <c r="R95" s="739" t="s">
        <v>173</v>
      </c>
      <c r="S95" s="739"/>
      <c r="T95" s="739"/>
      <c r="U95" s="163"/>
      <c r="V95" s="856"/>
      <c r="W95" s="856"/>
      <c r="X95" s="856"/>
      <c r="Y95" s="856"/>
    </row>
    <row r="96" spans="1:26" ht="15" customHeight="1" x14ac:dyDescent="0.25">
      <c r="B96" s="42"/>
      <c r="C96" s="118" t="s">
        <v>567</v>
      </c>
      <c r="D96" s="118" t="s">
        <v>568</v>
      </c>
      <c r="E96" s="895" t="s">
        <v>157</v>
      </c>
      <c r="F96" s="895"/>
      <c r="G96" s="895"/>
      <c r="H96" s="36"/>
      <c r="I96" s="36"/>
      <c r="J96" s="36"/>
      <c r="K96" s="70"/>
      <c r="L96" s="70"/>
      <c r="M96" s="71"/>
      <c r="N96" s="70"/>
      <c r="O96" s="70"/>
      <c r="P96" s="70"/>
      <c r="Q96" s="70"/>
      <c r="R96" s="857" t="s">
        <v>116</v>
      </c>
      <c r="S96" s="857"/>
      <c r="T96" s="851">
        <f>IF(I111=1,E97,0)</f>
        <v>0</v>
      </c>
      <c r="U96" s="851"/>
      <c r="V96" s="851"/>
      <c r="W96" s="205" t="s">
        <v>117</v>
      </c>
      <c r="X96" s="206">
        <f>I97</f>
        <v>586</v>
      </c>
      <c r="Y96" s="217">
        <f>ROUND(X96*T96,2)</f>
        <v>0</v>
      </c>
    </row>
    <row r="97" spans="1:25" ht="17.25" customHeight="1" x14ac:dyDescent="0.25">
      <c r="A97" s="818" t="s">
        <v>116</v>
      </c>
      <c r="B97" s="818"/>
      <c r="C97" s="357">
        <v>0</v>
      </c>
      <c r="D97" s="357">
        <v>0</v>
      </c>
      <c r="E97" s="913">
        <f>(C97+D97)/2</f>
        <v>0</v>
      </c>
      <c r="F97" s="850"/>
      <c r="G97" s="850"/>
      <c r="H97" s="85" t="s">
        <v>117</v>
      </c>
      <c r="I97" s="124">
        <f>Consolidated!G$127</f>
        <v>586</v>
      </c>
      <c r="J97" s="132">
        <f>ROUND(I97*E97,2)</f>
        <v>0</v>
      </c>
      <c r="K97" s="70"/>
      <c r="L97" s="70"/>
      <c r="M97" s="71"/>
      <c r="N97" s="70"/>
      <c r="O97" s="70"/>
      <c r="P97" s="70"/>
      <c r="Q97" s="70"/>
      <c r="R97" s="857" t="s">
        <v>118</v>
      </c>
      <c r="S97" s="857"/>
      <c r="T97" s="851">
        <f>IF(I112=1,E98,0)</f>
        <v>0</v>
      </c>
      <c r="U97" s="851"/>
      <c r="V97" s="851"/>
      <c r="W97" s="205" t="s">
        <v>117</v>
      </c>
      <c r="X97" s="206">
        <f>I98</f>
        <v>1811</v>
      </c>
      <c r="Y97" s="217">
        <f>ROUND(X97*T97,2)</f>
        <v>0</v>
      </c>
    </row>
    <row r="98" spans="1:25" ht="17.25" customHeight="1" x14ac:dyDescent="0.25">
      <c r="A98" s="818" t="s">
        <v>118</v>
      </c>
      <c r="B98" s="818"/>
      <c r="C98" s="228">
        <v>0</v>
      </c>
      <c r="D98" s="228">
        <v>0</v>
      </c>
      <c r="E98" s="913">
        <f>(C98+D98)/2</f>
        <v>0</v>
      </c>
      <c r="F98" s="850"/>
      <c r="G98" s="850"/>
      <c r="H98" s="85" t="s">
        <v>117</v>
      </c>
      <c r="I98" s="124">
        <f>Consolidated!G$128</f>
        <v>1811</v>
      </c>
      <c r="J98" s="62">
        <f>ROUND(I98*E98,2)</f>
        <v>0</v>
      </c>
      <c r="K98" s="70"/>
      <c r="L98" s="70"/>
      <c r="M98" s="71"/>
      <c r="N98" s="70"/>
      <c r="O98" s="70"/>
      <c r="P98" s="70"/>
      <c r="Q98" s="70"/>
      <c r="R98" s="215"/>
      <c r="S98" s="215"/>
      <c r="T98" s="224"/>
      <c r="U98" s="224"/>
      <c r="V98" s="224"/>
      <c r="W98" s="205"/>
      <c r="X98" s="206"/>
      <c r="Y98" s="220"/>
    </row>
    <row r="99" spans="1:25" ht="27.75" customHeight="1" x14ac:dyDescent="0.25">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25">
      <c r="A100" s="820" t="s">
        <v>119</v>
      </c>
      <c r="B100" s="820"/>
      <c r="C100" s="820"/>
      <c r="D100" s="820"/>
      <c r="E100" s="820"/>
      <c r="F100" s="37" t="s">
        <v>120</v>
      </c>
      <c r="G100" s="821"/>
      <c r="H100" s="821"/>
      <c r="I100" s="821"/>
      <c r="J100" s="821"/>
      <c r="K100" s="70"/>
      <c r="L100" s="70"/>
      <c r="M100" s="71"/>
      <c r="N100" s="70"/>
      <c r="O100" s="70"/>
      <c r="P100" s="70"/>
      <c r="Q100" s="70"/>
      <c r="R100" s="739" t="s">
        <v>174</v>
      </c>
      <c r="S100" s="739"/>
      <c r="T100" s="739"/>
      <c r="U100" s="167"/>
      <c r="V100" s="834"/>
      <c r="W100" s="834"/>
      <c r="X100" s="834"/>
      <c r="Y100" s="834"/>
    </row>
    <row r="101" spans="1:25" ht="44.25" customHeight="1" x14ac:dyDescent="0.25">
      <c r="A101" s="840" t="s">
        <v>121</v>
      </c>
      <c r="B101" s="840"/>
      <c r="C101" s="87"/>
      <c r="D101" s="850" t="s">
        <v>122</v>
      </c>
      <c r="E101" s="850"/>
      <c r="F101" s="850"/>
      <c r="G101" s="841" t="s">
        <v>123</v>
      </c>
      <c r="H101" s="841"/>
      <c r="I101" s="45" t="s">
        <v>124</v>
      </c>
      <c r="J101" s="87" t="s">
        <v>125</v>
      </c>
      <c r="K101" s="70"/>
      <c r="L101" s="70"/>
      <c r="M101" s="70"/>
      <c r="N101" s="70"/>
      <c r="O101" s="70"/>
      <c r="P101" s="70"/>
      <c r="Q101" s="70"/>
      <c r="R101" s="838" t="s">
        <v>121</v>
      </c>
      <c r="S101" s="838"/>
      <c r="T101" s="844" t="s">
        <v>122</v>
      </c>
      <c r="U101" s="844"/>
      <c r="V101" s="845" t="s">
        <v>123</v>
      </c>
      <c r="W101" s="845"/>
      <c r="X101" s="174" t="s">
        <v>124</v>
      </c>
      <c r="Y101" s="207" t="s">
        <v>125</v>
      </c>
    </row>
    <row r="102" spans="1:25" ht="16.5" customHeight="1" x14ac:dyDescent="0.25">
      <c r="A102" s="738" t="s">
        <v>126</v>
      </c>
      <c r="B102" s="738"/>
      <c r="C102" s="52"/>
      <c r="D102" s="222"/>
      <c r="E102" s="222"/>
      <c r="F102" s="222"/>
      <c r="G102" s="872">
        <v>0</v>
      </c>
      <c r="H102" s="872"/>
      <c r="I102" s="88">
        <v>0</v>
      </c>
      <c r="J102" s="62">
        <f>ROUND((I102+G102)*E102,0)</f>
        <v>0</v>
      </c>
      <c r="L102" s="3"/>
      <c r="M102" s="2"/>
      <c r="Q102" s="4"/>
      <c r="R102" s="737" t="s">
        <v>126</v>
      </c>
      <c r="S102" s="737"/>
      <c r="T102" s="837">
        <v>0</v>
      </c>
      <c r="U102" s="837"/>
      <c r="V102" s="843">
        <v>0</v>
      </c>
      <c r="W102" s="843"/>
      <c r="X102" s="208">
        <v>0</v>
      </c>
      <c r="Y102" s="151">
        <f>ROUND((X102+V102)*T102,0)</f>
        <v>0</v>
      </c>
    </row>
    <row r="103" spans="1:25" ht="15.75" customHeight="1" x14ac:dyDescent="0.25">
      <c r="A103" s="738" t="s">
        <v>127</v>
      </c>
      <c r="B103" s="738"/>
      <c r="C103" s="52"/>
      <c r="D103" s="222"/>
      <c r="E103" s="222"/>
      <c r="F103" s="222"/>
      <c r="G103" s="873">
        <f>ROUND(G102/2,2)</f>
        <v>0</v>
      </c>
      <c r="H103" s="873"/>
      <c r="I103" s="88">
        <v>0</v>
      </c>
      <c r="J103" s="62">
        <f>ROUND((I103+G103)*E103,0)</f>
        <v>0</v>
      </c>
      <c r="R103" s="737" t="s">
        <v>127</v>
      </c>
      <c r="S103" s="737"/>
      <c r="T103" s="837">
        <v>0</v>
      </c>
      <c r="U103" s="837"/>
      <c r="V103" s="842">
        <f>ROUND(V102/2,2)</f>
        <v>0</v>
      </c>
      <c r="W103" s="842"/>
      <c r="X103" s="208">
        <v>0</v>
      </c>
      <c r="Y103" s="151">
        <f>ROUND((X103+V103)*T103,0)</f>
        <v>0</v>
      </c>
    </row>
    <row r="104" spans="1:25" ht="15.75" customHeight="1" thickBot="1" x14ac:dyDescent="0.3">
      <c r="A104" s="745" t="s">
        <v>128</v>
      </c>
      <c r="B104" s="745"/>
      <c r="C104" s="103"/>
      <c r="D104" s="227"/>
      <c r="E104" s="227"/>
      <c r="F104" s="227"/>
      <c r="G104" s="870"/>
      <c r="H104" s="870"/>
      <c r="I104" s="89">
        <v>0</v>
      </c>
      <c r="J104" s="30">
        <f>ROUND(I104*E104,0)</f>
        <v>0</v>
      </c>
      <c r="R104" s="744" t="s">
        <v>128</v>
      </c>
      <c r="S104" s="744"/>
      <c r="T104" s="837">
        <v>0</v>
      </c>
      <c r="U104" s="837"/>
      <c r="V104" s="838"/>
      <c r="W104" s="838"/>
      <c r="X104" s="209">
        <v>0</v>
      </c>
      <c r="Y104" s="157">
        <f>ROUND(X104*T104,0)</f>
        <v>0</v>
      </c>
    </row>
    <row r="105" spans="1:25" ht="24.75" customHeight="1" thickBot="1" x14ac:dyDescent="0.3">
      <c r="A105" s="821" t="s">
        <v>125</v>
      </c>
      <c r="B105" s="821"/>
      <c r="C105" s="37"/>
      <c r="D105" s="37"/>
      <c r="E105" s="90"/>
      <c r="F105" s="90"/>
      <c r="G105" s="90"/>
      <c r="H105" s="90"/>
      <c r="I105" s="90"/>
      <c r="J105" s="91">
        <f>SUM(J102:J104)</f>
        <v>0</v>
      </c>
      <c r="R105" s="834" t="s">
        <v>125</v>
      </c>
      <c r="S105" s="834"/>
      <c r="T105" s="210"/>
      <c r="U105" s="210"/>
      <c r="V105" s="210"/>
      <c r="W105" s="210"/>
      <c r="X105" s="210"/>
      <c r="Y105" s="211">
        <f>SUM(Y102:Y104)</f>
        <v>0</v>
      </c>
    </row>
    <row r="106" spans="1:25" ht="26.25" customHeight="1" x14ac:dyDescent="0.25">
      <c r="A106" s="820" t="s">
        <v>129</v>
      </c>
      <c r="B106" s="820"/>
      <c r="C106" s="820"/>
      <c r="D106" s="820"/>
      <c r="E106" s="820"/>
      <c r="F106" s="92" t="s">
        <v>130</v>
      </c>
      <c r="G106" s="871"/>
      <c r="H106" s="871"/>
      <c r="I106" s="871"/>
      <c r="J106" s="93"/>
      <c r="K106" s="94"/>
      <c r="L106" s="94"/>
      <c r="M106" s="94"/>
      <c r="N106" s="94"/>
      <c r="O106" s="94"/>
      <c r="P106" s="94"/>
      <c r="Q106" s="94"/>
      <c r="R106" s="739" t="s">
        <v>175</v>
      </c>
      <c r="S106" s="739"/>
      <c r="T106" s="739"/>
      <c r="U106" s="212"/>
      <c r="V106" s="835"/>
      <c r="W106" s="835"/>
      <c r="X106" s="835"/>
      <c r="Y106" s="151">
        <v>0</v>
      </c>
    </row>
    <row r="107" spans="1:25" ht="30" customHeight="1" thickBot="1" x14ac:dyDescent="0.3">
      <c r="A107" s="923" t="s">
        <v>125</v>
      </c>
      <c r="B107" s="923"/>
      <c r="C107" s="923"/>
      <c r="D107" s="923"/>
      <c r="E107" s="923"/>
      <c r="F107" s="923"/>
      <c r="G107" s="923"/>
      <c r="H107" s="923"/>
      <c r="I107" s="923"/>
      <c r="J107" s="519">
        <f>SUM(J106,J105,J98,J97,J93,J86,J85,J71,J70,J68,J33,J72,J50,J87,J84)</f>
        <v>1014625.5800000001</v>
      </c>
      <c r="L107" s="516"/>
      <c r="R107" s="739" t="s">
        <v>125</v>
      </c>
      <c r="S107" s="739"/>
      <c r="T107" s="739"/>
      <c r="U107" s="739"/>
      <c r="V107" s="739"/>
      <c r="W107" s="739"/>
      <c r="X107" s="739"/>
      <c r="Y107" s="213">
        <f>SUM(Y106,Y105,Y97,Y96,Y93,Y86,Y85,Y84,Y70,Y69,Y67,Y33,Y71,Y50,Y87,Y83)</f>
        <v>0</v>
      </c>
    </row>
    <row r="108" spans="1:25" ht="15.75" customHeight="1" thickTop="1" x14ac:dyDescent="0.25">
      <c r="A108" s="921"/>
      <c r="B108" s="921"/>
      <c r="C108" s="921"/>
      <c r="D108" s="921"/>
      <c r="E108" s="921"/>
      <c r="F108" s="921"/>
      <c r="G108" s="921"/>
      <c r="H108" s="921"/>
      <c r="I108" s="921"/>
      <c r="J108" s="921"/>
      <c r="R108" s="834"/>
      <c r="S108" s="834"/>
      <c r="T108" s="834"/>
      <c r="U108" s="834"/>
      <c r="V108" s="834"/>
      <c r="W108" s="834"/>
      <c r="X108" s="834"/>
      <c r="Y108" s="834"/>
    </row>
    <row r="109" spans="1:25" ht="17.25" customHeight="1" thickBot="1" x14ac:dyDescent="0.3">
      <c r="A109" s="922" t="s">
        <v>131</v>
      </c>
      <c r="B109" s="922"/>
      <c r="C109" s="922"/>
      <c r="D109" s="922"/>
      <c r="E109" s="922"/>
      <c r="F109" s="921"/>
      <c r="G109" s="921"/>
      <c r="H109" s="921"/>
      <c r="I109" s="520" t="s">
        <v>132</v>
      </c>
      <c r="J109" s="521">
        <f>J107-J38</f>
        <v>973502.29</v>
      </c>
      <c r="R109" s="164" t="s">
        <v>176</v>
      </c>
      <c r="S109" s="164"/>
      <c r="T109" s="164"/>
      <c r="U109" s="164"/>
      <c r="V109" s="164"/>
      <c r="W109" s="164"/>
      <c r="X109" s="164"/>
      <c r="Y109" s="214">
        <f>Y107-Y38</f>
        <v>0</v>
      </c>
    </row>
    <row r="110" spans="1:25" ht="18.75" customHeight="1" thickTop="1" x14ac:dyDescent="0.25">
      <c r="A110" s="922" t="s">
        <v>133</v>
      </c>
      <c r="B110" s="922"/>
      <c r="C110" s="922"/>
      <c r="D110" s="922"/>
      <c r="E110" s="922"/>
      <c r="F110" s="922"/>
      <c r="G110" s="922"/>
      <c r="H110" s="922"/>
      <c r="I110" s="522" t="s">
        <v>134</v>
      </c>
      <c r="J110" s="520"/>
      <c r="R110" s="830" t="s">
        <v>136</v>
      </c>
      <c r="S110" s="830"/>
      <c r="T110" s="830"/>
      <c r="U110" s="830"/>
      <c r="V110" s="830"/>
      <c r="W110" s="830"/>
      <c r="X110" s="830"/>
      <c r="Y110" s="830"/>
    </row>
    <row r="111" spans="1:25" ht="15.75" customHeight="1" x14ac:dyDescent="0.25">
      <c r="A111" s="920" t="s">
        <v>135</v>
      </c>
      <c r="B111" s="920"/>
      <c r="C111" s="920"/>
      <c r="D111" s="920"/>
      <c r="E111" s="920"/>
      <c r="F111" s="920"/>
      <c r="G111" s="920"/>
      <c r="H111" s="920"/>
      <c r="I111" s="525">
        <v>0</v>
      </c>
      <c r="J111" s="131">
        <f>Y109</f>
        <v>0</v>
      </c>
      <c r="R111" s="829" t="s">
        <v>177</v>
      </c>
      <c r="S111" s="829"/>
      <c r="T111" s="829"/>
      <c r="U111" s="829"/>
      <c r="V111" s="829"/>
      <c r="W111" s="829"/>
      <c r="X111" s="829"/>
      <c r="Y111" s="829"/>
    </row>
    <row r="112" spans="1:25" ht="15.75" customHeight="1" x14ac:dyDescent="0.25">
      <c r="A112" s="51"/>
      <c r="B112" s="51"/>
      <c r="C112" s="51"/>
      <c r="D112" s="51"/>
      <c r="E112" s="51"/>
      <c r="F112" s="51"/>
      <c r="G112" s="51"/>
      <c r="H112" s="51"/>
      <c r="I112" s="90"/>
      <c r="J112" s="72"/>
      <c r="R112" s="830" t="s">
        <v>178</v>
      </c>
      <c r="S112" s="830"/>
      <c r="T112" s="830"/>
      <c r="U112" s="830"/>
      <c r="V112" s="830"/>
      <c r="W112" s="830"/>
      <c r="X112" s="830"/>
      <c r="Y112" s="830"/>
    </row>
    <row r="113" spans="1:26" ht="16.5" customHeight="1" x14ac:dyDescent="0.25">
      <c r="A113" s="51"/>
      <c r="B113" s="51"/>
      <c r="C113" s="51"/>
      <c r="D113" s="51"/>
      <c r="E113" s="51"/>
      <c r="F113" s="51"/>
      <c r="G113" s="51"/>
      <c r="H113" s="237"/>
      <c r="I113" s="51"/>
      <c r="J113" s="90"/>
      <c r="K113" s="72"/>
      <c r="M113" s="2"/>
      <c r="N113" s="3"/>
      <c r="R113" s="2"/>
      <c r="S113" s="234"/>
      <c r="T113" s="234"/>
      <c r="U113" s="234"/>
      <c r="V113" s="234"/>
      <c r="W113" s="234"/>
      <c r="X113" s="234"/>
      <c r="Y113" s="234"/>
      <c r="Z113" s="234"/>
    </row>
    <row r="114" spans="1:26" x14ac:dyDescent="0.25">
      <c r="A114" s="235" t="s">
        <v>180</v>
      </c>
      <c r="B114" s="236"/>
      <c r="C114" s="236"/>
      <c r="D114" s="236"/>
      <c r="E114" s="236"/>
      <c r="F114" s="236"/>
      <c r="G114" s="236"/>
      <c r="I114" s="238">
        <f>IF(I111=1,J111,J109)</f>
        <v>973502.29</v>
      </c>
      <c r="J114" s="239">
        <f>ROUND(IF(E28=0,0,IF(E28&gt;250,-(((250/E28)*I114)*IF(H113="H",0.02,0.05)),IF(H113="H",-0.02*I114,-0.05*I114))),2)</f>
        <v>-48675.11</v>
      </c>
      <c r="M114" s="2"/>
      <c r="N114" s="3"/>
      <c r="R114" s="2"/>
      <c r="T114" s="4"/>
      <c r="W114" s="2"/>
      <c r="X114" s="5"/>
    </row>
    <row r="115" spans="1:26" ht="16.5" customHeight="1" x14ac:dyDescent="0.2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25">
      <c r="A116" s="242" t="s">
        <v>181</v>
      </c>
      <c r="B116" s="243"/>
      <c r="C116" s="243"/>
      <c r="D116" s="243"/>
      <c r="E116" s="243"/>
      <c r="F116" s="243"/>
      <c r="G116" s="243"/>
      <c r="H116" s="243"/>
      <c r="I116" s="244"/>
      <c r="J116" s="245">
        <f>J107+J114</f>
        <v>965950.47000000009</v>
      </c>
      <c r="K116" s="72"/>
      <c r="M116" s="2"/>
      <c r="N116" s="3"/>
      <c r="R116" s="2"/>
      <c r="S116" s="234"/>
      <c r="T116" s="234"/>
      <c r="U116" s="234"/>
      <c r="V116" s="234"/>
      <c r="W116" s="234"/>
      <c r="X116" s="234"/>
      <c r="Y116" s="234"/>
      <c r="Z116" s="234"/>
    </row>
    <row r="117" spans="1:26" ht="16.5" customHeight="1" x14ac:dyDescent="0.2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25">
      <c r="A118" s="235" t="s">
        <v>182</v>
      </c>
      <c r="B118" s="236"/>
      <c r="C118" s="246"/>
      <c r="D118" s="236"/>
      <c r="E118" s="235"/>
      <c r="F118" s="235"/>
      <c r="G118" s="236"/>
      <c r="H118" s="236"/>
      <c r="I118" s="240"/>
      <c r="J118" s="247">
        <f>-'Cumulative Payments'!R122</f>
        <v>-789016.64999999991</v>
      </c>
      <c r="K118" s="72"/>
      <c r="M118" s="2"/>
      <c r="N118" s="3"/>
      <c r="R118" s="2"/>
      <c r="S118" s="234"/>
      <c r="T118" s="234"/>
      <c r="U118" s="234"/>
      <c r="V118" s="234"/>
      <c r="W118" s="234"/>
      <c r="X118" s="234"/>
      <c r="Y118" s="234"/>
      <c r="Z118" s="234"/>
    </row>
    <row r="119" spans="1:26" ht="16.5" customHeight="1" x14ac:dyDescent="0.2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25">
      <c r="A120" s="235" t="s">
        <v>183</v>
      </c>
      <c r="B120" s="236"/>
      <c r="C120" s="236"/>
      <c r="D120" s="236"/>
      <c r="E120" s="236"/>
      <c r="F120" s="236"/>
      <c r="G120" s="236"/>
      <c r="H120" s="236"/>
      <c r="I120" s="240"/>
      <c r="J120" s="241">
        <f>J116+J118</f>
        <v>176933.82000000018</v>
      </c>
      <c r="K120" s="72"/>
      <c r="M120" s="2"/>
      <c r="N120" s="3"/>
      <c r="R120" s="2"/>
      <c r="S120" s="234"/>
      <c r="T120" s="234"/>
      <c r="U120" s="234"/>
      <c r="V120" s="234"/>
      <c r="W120" s="234"/>
      <c r="X120" s="234"/>
      <c r="Y120" s="234"/>
      <c r="Z120" s="234"/>
    </row>
    <row r="121" spans="1:26" ht="16.5" customHeight="1" x14ac:dyDescent="0.2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25">
      <c r="A122" s="235" t="s">
        <v>184</v>
      </c>
      <c r="B122" s="236"/>
      <c r="C122" s="236"/>
      <c r="D122" s="236"/>
      <c r="E122" s="236"/>
      <c r="F122" s="236"/>
      <c r="G122" s="236"/>
      <c r="H122" s="236"/>
      <c r="I122" s="240"/>
      <c r="J122" s="648">
        <f>Consolidated!I$157</f>
        <v>2</v>
      </c>
      <c r="K122" s="72"/>
      <c r="M122" s="2"/>
      <c r="N122" s="3"/>
      <c r="R122" s="2"/>
      <c r="S122" s="234"/>
      <c r="T122" s="234"/>
      <c r="U122" s="234"/>
      <c r="V122" s="234"/>
      <c r="W122" s="234"/>
      <c r="X122" s="234"/>
      <c r="Y122" s="234"/>
      <c r="Z122" s="234"/>
    </row>
    <row r="123" spans="1:26" ht="16.5" customHeight="1" x14ac:dyDescent="0.2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3">
      <c r="A124" s="235" t="s">
        <v>185</v>
      </c>
      <c r="B124" s="236"/>
      <c r="C124" s="236"/>
      <c r="D124" s="236"/>
      <c r="E124" s="236"/>
      <c r="F124" s="236"/>
      <c r="G124" s="236"/>
      <c r="H124" s="236"/>
      <c r="I124" s="240"/>
      <c r="J124" s="248">
        <f>ROUND(J120/J122,2)</f>
        <v>88466.91</v>
      </c>
      <c r="K124" s="72"/>
      <c r="M124" s="2"/>
      <c r="N124" s="3"/>
      <c r="R124" s="2"/>
      <c r="S124" s="234"/>
      <c r="T124" s="234"/>
      <c r="U124" s="234"/>
      <c r="V124" s="234"/>
      <c r="W124" s="234"/>
      <c r="X124" s="234"/>
      <c r="Y124" s="234"/>
      <c r="Z124" s="234"/>
    </row>
    <row r="125" spans="1:26" ht="16.5" customHeight="1" thickTop="1" x14ac:dyDescent="0.2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3">
      <c r="A126" s="235" t="s">
        <v>186</v>
      </c>
      <c r="B126" s="236"/>
      <c r="C126" s="236"/>
      <c r="D126" s="236"/>
      <c r="E126" s="236"/>
      <c r="F126" s="236"/>
      <c r="G126" s="236"/>
      <c r="H126" s="236"/>
      <c r="I126" s="240"/>
      <c r="J126" s="249">
        <f>ROUND(IF(H113="H",(I114*0.02)+J114,(I114*0.05)+J114),2)</f>
        <v>0</v>
      </c>
      <c r="K126" s="72"/>
      <c r="M126" s="2"/>
      <c r="N126" s="3"/>
      <c r="R126" s="2"/>
      <c r="S126" s="234"/>
      <c r="T126" s="234"/>
      <c r="U126" s="234"/>
      <c r="V126" s="234"/>
      <c r="W126" s="234"/>
      <c r="X126" s="234"/>
      <c r="Y126" s="234"/>
      <c r="Z126" s="234"/>
    </row>
    <row r="127" spans="1:26" ht="15.75" customHeight="1" thickTop="1" x14ac:dyDescent="0.2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25">
      <c r="A128" s="874" t="s">
        <v>136</v>
      </c>
      <c r="B128" s="874"/>
      <c r="C128" s="874"/>
      <c r="D128" s="874"/>
      <c r="E128" s="874"/>
      <c r="F128" s="874"/>
      <c r="G128" s="874"/>
      <c r="H128" s="874"/>
      <c r="I128" s="874"/>
      <c r="J128" s="874"/>
      <c r="W128" s="233"/>
    </row>
    <row r="129" spans="1:23" ht="26.25" customHeight="1" x14ac:dyDescent="0.25">
      <c r="A129" s="882" t="s">
        <v>137</v>
      </c>
      <c r="B129" s="882"/>
      <c r="C129" s="882"/>
      <c r="D129" s="882"/>
      <c r="E129" s="882"/>
      <c r="F129" s="882"/>
      <c r="G129" s="882"/>
      <c r="H129" s="882"/>
      <c r="I129" s="882"/>
      <c r="J129" s="882"/>
      <c r="W129" s="233"/>
    </row>
    <row r="130" spans="1:23" ht="15.75" customHeight="1" x14ac:dyDescent="0.25">
      <c r="A130" s="874" t="s">
        <v>138</v>
      </c>
      <c r="B130" s="874"/>
      <c r="C130" s="874"/>
      <c r="D130" s="874"/>
      <c r="E130" s="874"/>
      <c r="F130" s="874"/>
      <c r="G130" s="874"/>
      <c r="H130" s="874"/>
      <c r="I130" s="874"/>
      <c r="J130" s="874"/>
    </row>
    <row r="131" spans="1:23" ht="15.75" customHeight="1" x14ac:dyDescent="0.25">
      <c r="A131" s="874" t="s">
        <v>139</v>
      </c>
      <c r="B131" s="874"/>
      <c r="C131" s="874"/>
      <c r="D131" s="874"/>
      <c r="E131" s="874"/>
      <c r="F131" s="874"/>
      <c r="G131" s="874"/>
      <c r="H131" s="874"/>
      <c r="I131" s="874"/>
      <c r="J131" s="874"/>
    </row>
    <row r="132" spans="1:23" ht="19.5" customHeight="1" x14ac:dyDescent="0.25">
      <c r="A132" s="874" t="s">
        <v>140</v>
      </c>
      <c r="B132" s="874"/>
      <c r="C132" s="874"/>
      <c r="D132" s="874"/>
      <c r="E132" s="874"/>
      <c r="F132" s="874"/>
      <c r="G132" s="874"/>
      <c r="H132" s="874"/>
      <c r="I132" s="874"/>
      <c r="J132" s="874"/>
    </row>
    <row r="133" spans="1:23" x14ac:dyDescent="0.25">
      <c r="A133" s="874" t="s">
        <v>141</v>
      </c>
      <c r="B133" s="874"/>
      <c r="C133" s="874"/>
      <c r="D133" s="874"/>
      <c r="E133" s="874"/>
      <c r="F133" s="874"/>
      <c r="G133" s="874"/>
      <c r="H133" s="874"/>
      <c r="I133" s="874"/>
      <c r="J133" s="874"/>
    </row>
    <row r="134" spans="1:23" x14ac:dyDescent="0.25">
      <c r="A134" s="874" t="s">
        <v>142</v>
      </c>
      <c r="B134" s="874"/>
      <c r="C134" s="874"/>
      <c r="D134" s="874"/>
      <c r="E134" s="874"/>
      <c r="F134" s="874"/>
      <c r="G134" s="874"/>
      <c r="H134" s="874"/>
      <c r="I134" s="874"/>
      <c r="J134" s="874"/>
    </row>
    <row r="135" spans="1:23" ht="33" customHeight="1" x14ac:dyDescent="0.25">
      <c r="A135" s="882" t="s">
        <v>143</v>
      </c>
      <c r="B135" s="882"/>
      <c r="C135" s="882"/>
      <c r="D135" s="882"/>
      <c r="E135" s="882"/>
      <c r="F135" s="882"/>
      <c r="G135" s="882"/>
      <c r="H135" s="882"/>
      <c r="I135" s="882"/>
      <c r="J135" s="882"/>
    </row>
    <row r="136" spans="1:23" ht="31.5" customHeight="1" x14ac:dyDescent="0.25">
      <c r="A136" s="882" t="s">
        <v>144</v>
      </c>
      <c r="B136" s="882"/>
      <c r="C136" s="882"/>
      <c r="D136" s="882"/>
      <c r="E136" s="882"/>
      <c r="F136" s="882"/>
      <c r="G136" s="882"/>
      <c r="H136" s="882"/>
      <c r="I136" s="882"/>
      <c r="J136" s="882"/>
    </row>
    <row r="137" spans="1:23" x14ac:dyDescent="0.25">
      <c r="A137" s="882" t="s">
        <v>145</v>
      </c>
      <c r="B137" s="882"/>
      <c r="C137" s="882"/>
      <c r="D137" s="882"/>
      <c r="E137" s="882"/>
      <c r="F137" s="882"/>
      <c r="G137" s="882"/>
      <c r="H137" s="882"/>
      <c r="I137" s="882"/>
      <c r="J137" s="882"/>
    </row>
    <row r="138" spans="1:23" x14ac:dyDescent="0.25">
      <c r="A138" s="98" t="s">
        <v>146</v>
      </c>
      <c r="B138" s="98"/>
      <c r="C138" s="98"/>
      <c r="D138" s="98"/>
      <c r="E138" s="98"/>
      <c r="F138" s="98"/>
      <c r="G138" s="98"/>
      <c r="H138" s="98"/>
      <c r="I138" s="98"/>
      <c r="J138" s="98"/>
    </row>
    <row r="139" spans="1:23" ht="30.75" customHeight="1" x14ac:dyDescent="0.25">
      <c r="A139" s="882" t="s">
        <v>147</v>
      </c>
      <c r="B139" s="882"/>
      <c r="C139" s="882"/>
      <c r="D139" s="882"/>
      <c r="E139" s="882"/>
      <c r="F139" s="882"/>
      <c r="G139" s="882"/>
      <c r="H139" s="882"/>
      <c r="I139" s="882"/>
      <c r="J139" s="882"/>
    </row>
    <row r="140" spans="1:23" ht="30.75" customHeight="1" x14ac:dyDescent="0.25">
      <c r="A140" s="882" t="s">
        <v>148</v>
      </c>
      <c r="B140" s="882"/>
      <c r="C140" s="882"/>
      <c r="D140" s="882"/>
      <c r="E140" s="882"/>
      <c r="F140" s="882"/>
      <c r="G140" s="882"/>
      <c r="H140" s="882"/>
      <c r="I140" s="882"/>
      <c r="J140" s="882"/>
    </row>
    <row r="141" spans="1:23" x14ac:dyDescent="0.25">
      <c r="A141" s="887" t="s">
        <v>149</v>
      </c>
      <c r="B141" s="882"/>
      <c r="C141" s="882"/>
      <c r="D141" s="882"/>
      <c r="E141" s="882"/>
      <c r="F141" s="882"/>
      <c r="G141" s="882"/>
      <c r="H141" s="882"/>
      <c r="I141" s="882"/>
      <c r="J141" s="882"/>
    </row>
    <row r="142" spans="1:23" ht="60.75" customHeight="1" x14ac:dyDescent="0.25">
      <c r="A142" s="888" t="s">
        <v>150</v>
      </c>
      <c r="B142" s="888"/>
      <c r="C142" s="888"/>
      <c r="D142" s="888"/>
      <c r="E142" s="888"/>
      <c r="F142" s="888"/>
      <c r="G142" s="888"/>
      <c r="H142" s="888"/>
      <c r="I142" s="888"/>
      <c r="J142" s="888"/>
    </row>
    <row r="143" spans="1:23" ht="48" customHeight="1" x14ac:dyDescent="0.25">
      <c r="A143" s="888" t="s">
        <v>151</v>
      </c>
      <c r="B143" s="888"/>
      <c r="C143" s="888"/>
      <c r="D143" s="888"/>
      <c r="E143" s="888"/>
      <c r="F143" s="888"/>
      <c r="G143" s="888"/>
      <c r="H143" s="888"/>
      <c r="I143" s="888"/>
      <c r="J143" s="888"/>
    </row>
    <row r="144" spans="1:23" x14ac:dyDescent="0.25">
      <c r="A144" s="887" t="s">
        <v>152</v>
      </c>
      <c r="B144" s="887"/>
      <c r="C144" s="887"/>
      <c r="D144" s="887"/>
      <c r="E144" s="887"/>
      <c r="F144" s="887"/>
      <c r="G144" s="887"/>
      <c r="H144" s="887"/>
      <c r="I144" s="887"/>
      <c r="J144" s="887"/>
    </row>
    <row r="145" spans="1:10" ht="32.25" customHeight="1" x14ac:dyDescent="0.25">
      <c r="A145" s="888" t="s">
        <v>153</v>
      </c>
      <c r="B145" s="888"/>
      <c r="C145" s="888"/>
      <c r="D145" s="888"/>
      <c r="E145" s="888"/>
      <c r="F145" s="888"/>
      <c r="G145" s="888"/>
      <c r="H145" s="888"/>
      <c r="I145" s="888"/>
      <c r="J145" s="888"/>
    </row>
    <row r="146" spans="1:10" ht="23.25" customHeight="1" x14ac:dyDescent="0.25">
      <c r="A146" s="889" t="s">
        <v>154</v>
      </c>
      <c r="B146" s="889"/>
      <c r="C146" s="889"/>
      <c r="D146" s="889"/>
      <c r="E146" s="889"/>
      <c r="F146" s="889"/>
      <c r="G146" s="889"/>
      <c r="H146" s="889"/>
      <c r="I146" s="889"/>
      <c r="J146" s="889"/>
    </row>
    <row r="147" spans="1:10" x14ac:dyDescent="0.25">
      <c r="A147" s="889"/>
      <c r="B147" s="889"/>
      <c r="C147" s="889"/>
      <c r="D147" s="889"/>
      <c r="E147" s="889"/>
      <c r="F147" s="889"/>
      <c r="G147" s="889"/>
      <c r="H147" s="889"/>
      <c r="I147" s="889"/>
      <c r="J147" s="889"/>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2094</vt:i4>
      </vt:variant>
    </vt:vector>
  </HeadingPairs>
  <TitlesOfParts>
    <vt:vector size="2151" baseType="lpstr">
      <vt:lpstr>Net Payment</vt:lpstr>
      <vt:lpstr>Annual Rev &amp; Fees</vt:lpstr>
      <vt:lpstr>Charter Schools</vt:lpstr>
      <vt:lpstr>Cumulative Payments</vt:lpstr>
      <vt:lpstr>Consolidated</vt:lpstr>
      <vt:lpstr>CountData</vt:lpstr>
      <vt:lpstr>0040</vt:lpstr>
      <vt:lpstr>0571</vt:lpstr>
      <vt:lpstr>0100</vt:lpstr>
      <vt:lpstr>1461</vt:lpstr>
      <vt:lpstr>1571</vt:lpstr>
      <vt:lpstr>2521</vt:lpstr>
      <vt:lpstr>2531</vt:lpstr>
      <vt:lpstr>2791</vt:lpstr>
      <vt:lpstr>2801</vt:lpstr>
      <vt:lpstr>2911</vt:lpstr>
      <vt:lpstr>2941</vt:lpstr>
      <vt:lpstr>3083</vt:lpstr>
      <vt:lpstr>3345</vt:lpstr>
      <vt:lpstr>3362</vt:lpstr>
      <vt:lpstr>3381</vt:lpstr>
      <vt:lpstr>3382</vt:lpstr>
      <vt:lpstr>3391</vt:lpstr>
      <vt:lpstr>3394</vt:lpstr>
      <vt:lpstr>3395</vt:lpstr>
      <vt:lpstr>3396</vt:lpstr>
      <vt:lpstr>3398</vt:lpstr>
      <vt:lpstr>3400</vt:lpstr>
      <vt:lpstr>3401</vt:lpstr>
      <vt:lpstr>3413</vt:lpstr>
      <vt:lpstr>3421</vt:lpstr>
      <vt:lpstr>3431</vt:lpstr>
      <vt:lpstr>3441</vt:lpstr>
      <vt:lpstr>3924</vt:lpstr>
      <vt:lpstr>3941</vt:lpstr>
      <vt:lpstr>3961</vt:lpstr>
      <vt:lpstr>3971</vt:lpstr>
      <vt:lpstr>4001</vt:lpstr>
      <vt:lpstr>4002</vt:lpstr>
      <vt:lpstr>4012</vt:lpstr>
      <vt:lpstr>4013</vt:lpstr>
      <vt:lpstr>4020</vt:lpstr>
      <vt:lpstr>4030</vt:lpstr>
      <vt:lpstr>4031</vt:lpstr>
      <vt:lpstr>4041</vt:lpstr>
      <vt:lpstr>4050</vt:lpstr>
      <vt:lpstr>4051</vt:lpstr>
      <vt:lpstr>4061</vt:lpstr>
      <vt:lpstr>4080</vt:lpstr>
      <vt:lpstr>4081</vt:lpstr>
      <vt:lpstr>4090</vt:lpstr>
      <vt:lpstr>4091</vt:lpstr>
      <vt:lpstr>4100</vt:lpstr>
      <vt:lpstr>4102</vt:lpstr>
      <vt:lpstr>4103</vt:lpstr>
      <vt:lpstr>4111</vt:lpstr>
      <vt:lpstr>4131</vt:lpstr>
      <vt:lpstr>'0100'!_1</vt:lpstr>
      <vt:lpstr>'0571'!_1</vt:lpstr>
      <vt:lpstr>'1461'!_1</vt:lpstr>
      <vt:lpstr>'1571'!_1</vt:lpstr>
      <vt:lpstr>'2521'!_1</vt:lpstr>
      <vt:lpstr>'2531'!_1</vt:lpstr>
      <vt:lpstr>'2791'!_1</vt:lpstr>
      <vt:lpstr>'2801'!_1</vt:lpstr>
      <vt:lpstr>'2911'!_1</vt:lpstr>
      <vt:lpstr>'2941'!_1</vt:lpstr>
      <vt:lpstr>'3083'!_1</vt:lpstr>
      <vt:lpstr>'3345'!_1</vt:lpstr>
      <vt:lpstr>'3362'!_1</vt:lpstr>
      <vt:lpstr>'3381'!_1</vt:lpstr>
      <vt:lpstr>'3382'!_1</vt:lpstr>
      <vt:lpstr>'3391'!_1</vt:lpstr>
      <vt:lpstr>'3394'!_1</vt:lpstr>
      <vt:lpstr>'3395'!_1</vt:lpstr>
      <vt:lpstr>'3396'!_1</vt:lpstr>
      <vt:lpstr>'3398'!_1</vt:lpstr>
      <vt:lpstr>'3400'!_1</vt:lpstr>
      <vt:lpstr>'3401'!_1</vt:lpstr>
      <vt:lpstr>'3413'!_1</vt:lpstr>
      <vt:lpstr>'3421'!_1</vt:lpstr>
      <vt:lpstr>'3431'!_1</vt:lpstr>
      <vt:lpstr>'3441'!_1</vt:lpstr>
      <vt:lpstr>'3924'!_1</vt:lpstr>
      <vt:lpstr>'3941'!_1</vt:lpstr>
      <vt:lpstr>'3961'!_1</vt:lpstr>
      <vt:lpstr>'3971'!_1</vt:lpstr>
      <vt:lpstr>'4001'!_1</vt:lpstr>
      <vt:lpstr>'4002'!_1</vt:lpstr>
      <vt:lpstr>'4012'!_1</vt:lpstr>
      <vt:lpstr>'4013'!_1</vt:lpstr>
      <vt:lpstr>'4020'!_1</vt:lpstr>
      <vt:lpstr>'4030'!_1</vt:lpstr>
      <vt:lpstr>'4031'!_1</vt:lpstr>
      <vt:lpstr>'4041'!_1</vt:lpstr>
      <vt:lpstr>'4050'!_1</vt:lpstr>
      <vt:lpstr>'4051'!_1</vt:lpstr>
      <vt:lpstr>'4061'!_1</vt:lpstr>
      <vt:lpstr>'4080'!_1</vt:lpstr>
      <vt:lpstr>'4081'!_1</vt:lpstr>
      <vt:lpstr>'4090'!_1</vt:lpstr>
      <vt:lpstr>'4091'!_1</vt:lpstr>
      <vt:lpstr>'4100'!_1</vt:lpstr>
      <vt:lpstr>'4102'!_1</vt:lpstr>
      <vt:lpstr>'4103'!_1</vt:lpstr>
      <vt:lpstr>'4111'!_1</vt:lpstr>
      <vt:lpstr>'4131'!_1</vt:lpstr>
      <vt:lpstr>_1</vt:lpstr>
      <vt:lpstr>'0100'!_1.__2009_10_FEFP_State_and_Local_Funding</vt:lpstr>
      <vt:lpstr>'0571'!_1.__2009_10_FEFP_State_and_Local_Funding</vt:lpstr>
      <vt:lpstr>'1461'!_1.__2009_10_FEFP_State_and_Local_Funding</vt:lpstr>
      <vt:lpstr>'1571'!_1.__2009_10_FEFP_State_and_Local_Funding</vt:lpstr>
      <vt:lpstr>'2521'!_1.__2009_10_FEFP_State_and_Local_Funding</vt:lpstr>
      <vt:lpstr>'2531'!_1.__2009_10_FEFP_State_and_Local_Funding</vt:lpstr>
      <vt:lpstr>'2791'!_1.__2009_10_FEFP_State_and_Local_Funding</vt:lpstr>
      <vt:lpstr>'2801'!_1.__2009_10_FEFP_State_and_Local_Funding</vt:lpstr>
      <vt:lpstr>'2911'!_1.__2009_10_FEFP_State_and_Local_Funding</vt:lpstr>
      <vt:lpstr>'2941'!_1.__2009_10_FEFP_State_and_Local_Funding</vt:lpstr>
      <vt:lpstr>'3083'!_1.__2009_10_FEFP_State_and_Local_Funding</vt:lpstr>
      <vt:lpstr>'3345'!_1.__2009_10_FEFP_State_and_Local_Funding</vt:lpstr>
      <vt:lpstr>'3362'!_1.__2009_10_FEFP_State_and_Local_Funding</vt:lpstr>
      <vt:lpstr>'3381'!_1.__2009_10_FEFP_State_and_Local_Funding</vt:lpstr>
      <vt:lpstr>'3382'!_1.__2009_10_FEFP_State_and_Local_Funding</vt:lpstr>
      <vt:lpstr>'3391'!_1.__2009_10_FEFP_State_and_Local_Funding</vt:lpstr>
      <vt:lpstr>'3394'!_1.__2009_10_FEFP_State_and_Local_Funding</vt:lpstr>
      <vt:lpstr>'3395'!_1.__2009_10_FEFP_State_and_Local_Funding</vt:lpstr>
      <vt:lpstr>'3396'!_1.__2009_10_FEFP_State_and_Local_Funding</vt:lpstr>
      <vt:lpstr>'3398'!_1.__2009_10_FEFP_State_and_Local_Funding</vt:lpstr>
      <vt:lpstr>'3400'!_1.__2009_10_FEFP_State_and_Local_Funding</vt:lpstr>
      <vt:lpstr>'3401'!_1.__2009_10_FEFP_State_and_Local_Funding</vt:lpstr>
      <vt:lpstr>'3413'!_1.__2009_10_FEFP_State_and_Local_Funding</vt:lpstr>
      <vt:lpstr>'3421'!_1.__2009_10_FEFP_State_and_Local_Funding</vt:lpstr>
      <vt:lpstr>'3431'!_1.__2009_10_FEFP_State_and_Local_Funding</vt:lpstr>
      <vt:lpstr>'3441'!_1.__2009_10_FEFP_State_and_Local_Funding</vt:lpstr>
      <vt:lpstr>'3924'!_1.__2009_10_FEFP_State_and_Local_Funding</vt:lpstr>
      <vt:lpstr>'3941'!_1.__2009_10_FEFP_State_and_Local_Funding</vt:lpstr>
      <vt:lpstr>'3961'!_1.__2009_10_FEFP_State_and_Local_Funding</vt:lpstr>
      <vt:lpstr>'3971'!_1.__2009_10_FEFP_State_and_Local_Funding</vt:lpstr>
      <vt:lpstr>'4001'!_1.__2009_10_FEFP_State_and_Local_Funding</vt:lpstr>
      <vt:lpstr>'4002'!_1.__2009_10_FEFP_State_and_Local_Funding</vt:lpstr>
      <vt:lpstr>'4012'!_1.__2009_10_FEFP_State_and_Local_Funding</vt:lpstr>
      <vt:lpstr>'4013'!_1.__2009_10_FEFP_State_and_Local_Funding</vt:lpstr>
      <vt:lpstr>'4020'!_1.__2009_10_FEFP_State_and_Local_Funding</vt:lpstr>
      <vt:lpstr>'4030'!_1.__2009_10_FEFP_State_and_Local_Funding</vt:lpstr>
      <vt:lpstr>'4031'!_1.__2009_10_FEFP_State_and_Local_Funding</vt:lpstr>
      <vt:lpstr>'4041'!_1.__2009_10_FEFP_State_and_Local_Funding</vt:lpstr>
      <vt:lpstr>'4050'!_1.__2009_10_FEFP_State_and_Local_Funding</vt:lpstr>
      <vt:lpstr>'4051'!_1.__2009_10_FEFP_State_and_Local_Funding</vt:lpstr>
      <vt:lpstr>'4061'!_1.__2009_10_FEFP_State_and_Local_Funding</vt:lpstr>
      <vt:lpstr>'4080'!_1.__2009_10_FEFP_State_and_Local_Funding</vt:lpstr>
      <vt:lpstr>'4081'!_1.__2009_10_FEFP_State_and_Local_Funding</vt:lpstr>
      <vt:lpstr>'4090'!_1.__2009_10_FEFP_State_and_Local_Funding</vt:lpstr>
      <vt:lpstr>'4091'!_1.__2009_10_FEFP_State_and_Local_Funding</vt:lpstr>
      <vt:lpstr>'4100'!_1.__2009_10_FEFP_State_and_Local_Funding</vt:lpstr>
      <vt:lpstr>'4102'!_1.__2009_10_FEFP_State_and_Local_Funding</vt:lpstr>
      <vt:lpstr>'4103'!_1.__2009_10_FEFP_State_and_Local_Funding</vt:lpstr>
      <vt:lpstr>'4111'!_1.__2009_10_FEFP_State_and_Local_Funding</vt:lpstr>
      <vt:lpstr>'4131'!_1.__2009_10_FEFP_State_and_Local_Funding</vt:lpstr>
      <vt:lpstr>_1.__2009_10_FEFP_State_and_Local_Funding</vt:lpstr>
      <vt:lpstr>'0100'!_1.__2010_11_FEFP_State_and_Local_Funding</vt:lpstr>
      <vt:lpstr>'0571'!_1.__2010_11_FEFP_State_and_Local_Funding</vt:lpstr>
      <vt:lpstr>'1461'!_1.__2010_11_FEFP_State_and_Local_Funding</vt:lpstr>
      <vt:lpstr>'1571'!_1.__2010_11_FEFP_State_and_Local_Funding</vt:lpstr>
      <vt:lpstr>'2521'!_1.__2010_11_FEFP_State_and_Local_Funding</vt:lpstr>
      <vt:lpstr>'2531'!_1.__2010_11_FEFP_State_and_Local_Funding</vt:lpstr>
      <vt:lpstr>'2791'!_1.__2010_11_FEFP_State_and_Local_Funding</vt:lpstr>
      <vt:lpstr>'2801'!_1.__2010_11_FEFP_State_and_Local_Funding</vt:lpstr>
      <vt:lpstr>'2911'!_1.__2010_11_FEFP_State_and_Local_Funding</vt:lpstr>
      <vt:lpstr>'2941'!_1.__2010_11_FEFP_State_and_Local_Funding</vt:lpstr>
      <vt:lpstr>'3083'!_1.__2010_11_FEFP_State_and_Local_Funding</vt:lpstr>
      <vt:lpstr>'3345'!_1.__2010_11_FEFP_State_and_Local_Funding</vt:lpstr>
      <vt:lpstr>'3362'!_1.__2010_11_FEFP_State_and_Local_Funding</vt:lpstr>
      <vt:lpstr>'3381'!_1.__2010_11_FEFP_State_and_Local_Funding</vt:lpstr>
      <vt:lpstr>'3382'!_1.__2010_11_FEFP_State_and_Local_Funding</vt:lpstr>
      <vt:lpstr>'3391'!_1.__2010_11_FEFP_State_and_Local_Funding</vt:lpstr>
      <vt:lpstr>'3394'!_1.__2010_11_FEFP_State_and_Local_Funding</vt:lpstr>
      <vt:lpstr>'3395'!_1.__2010_11_FEFP_State_and_Local_Funding</vt:lpstr>
      <vt:lpstr>'3396'!_1.__2010_11_FEFP_State_and_Local_Funding</vt:lpstr>
      <vt:lpstr>'3398'!_1.__2010_11_FEFP_State_and_Local_Funding</vt:lpstr>
      <vt:lpstr>'3400'!_1.__2010_11_FEFP_State_and_Local_Funding</vt:lpstr>
      <vt:lpstr>'3401'!_1.__2010_11_FEFP_State_and_Local_Funding</vt:lpstr>
      <vt:lpstr>'3413'!_1.__2010_11_FEFP_State_and_Local_Funding</vt:lpstr>
      <vt:lpstr>'3421'!_1.__2010_11_FEFP_State_and_Local_Funding</vt:lpstr>
      <vt:lpstr>'3431'!_1.__2010_11_FEFP_State_and_Local_Funding</vt:lpstr>
      <vt:lpstr>'3441'!_1.__2010_11_FEFP_State_and_Local_Funding</vt:lpstr>
      <vt:lpstr>'3924'!_1.__2010_11_FEFP_State_and_Local_Funding</vt:lpstr>
      <vt:lpstr>'3941'!_1.__2010_11_FEFP_State_and_Local_Funding</vt:lpstr>
      <vt:lpstr>'3961'!_1.__2010_11_FEFP_State_and_Local_Funding</vt:lpstr>
      <vt:lpstr>'3971'!_1.__2010_11_FEFP_State_and_Local_Funding</vt:lpstr>
      <vt:lpstr>'4001'!_1.__2010_11_FEFP_State_and_Local_Funding</vt:lpstr>
      <vt:lpstr>'4002'!_1.__2010_11_FEFP_State_and_Local_Funding</vt:lpstr>
      <vt:lpstr>'4012'!_1.__2010_11_FEFP_State_and_Local_Funding</vt:lpstr>
      <vt:lpstr>'4013'!_1.__2010_11_FEFP_State_and_Local_Funding</vt:lpstr>
      <vt:lpstr>'4020'!_1.__2010_11_FEFP_State_and_Local_Funding</vt:lpstr>
      <vt:lpstr>'4030'!_1.__2010_11_FEFP_State_and_Local_Funding</vt:lpstr>
      <vt:lpstr>'4031'!_1.__2010_11_FEFP_State_and_Local_Funding</vt:lpstr>
      <vt:lpstr>'4041'!_1.__2010_11_FEFP_State_and_Local_Funding</vt:lpstr>
      <vt:lpstr>'4050'!_1.__2010_11_FEFP_State_and_Local_Funding</vt:lpstr>
      <vt:lpstr>'4051'!_1.__2010_11_FEFP_State_and_Local_Funding</vt:lpstr>
      <vt:lpstr>'4061'!_1.__2010_11_FEFP_State_and_Local_Funding</vt:lpstr>
      <vt:lpstr>'4080'!_1.__2010_11_FEFP_State_and_Local_Funding</vt:lpstr>
      <vt:lpstr>'4081'!_1.__2010_11_FEFP_State_and_Local_Funding</vt:lpstr>
      <vt:lpstr>'4090'!_1.__2010_11_FEFP_State_and_Local_Funding</vt:lpstr>
      <vt:lpstr>'4091'!_1.__2010_11_FEFP_State_and_Local_Funding</vt:lpstr>
      <vt:lpstr>'4100'!_1.__2010_11_FEFP_State_and_Local_Funding</vt:lpstr>
      <vt:lpstr>'4102'!_1.__2010_11_FEFP_State_and_Local_Funding</vt:lpstr>
      <vt:lpstr>'4103'!_1.__2010_11_FEFP_State_and_Local_Funding</vt:lpstr>
      <vt:lpstr>'4111'!_1.__2010_11_FEFP_State_and_Local_Funding</vt:lpstr>
      <vt:lpstr>'4131'!_1.__2010_11_FEFP_State_and_Local_Funding</vt:lpstr>
      <vt:lpstr>_1.__2010_11_FEFP_State_and_Local_Funding</vt:lpstr>
      <vt:lpstr>'0100'!_101_Basic_K_3</vt:lpstr>
      <vt:lpstr>'0571'!_101_Basic_K_3</vt:lpstr>
      <vt:lpstr>'1461'!_101_Basic_K_3</vt:lpstr>
      <vt:lpstr>'1571'!_101_Basic_K_3</vt:lpstr>
      <vt:lpstr>'2521'!_101_Basic_K_3</vt:lpstr>
      <vt:lpstr>'2531'!_101_Basic_K_3</vt:lpstr>
      <vt:lpstr>'2791'!_101_Basic_K_3</vt:lpstr>
      <vt:lpstr>'2801'!_101_Basic_K_3</vt:lpstr>
      <vt:lpstr>'2911'!_101_Basic_K_3</vt:lpstr>
      <vt:lpstr>'2941'!_101_Basic_K_3</vt:lpstr>
      <vt:lpstr>'3083'!_101_Basic_K_3</vt:lpstr>
      <vt:lpstr>'3345'!_101_Basic_K_3</vt:lpstr>
      <vt:lpstr>'3362'!_101_Basic_K_3</vt:lpstr>
      <vt:lpstr>'3381'!_101_Basic_K_3</vt:lpstr>
      <vt:lpstr>'3382'!_101_Basic_K_3</vt:lpstr>
      <vt:lpstr>'3391'!_101_Basic_K_3</vt:lpstr>
      <vt:lpstr>'3394'!_101_Basic_K_3</vt:lpstr>
      <vt:lpstr>'3395'!_101_Basic_K_3</vt:lpstr>
      <vt:lpstr>'3396'!_101_Basic_K_3</vt:lpstr>
      <vt:lpstr>'3398'!_101_Basic_K_3</vt:lpstr>
      <vt:lpstr>'3400'!_101_Basic_K_3</vt:lpstr>
      <vt:lpstr>'3401'!_101_Basic_K_3</vt:lpstr>
      <vt:lpstr>'3413'!_101_Basic_K_3</vt:lpstr>
      <vt:lpstr>'3421'!_101_Basic_K_3</vt:lpstr>
      <vt:lpstr>'3431'!_101_Basic_K_3</vt:lpstr>
      <vt:lpstr>'3441'!_101_Basic_K_3</vt:lpstr>
      <vt:lpstr>'3924'!_101_Basic_K_3</vt:lpstr>
      <vt:lpstr>'3941'!_101_Basic_K_3</vt:lpstr>
      <vt:lpstr>'3961'!_101_Basic_K_3</vt:lpstr>
      <vt:lpstr>'3971'!_101_Basic_K_3</vt:lpstr>
      <vt:lpstr>'4001'!_101_Basic_K_3</vt:lpstr>
      <vt:lpstr>'4002'!_101_Basic_K_3</vt:lpstr>
      <vt:lpstr>'4012'!_101_Basic_K_3</vt:lpstr>
      <vt:lpstr>'4013'!_101_Basic_K_3</vt:lpstr>
      <vt:lpstr>'4020'!_101_Basic_K_3</vt:lpstr>
      <vt:lpstr>'4030'!_101_Basic_K_3</vt:lpstr>
      <vt:lpstr>'4031'!_101_Basic_K_3</vt:lpstr>
      <vt:lpstr>'4041'!_101_Basic_K_3</vt:lpstr>
      <vt:lpstr>'4050'!_101_Basic_K_3</vt:lpstr>
      <vt:lpstr>'4051'!_101_Basic_K_3</vt:lpstr>
      <vt:lpstr>'4061'!_101_Basic_K_3</vt:lpstr>
      <vt:lpstr>'4080'!_101_Basic_K_3</vt:lpstr>
      <vt:lpstr>'4081'!_101_Basic_K_3</vt:lpstr>
      <vt:lpstr>'4090'!_101_Basic_K_3</vt:lpstr>
      <vt:lpstr>'4091'!_101_Basic_K_3</vt:lpstr>
      <vt:lpstr>'4100'!_101_Basic_K_3</vt:lpstr>
      <vt:lpstr>'4102'!_101_Basic_K_3</vt:lpstr>
      <vt:lpstr>'4103'!_101_Basic_K_3</vt:lpstr>
      <vt:lpstr>'4111'!_101_Basic_K_3</vt:lpstr>
      <vt:lpstr>'4131'!_101_Basic_K_3</vt:lpstr>
      <vt:lpstr>_101_Basic_K_3</vt:lpstr>
      <vt:lpstr>'0100'!_102_Basic_4_8</vt:lpstr>
      <vt:lpstr>'0571'!_102_Basic_4_8</vt:lpstr>
      <vt:lpstr>'1461'!_102_Basic_4_8</vt:lpstr>
      <vt:lpstr>'1571'!_102_Basic_4_8</vt:lpstr>
      <vt:lpstr>'2521'!_102_Basic_4_8</vt:lpstr>
      <vt:lpstr>'2531'!_102_Basic_4_8</vt:lpstr>
      <vt:lpstr>'2791'!_102_Basic_4_8</vt:lpstr>
      <vt:lpstr>'2801'!_102_Basic_4_8</vt:lpstr>
      <vt:lpstr>'2911'!_102_Basic_4_8</vt:lpstr>
      <vt:lpstr>'2941'!_102_Basic_4_8</vt:lpstr>
      <vt:lpstr>'3083'!_102_Basic_4_8</vt:lpstr>
      <vt:lpstr>'3345'!_102_Basic_4_8</vt:lpstr>
      <vt:lpstr>'3362'!_102_Basic_4_8</vt:lpstr>
      <vt:lpstr>'3381'!_102_Basic_4_8</vt:lpstr>
      <vt:lpstr>'3382'!_102_Basic_4_8</vt:lpstr>
      <vt:lpstr>'3391'!_102_Basic_4_8</vt:lpstr>
      <vt:lpstr>'3394'!_102_Basic_4_8</vt:lpstr>
      <vt:lpstr>'3395'!_102_Basic_4_8</vt:lpstr>
      <vt:lpstr>'3396'!_102_Basic_4_8</vt:lpstr>
      <vt:lpstr>'3398'!_102_Basic_4_8</vt:lpstr>
      <vt:lpstr>'3400'!_102_Basic_4_8</vt:lpstr>
      <vt:lpstr>'3401'!_102_Basic_4_8</vt:lpstr>
      <vt:lpstr>'3413'!_102_Basic_4_8</vt:lpstr>
      <vt:lpstr>'3421'!_102_Basic_4_8</vt:lpstr>
      <vt:lpstr>'3431'!_102_Basic_4_8</vt:lpstr>
      <vt:lpstr>'3441'!_102_Basic_4_8</vt:lpstr>
      <vt:lpstr>'3924'!_102_Basic_4_8</vt:lpstr>
      <vt:lpstr>'3941'!_102_Basic_4_8</vt:lpstr>
      <vt:lpstr>'3961'!_102_Basic_4_8</vt:lpstr>
      <vt:lpstr>'3971'!_102_Basic_4_8</vt:lpstr>
      <vt:lpstr>'4001'!_102_Basic_4_8</vt:lpstr>
      <vt:lpstr>'4002'!_102_Basic_4_8</vt:lpstr>
      <vt:lpstr>'4012'!_102_Basic_4_8</vt:lpstr>
      <vt:lpstr>'4013'!_102_Basic_4_8</vt:lpstr>
      <vt:lpstr>'4020'!_102_Basic_4_8</vt:lpstr>
      <vt:lpstr>'4030'!_102_Basic_4_8</vt:lpstr>
      <vt:lpstr>'4031'!_102_Basic_4_8</vt:lpstr>
      <vt:lpstr>'4041'!_102_Basic_4_8</vt:lpstr>
      <vt:lpstr>'4050'!_102_Basic_4_8</vt:lpstr>
      <vt:lpstr>'4051'!_102_Basic_4_8</vt:lpstr>
      <vt:lpstr>'4061'!_102_Basic_4_8</vt:lpstr>
      <vt:lpstr>'4080'!_102_Basic_4_8</vt:lpstr>
      <vt:lpstr>'4081'!_102_Basic_4_8</vt:lpstr>
      <vt:lpstr>'4090'!_102_Basic_4_8</vt:lpstr>
      <vt:lpstr>'4091'!_102_Basic_4_8</vt:lpstr>
      <vt:lpstr>'4100'!_102_Basic_4_8</vt:lpstr>
      <vt:lpstr>'4102'!_102_Basic_4_8</vt:lpstr>
      <vt:lpstr>'4103'!_102_Basic_4_8</vt:lpstr>
      <vt:lpstr>'4111'!_102_Basic_4_8</vt:lpstr>
      <vt:lpstr>'4131'!_102_Basic_4_8</vt:lpstr>
      <vt:lpstr>_102_Basic_4_8</vt:lpstr>
      <vt:lpstr>'0100'!_103_Basic_9_12</vt:lpstr>
      <vt:lpstr>'0571'!_103_Basic_9_12</vt:lpstr>
      <vt:lpstr>'1461'!_103_Basic_9_12</vt:lpstr>
      <vt:lpstr>'1571'!_103_Basic_9_12</vt:lpstr>
      <vt:lpstr>'2521'!_103_Basic_9_12</vt:lpstr>
      <vt:lpstr>'2531'!_103_Basic_9_12</vt:lpstr>
      <vt:lpstr>'2791'!_103_Basic_9_12</vt:lpstr>
      <vt:lpstr>'2801'!_103_Basic_9_12</vt:lpstr>
      <vt:lpstr>'2911'!_103_Basic_9_12</vt:lpstr>
      <vt:lpstr>'2941'!_103_Basic_9_12</vt:lpstr>
      <vt:lpstr>'3083'!_103_Basic_9_12</vt:lpstr>
      <vt:lpstr>'3345'!_103_Basic_9_12</vt:lpstr>
      <vt:lpstr>'3362'!_103_Basic_9_12</vt:lpstr>
      <vt:lpstr>'3381'!_103_Basic_9_12</vt:lpstr>
      <vt:lpstr>'3382'!_103_Basic_9_12</vt:lpstr>
      <vt:lpstr>'3391'!_103_Basic_9_12</vt:lpstr>
      <vt:lpstr>'3394'!_103_Basic_9_12</vt:lpstr>
      <vt:lpstr>'3395'!_103_Basic_9_12</vt:lpstr>
      <vt:lpstr>'3396'!_103_Basic_9_12</vt:lpstr>
      <vt:lpstr>'3398'!_103_Basic_9_12</vt:lpstr>
      <vt:lpstr>'3400'!_103_Basic_9_12</vt:lpstr>
      <vt:lpstr>'3401'!_103_Basic_9_12</vt:lpstr>
      <vt:lpstr>'3413'!_103_Basic_9_12</vt:lpstr>
      <vt:lpstr>'3421'!_103_Basic_9_12</vt:lpstr>
      <vt:lpstr>'3431'!_103_Basic_9_12</vt:lpstr>
      <vt:lpstr>'3441'!_103_Basic_9_12</vt:lpstr>
      <vt:lpstr>'3924'!_103_Basic_9_12</vt:lpstr>
      <vt:lpstr>'3941'!_103_Basic_9_12</vt:lpstr>
      <vt:lpstr>'3961'!_103_Basic_9_12</vt:lpstr>
      <vt:lpstr>'3971'!_103_Basic_9_12</vt:lpstr>
      <vt:lpstr>'4001'!_103_Basic_9_12</vt:lpstr>
      <vt:lpstr>'4002'!_103_Basic_9_12</vt:lpstr>
      <vt:lpstr>'4012'!_103_Basic_9_12</vt:lpstr>
      <vt:lpstr>'4013'!_103_Basic_9_12</vt:lpstr>
      <vt:lpstr>'4020'!_103_Basic_9_12</vt:lpstr>
      <vt:lpstr>'4030'!_103_Basic_9_12</vt:lpstr>
      <vt:lpstr>'4031'!_103_Basic_9_12</vt:lpstr>
      <vt:lpstr>'4041'!_103_Basic_9_12</vt:lpstr>
      <vt:lpstr>'4050'!_103_Basic_9_12</vt:lpstr>
      <vt:lpstr>'4051'!_103_Basic_9_12</vt:lpstr>
      <vt:lpstr>'4061'!_103_Basic_9_12</vt:lpstr>
      <vt:lpstr>'4080'!_103_Basic_9_12</vt:lpstr>
      <vt:lpstr>'4081'!_103_Basic_9_12</vt:lpstr>
      <vt:lpstr>'4090'!_103_Basic_9_12</vt:lpstr>
      <vt:lpstr>'4091'!_103_Basic_9_12</vt:lpstr>
      <vt:lpstr>'4100'!_103_Basic_9_12</vt:lpstr>
      <vt:lpstr>'4102'!_103_Basic_9_12</vt:lpstr>
      <vt:lpstr>'4103'!_103_Basic_9_12</vt:lpstr>
      <vt:lpstr>'4111'!_103_Basic_9_12</vt:lpstr>
      <vt:lpstr>'4131'!_103_Basic_9_12</vt:lpstr>
      <vt:lpstr>_103_Basic_9_12</vt:lpstr>
      <vt:lpstr>'0100'!_111_Basic_K_3_with_ESE_Services</vt:lpstr>
      <vt:lpstr>'0571'!_111_Basic_K_3_with_ESE_Services</vt:lpstr>
      <vt:lpstr>'1461'!_111_Basic_K_3_with_ESE_Services</vt:lpstr>
      <vt:lpstr>'1571'!_111_Basic_K_3_with_ESE_Services</vt:lpstr>
      <vt:lpstr>'2521'!_111_Basic_K_3_with_ESE_Services</vt:lpstr>
      <vt:lpstr>'2531'!_111_Basic_K_3_with_ESE_Services</vt:lpstr>
      <vt:lpstr>'2791'!_111_Basic_K_3_with_ESE_Services</vt:lpstr>
      <vt:lpstr>'2801'!_111_Basic_K_3_with_ESE_Services</vt:lpstr>
      <vt:lpstr>'2911'!_111_Basic_K_3_with_ESE_Services</vt:lpstr>
      <vt:lpstr>'2941'!_111_Basic_K_3_with_ESE_Services</vt:lpstr>
      <vt:lpstr>'3083'!_111_Basic_K_3_with_ESE_Services</vt:lpstr>
      <vt:lpstr>'3345'!_111_Basic_K_3_with_ESE_Services</vt:lpstr>
      <vt:lpstr>'3362'!_111_Basic_K_3_with_ESE_Services</vt:lpstr>
      <vt:lpstr>'3381'!_111_Basic_K_3_with_ESE_Services</vt:lpstr>
      <vt:lpstr>'3382'!_111_Basic_K_3_with_ESE_Services</vt:lpstr>
      <vt:lpstr>'3391'!_111_Basic_K_3_with_ESE_Services</vt:lpstr>
      <vt:lpstr>'3394'!_111_Basic_K_3_with_ESE_Services</vt:lpstr>
      <vt:lpstr>'3395'!_111_Basic_K_3_with_ESE_Services</vt:lpstr>
      <vt:lpstr>'3396'!_111_Basic_K_3_with_ESE_Services</vt:lpstr>
      <vt:lpstr>'3398'!_111_Basic_K_3_with_ESE_Services</vt:lpstr>
      <vt:lpstr>'3400'!_111_Basic_K_3_with_ESE_Services</vt:lpstr>
      <vt:lpstr>'3401'!_111_Basic_K_3_with_ESE_Services</vt:lpstr>
      <vt:lpstr>'3413'!_111_Basic_K_3_with_ESE_Services</vt:lpstr>
      <vt:lpstr>'3421'!_111_Basic_K_3_with_ESE_Services</vt:lpstr>
      <vt:lpstr>'3431'!_111_Basic_K_3_with_ESE_Services</vt:lpstr>
      <vt:lpstr>'3441'!_111_Basic_K_3_with_ESE_Services</vt:lpstr>
      <vt:lpstr>'3924'!_111_Basic_K_3_with_ESE_Services</vt:lpstr>
      <vt:lpstr>'3941'!_111_Basic_K_3_with_ESE_Services</vt:lpstr>
      <vt:lpstr>'3961'!_111_Basic_K_3_with_ESE_Services</vt:lpstr>
      <vt:lpstr>'3971'!_111_Basic_K_3_with_ESE_Services</vt:lpstr>
      <vt:lpstr>'4001'!_111_Basic_K_3_with_ESE_Services</vt:lpstr>
      <vt:lpstr>'4002'!_111_Basic_K_3_with_ESE_Services</vt:lpstr>
      <vt:lpstr>'4012'!_111_Basic_K_3_with_ESE_Services</vt:lpstr>
      <vt:lpstr>'4013'!_111_Basic_K_3_with_ESE_Services</vt:lpstr>
      <vt:lpstr>'4020'!_111_Basic_K_3_with_ESE_Services</vt:lpstr>
      <vt:lpstr>'4030'!_111_Basic_K_3_with_ESE_Services</vt:lpstr>
      <vt:lpstr>'4031'!_111_Basic_K_3_with_ESE_Services</vt:lpstr>
      <vt:lpstr>'4041'!_111_Basic_K_3_with_ESE_Services</vt:lpstr>
      <vt:lpstr>'4050'!_111_Basic_K_3_with_ESE_Services</vt:lpstr>
      <vt:lpstr>'4051'!_111_Basic_K_3_with_ESE_Services</vt:lpstr>
      <vt:lpstr>'4061'!_111_Basic_K_3_with_ESE_Services</vt:lpstr>
      <vt:lpstr>'4080'!_111_Basic_K_3_with_ESE_Services</vt:lpstr>
      <vt:lpstr>'4081'!_111_Basic_K_3_with_ESE_Services</vt:lpstr>
      <vt:lpstr>'4090'!_111_Basic_K_3_with_ESE_Services</vt:lpstr>
      <vt:lpstr>'4091'!_111_Basic_K_3_with_ESE_Services</vt:lpstr>
      <vt:lpstr>'4100'!_111_Basic_K_3_with_ESE_Services</vt:lpstr>
      <vt:lpstr>'4102'!_111_Basic_K_3_with_ESE_Services</vt:lpstr>
      <vt:lpstr>'4103'!_111_Basic_K_3_with_ESE_Services</vt:lpstr>
      <vt:lpstr>'4111'!_111_Basic_K_3_with_ESE_Services</vt:lpstr>
      <vt:lpstr>'4131'!_111_Basic_K_3_with_ESE_Services</vt:lpstr>
      <vt:lpstr>_111_Basic_K_3_with_ESE_Services</vt:lpstr>
      <vt:lpstr>'0100'!_112_Basic_4_8_with_ESE_Services</vt:lpstr>
      <vt:lpstr>'0571'!_112_Basic_4_8_with_ESE_Services</vt:lpstr>
      <vt:lpstr>'1461'!_112_Basic_4_8_with_ESE_Services</vt:lpstr>
      <vt:lpstr>'1571'!_112_Basic_4_8_with_ESE_Services</vt:lpstr>
      <vt:lpstr>'2521'!_112_Basic_4_8_with_ESE_Services</vt:lpstr>
      <vt:lpstr>'2531'!_112_Basic_4_8_with_ESE_Services</vt:lpstr>
      <vt:lpstr>'2791'!_112_Basic_4_8_with_ESE_Services</vt:lpstr>
      <vt:lpstr>'2801'!_112_Basic_4_8_with_ESE_Services</vt:lpstr>
      <vt:lpstr>'2911'!_112_Basic_4_8_with_ESE_Services</vt:lpstr>
      <vt:lpstr>'2941'!_112_Basic_4_8_with_ESE_Services</vt:lpstr>
      <vt:lpstr>'3083'!_112_Basic_4_8_with_ESE_Services</vt:lpstr>
      <vt:lpstr>'3345'!_112_Basic_4_8_with_ESE_Services</vt:lpstr>
      <vt:lpstr>'3362'!_112_Basic_4_8_with_ESE_Services</vt:lpstr>
      <vt:lpstr>'3381'!_112_Basic_4_8_with_ESE_Services</vt:lpstr>
      <vt:lpstr>'3382'!_112_Basic_4_8_with_ESE_Services</vt:lpstr>
      <vt:lpstr>'3391'!_112_Basic_4_8_with_ESE_Services</vt:lpstr>
      <vt:lpstr>'3394'!_112_Basic_4_8_with_ESE_Services</vt:lpstr>
      <vt:lpstr>'3395'!_112_Basic_4_8_with_ESE_Services</vt:lpstr>
      <vt:lpstr>'3396'!_112_Basic_4_8_with_ESE_Services</vt:lpstr>
      <vt:lpstr>'3398'!_112_Basic_4_8_with_ESE_Services</vt:lpstr>
      <vt:lpstr>'3400'!_112_Basic_4_8_with_ESE_Services</vt:lpstr>
      <vt:lpstr>'3401'!_112_Basic_4_8_with_ESE_Services</vt:lpstr>
      <vt:lpstr>'3413'!_112_Basic_4_8_with_ESE_Services</vt:lpstr>
      <vt:lpstr>'3421'!_112_Basic_4_8_with_ESE_Services</vt:lpstr>
      <vt:lpstr>'3431'!_112_Basic_4_8_with_ESE_Services</vt:lpstr>
      <vt:lpstr>'3441'!_112_Basic_4_8_with_ESE_Services</vt:lpstr>
      <vt:lpstr>'3924'!_112_Basic_4_8_with_ESE_Services</vt:lpstr>
      <vt:lpstr>'3941'!_112_Basic_4_8_with_ESE_Services</vt:lpstr>
      <vt:lpstr>'3961'!_112_Basic_4_8_with_ESE_Services</vt:lpstr>
      <vt:lpstr>'3971'!_112_Basic_4_8_with_ESE_Services</vt:lpstr>
      <vt:lpstr>'4001'!_112_Basic_4_8_with_ESE_Services</vt:lpstr>
      <vt:lpstr>'4002'!_112_Basic_4_8_with_ESE_Services</vt:lpstr>
      <vt:lpstr>'4012'!_112_Basic_4_8_with_ESE_Services</vt:lpstr>
      <vt:lpstr>'4013'!_112_Basic_4_8_with_ESE_Services</vt:lpstr>
      <vt:lpstr>'4020'!_112_Basic_4_8_with_ESE_Services</vt:lpstr>
      <vt:lpstr>'4030'!_112_Basic_4_8_with_ESE_Services</vt:lpstr>
      <vt:lpstr>'4031'!_112_Basic_4_8_with_ESE_Services</vt:lpstr>
      <vt:lpstr>'4041'!_112_Basic_4_8_with_ESE_Services</vt:lpstr>
      <vt:lpstr>'4050'!_112_Basic_4_8_with_ESE_Services</vt:lpstr>
      <vt:lpstr>'4051'!_112_Basic_4_8_with_ESE_Services</vt:lpstr>
      <vt:lpstr>'4061'!_112_Basic_4_8_with_ESE_Services</vt:lpstr>
      <vt:lpstr>'4080'!_112_Basic_4_8_with_ESE_Services</vt:lpstr>
      <vt:lpstr>'4081'!_112_Basic_4_8_with_ESE_Services</vt:lpstr>
      <vt:lpstr>'4090'!_112_Basic_4_8_with_ESE_Services</vt:lpstr>
      <vt:lpstr>'4091'!_112_Basic_4_8_with_ESE_Services</vt:lpstr>
      <vt:lpstr>'4100'!_112_Basic_4_8_with_ESE_Services</vt:lpstr>
      <vt:lpstr>'4102'!_112_Basic_4_8_with_ESE_Services</vt:lpstr>
      <vt:lpstr>'4103'!_112_Basic_4_8_with_ESE_Services</vt:lpstr>
      <vt:lpstr>'4111'!_112_Basic_4_8_with_ESE_Services</vt:lpstr>
      <vt:lpstr>'4131'!_112_Basic_4_8_with_ESE_Services</vt:lpstr>
      <vt:lpstr>_112_Basic_4_8_with_ESE_Services</vt:lpstr>
      <vt:lpstr>'0100'!_113_Basic_9_12_with_ESE_Services</vt:lpstr>
      <vt:lpstr>'0571'!_113_Basic_9_12_with_ESE_Services</vt:lpstr>
      <vt:lpstr>'1461'!_113_Basic_9_12_with_ESE_Services</vt:lpstr>
      <vt:lpstr>'1571'!_113_Basic_9_12_with_ESE_Services</vt:lpstr>
      <vt:lpstr>'2521'!_113_Basic_9_12_with_ESE_Services</vt:lpstr>
      <vt:lpstr>'2531'!_113_Basic_9_12_with_ESE_Services</vt:lpstr>
      <vt:lpstr>'2791'!_113_Basic_9_12_with_ESE_Services</vt:lpstr>
      <vt:lpstr>'2801'!_113_Basic_9_12_with_ESE_Services</vt:lpstr>
      <vt:lpstr>'2911'!_113_Basic_9_12_with_ESE_Services</vt:lpstr>
      <vt:lpstr>'2941'!_113_Basic_9_12_with_ESE_Services</vt:lpstr>
      <vt:lpstr>'3083'!_113_Basic_9_12_with_ESE_Services</vt:lpstr>
      <vt:lpstr>'3345'!_113_Basic_9_12_with_ESE_Services</vt:lpstr>
      <vt:lpstr>'3362'!_113_Basic_9_12_with_ESE_Services</vt:lpstr>
      <vt:lpstr>'3381'!_113_Basic_9_12_with_ESE_Services</vt:lpstr>
      <vt:lpstr>'3382'!_113_Basic_9_12_with_ESE_Services</vt:lpstr>
      <vt:lpstr>'3391'!_113_Basic_9_12_with_ESE_Services</vt:lpstr>
      <vt:lpstr>'3394'!_113_Basic_9_12_with_ESE_Services</vt:lpstr>
      <vt:lpstr>'3395'!_113_Basic_9_12_with_ESE_Services</vt:lpstr>
      <vt:lpstr>'3396'!_113_Basic_9_12_with_ESE_Services</vt:lpstr>
      <vt:lpstr>'3398'!_113_Basic_9_12_with_ESE_Services</vt:lpstr>
      <vt:lpstr>'3400'!_113_Basic_9_12_with_ESE_Services</vt:lpstr>
      <vt:lpstr>'3401'!_113_Basic_9_12_with_ESE_Services</vt:lpstr>
      <vt:lpstr>'3413'!_113_Basic_9_12_with_ESE_Services</vt:lpstr>
      <vt:lpstr>'3421'!_113_Basic_9_12_with_ESE_Services</vt:lpstr>
      <vt:lpstr>'3431'!_113_Basic_9_12_with_ESE_Services</vt:lpstr>
      <vt:lpstr>'3441'!_113_Basic_9_12_with_ESE_Services</vt:lpstr>
      <vt:lpstr>'3924'!_113_Basic_9_12_with_ESE_Services</vt:lpstr>
      <vt:lpstr>'3941'!_113_Basic_9_12_with_ESE_Services</vt:lpstr>
      <vt:lpstr>'3961'!_113_Basic_9_12_with_ESE_Services</vt:lpstr>
      <vt:lpstr>'3971'!_113_Basic_9_12_with_ESE_Services</vt:lpstr>
      <vt:lpstr>'4001'!_113_Basic_9_12_with_ESE_Services</vt:lpstr>
      <vt:lpstr>'4002'!_113_Basic_9_12_with_ESE_Services</vt:lpstr>
      <vt:lpstr>'4012'!_113_Basic_9_12_with_ESE_Services</vt:lpstr>
      <vt:lpstr>'4013'!_113_Basic_9_12_with_ESE_Services</vt:lpstr>
      <vt:lpstr>'4020'!_113_Basic_9_12_with_ESE_Services</vt:lpstr>
      <vt:lpstr>'4030'!_113_Basic_9_12_with_ESE_Services</vt:lpstr>
      <vt:lpstr>'4031'!_113_Basic_9_12_with_ESE_Services</vt:lpstr>
      <vt:lpstr>'4041'!_113_Basic_9_12_with_ESE_Services</vt:lpstr>
      <vt:lpstr>'4050'!_113_Basic_9_12_with_ESE_Services</vt:lpstr>
      <vt:lpstr>'4051'!_113_Basic_9_12_with_ESE_Services</vt:lpstr>
      <vt:lpstr>'4061'!_113_Basic_9_12_with_ESE_Services</vt:lpstr>
      <vt:lpstr>'4080'!_113_Basic_9_12_with_ESE_Services</vt:lpstr>
      <vt:lpstr>'4081'!_113_Basic_9_12_with_ESE_Services</vt:lpstr>
      <vt:lpstr>'4090'!_113_Basic_9_12_with_ESE_Services</vt:lpstr>
      <vt:lpstr>'4091'!_113_Basic_9_12_with_ESE_Services</vt:lpstr>
      <vt:lpstr>'4100'!_113_Basic_9_12_with_ESE_Services</vt:lpstr>
      <vt:lpstr>'4102'!_113_Basic_9_12_with_ESE_Services</vt:lpstr>
      <vt:lpstr>'4103'!_113_Basic_9_12_with_ESE_Services</vt:lpstr>
      <vt:lpstr>'4111'!_113_Basic_9_12_with_ESE_Services</vt:lpstr>
      <vt:lpstr>'4131'!_113_Basic_9_12_with_ESE_Services</vt:lpstr>
      <vt:lpstr>_113_Basic_9_12_with_ESE_Services</vt:lpstr>
      <vt:lpstr>'0100'!_130_ESOL__Grade_Level_4_8</vt:lpstr>
      <vt:lpstr>'0571'!_130_ESOL__Grade_Level_4_8</vt:lpstr>
      <vt:lpstr>'1461'!_130_ESOL__Grade_Level_4_8</vt:lpstr>
      <vt:lpstr>'1571'!_130_ESOL__Grade_Level_4_8</vt:lpstr>
      <vt:lpstr>'2521'!_130_ESOL__Grade_Level_4_8</vt:lpstr>
      <vt:lpstr>'2531'!_130_ESOL__Grade_Level_4_8</vt:lpstr>
      <vt:lpstr>'2791'!_130_ESOL__Grade_Level_4_8</vt:lpstr>
      <vt:lpstr>'2801'!_130_ESOL__Grade_Level_4_8</vt:lpstr>
      <vt:lpstr>'2911'!_130_ESOL__Grade_Level_4_8</vt:lpstr>
      <vt:lpstr>'2941'!_130_ESOL__Grade_Level_4_8</vt:lpstr>
      <vt:lpstr>'3083'!_130_ESOL__Grade_Level_4_8</vt:lpstr>
      <vt:lpstr>'3345'!_130_ESOL__Grade_Level_4_8</vt:lpstr>
      <vt:lpstr>'3362'!_130_ESOL__Grade_Level_4_8</vt:lpstr>
      <vt:lpstr>'3381'!_130_ESOL__Grade_Level_4_8</vt:lpstr>
      <vt:lpstr>'3382'!_130_ESOL__Grade_Level_4_8</vt:lpstr>
      <vt:lpstr>'3391'!_130_ESOL__Grade_Level_4_8</vt:lpstr>
      <vt:lpstr>'3394'!_130_ESOL__Grade_Level_4_8</vt:lpstr>
      <vt:lpstr>'3395'!_130_ESOL__Grade_Level_4_8</vt:lpstr>
      <vt:lpstr>'3396'!_130_ESOL__Grade_Level_4_8</vt:lpstr>
      <vt:lpstr>'3398'!_130_ESOL__Grade_Level_4_8</vt:lpstr>
      <vt:lpstr>'3400'!_130_ESOL__Grade_Level_4_8</vt:lpstr>
      <vt:lpstr>'3401'!_130_ESOL__Grade_Level_4_8</vt:lpstr>
      <vt:lpstr>'3413'!_130_ESOL__Grade_Level_4_8</vt:lpstr>
      <vt:lpstr>'3421'!_130_ESOL__Grade_Level_4_8</vt:lpstr>
      <vt:lpstr>'3431'!_130_ESOL__Grade_Level_4_8</vt:lpstr>
      <vt:lpstr>'3441'!_130_ESOL__Grade_Level_4_8</vt:lpstr>
      <vt:lpstr>'3924'!_130_ESOL__Grade_Level_4_8</vt:lpstr>
      <vt:lpstr>'3941'!_130_ESOL__Grade_Level_4_8</vt:lpstr>
      <vt:lpstr>'3961'!_130_ESOL__Grade_Level_4_8</vt:lpstr>
      <vt:lpstr>'3971'!_130_ESOL__Grade_Level_4_8</vt:lpstr>
      <vt:lpstr>'4001'!_130_ESOL__Grade_Level_4_8</vt:lpstr>
      <vt:lpstr>'4002'!_130_ESOL__Grade_Level_4_8</vt:lpstr>
      <vt:lpstr>'4012'!_130_ESOL__Grade_Level_4_8</vt:lpstr>
      <vt:lpstr>'4013'!_130_ESOL__Grade_Level_4_8</vt:lpstr>
      <vt:lpstr>'4020'!_130_ESOL__Grade_Level_4_8</vt:lpstr>
      <vt:lpstr>'4030'!_130_ESOL__Grade_Level_4_8</vt:lpstr>
      <vt:lpstr>'4031'!_130_ESOL__Grade_Level_4_8</vt:lpstr>
      <vt:lpstr>'4041'!_130_ESOL__Grade_Level_4_8</vt:lpstr>
      <vt:lpstr>'4050'!_130_ESOL__Grade_Level_4_8</vt:lpstr>
      <vt:lpstr>'4051'!_130_ESOL__Grade_Level_4_8</vt:lpstr>
      <vt:lpstr>'4061'!_130_ESOL__Grade_Level_4_8</vt:lpstr>
      <vt:lpstr>'4080'!_130_ESOL__Grade_Level_4_8</vt:lpstr>
      <vt:lpstr>'4081'!_130_ESOL__Grade_Level_4_8</vt:lpstr>
      <vt:lpstr>'4090'!_130_ESOL__Grade_Level_4_8</vt:lpstr>
      <vt:lpstr>'4091'!_130_ESOL__Grade_Level_4_8</vt:lpstr>
      <vt:lpstr>'4100'!_130_ESOL__Grade_Level_4_8</vt:lpstr>
      <vt:lpstr>'4102'!_130_ESOL__Grade_Level_4_8</vt:lpstr>
      <vt:lpstr>'4103'!_130_ESOL__Grade_Level_4_8</vt:lpstr>
      <vt:lpstr>'4111'!_130_ESOL__Grade_Level_4_8</vt:lpstr>
      <vt:lpstr>'4131'!_130_ESOL__Grade_Level_4_8</vt:lpstr>
      <vt:lpstr>_130_ESOL__Grade_Level_4_8</vt:lpstr>
      <vt:lpstr>'0100'!_130_ESOL__Grade_Level_9_12</vt:lpstr>
      <vt:lpstr>'0571'!_130_ESOL__Grade_Level_9_12</vt:lpstr>
      <vt:lpstr>'1461'!_130_ESOL__Grade_Level_9_12</vt:lpstr>
      <vt:lpstr>'1571'!_130_ESOL__Grade_Level_9_12</vt:lpstr>
      <vt:lpstr>'2521'!_130_ESOL__Grade_Level_9_12</vt:lpstr>
      <vt:lpstr>'2531'!_130_ESOL__Grade_Level_9_12</vt:lpstr>
      <vt:lpstr>'2791'!_130_ESOL__Grade_Level_9_12</vt:lpstr>
      <vt:lpstr>'2801'!_130_ESOL__Grade_Level_9_12</vt:lpstr>
      <vt:lpstr>'2911'!_130_ESOL__Grade_Level_9_12</vt:lpstr>
      <vt:lpstr>'2941'!_130_ESOL__Grade_Level_9_12</vt:lpstr>
      <vt:lpstr>'3083'!_130_ESOL__Grade_Level_9_12</vt:lpstr>
      <vt:lpstr>'3345'!_130_ESOL__Grade_Level_9_12</vt:lpstr>
      <vt:lpstr>'3362'!_130_ESOL__Grade_Level_9_12</vt:lpstr>
      <vt:lpstr>'3381'!_130_ESOL__Grade_Level_9_12</vt:lpstr>
      <vt:lpstr>'3382'!_130_ESOL__Grade_Level_9_12</vt:lpstr>
      <vt:lpstr>'3391'!_130_ESOL__Grade_Level_9_12</vt:lpstr>
      <vt:lpstr>'3394'!_130_ESOL__Grade_Level_9_12</vt:lpstr>
      <vt:lpstr>'3395'!_130_ESOL__Grade_Level_9_12</vt:lpstr>
      <vt:lpstr>'3396'!_130_ESOL__Grade_Level_9_12</vt:lpstr>
      <vt:lpstr>'3398'!_130_ESOL__Grade_Level_9_12</vt:lpstr>
      <vt:lpstr>'3400'!_130_ESOL__Grade_Level_9_12</vt:lpstr>
      <vt:lpstr>'3401'!_130_ESOL__Grade_Level_9_12</vt:lpstr>
      <vt:lpstr>'3413'!_130_ESOL__Grade_Level_9_12</vt:lpstr>
      <vt:lpstr>'3421'!_130_ESOL__Grade_Level_9_12</vt:lpstr>
      <vt:lpstr>'3431'!_130_ESOL__Grade_Level_9_12</vt:lpstr>
      <vt:lpstr>'3441'!_130_ESOL__Grade_Level_9_12</vt:lpstr>
      <vt:lpstr>'3924'!_130_ESOL__Grade_Level_9_12</vt:lpstr>
      <vt:lpstr>'3941'!_130_ESOL__Grade_Level_9_12</vt:lpstr>
      <vt:lpstr>'3961'!_130_ESOL__Grade_Level_9_12</vt:lpstr>
      <vt:lpstr>'3971'!_130_ESOL__Grade_Level_9_12</vt:lpstr>
      <vt:lpstr>'4001'!_130_ESOL__Grade_Level_9_12</vt:lpstr>
      <vt:lpstr>'4002'!_130_ESOL__Grade_Level_9_12</vt:lpstr>
      <vt:lpstr>'4012'!_130_ESOL__Grade_Level_9_12</vt:lpstr>
      <vt:lpstr>'4013'!_130_ESOL__Grade_Level_9_12</vt:lpstr>
      <vt:lpstr>'4020'!_130_ESOL__Grade_Level_9_12</vt:lpstr>
      <vt:lpstr>'4030'!_130_ESOL__Grade_Level_9_12</vt:lpstr>
      <vt:lpstr>'4031'!_130_ESOL__Grade_Level_9_12</vt:lpstr>
      <vt:lpstr>'4041'!_130_ESOL__Grade_Level_9_12</vt:lpstr>
      <vt:lpstr>'4050'!_130_ESOL__Grade_Level_9_12</vt:lpstr>
      <vt:lpstr>'4051'!_130_ESOL__Grade_Level_9_12</vt:lpstr>
      <vt:lpstr>'4061'!_130_ESOL__Grade_Level_9_12</vt:lpstr>
      <vt:lpstr>'4080'!_130_ESOL__Grade_Level_9_12</vt:lpstr>
      <vt:lpstr>'4081'!_130_ESOL__Grade_Level_9_12</vt:lpstr>
      <vt:lpstr>'4090'!_130_ESOL__Grade_Level_9_12</vt:lpstr>
      <vt:lpstr>'4091'!_130_ESOL__Grade_Level_9_12</vt:lpstr>
      <vt:lpstr>'4100'!_130_ESOL__Grade_Level_9_12</vt:lpstr>
      <vt:lpstr>'4102'!_130_ESOL__Grade_Level_9_12</vt:lpstr>
      <vt:lpstr>'4103'!_130_ESOL__Grade_Level_9_12</vt:lpstr>
      <vt:lpstr>'4111'!_130_ESOL__Grade_Level_9_12</vt:lpstr>
      <vt:lpstr>'4131'!_130_ESOL__Grade_Level_9_12</vt:lpstr>
      <vt:lpstr>_130_ESOL__Grade_Level_9_12</vt:lpstr>
      <vt:lpstr>'0100'!_130_ESOL__Grade_Level_PK_3</vt:lpstr>
      <vt:lpstr>'0571'!_130_ESOL__Grade_Level_PK_3</vt:lpstr>
      <vt:lpstr>'1461'!_130_ESOL__Grade_Level_PK_3</vt:lpstr>
      <vt:lpstr>'1571'!_130_ESOL__Grade_Level_PK_3</vt:lpstr>
      <vt:lpstr>'2521'!_130_ESOL__Grade_Level_PK_3</vt:lpstr>
      <vt:lpstr>'2531'!_130_ESOL__Grade_Level_PK_3</vt:lpstr>
      <vt:lpstr>'2791'!_130_ESOL__Grade_Level_PK_3</vt:lpstr>
      <vt:lpstr>'2801'!_130_ESOL__Grade_Level_PK_3</vt:lpstr>
      <vt:lpstr>'2911'!_130_ESOL__Grade_Level_PK_3</vt:lpstr>
      <vt:lpstr>'2941'!_130_ESOL__Grade_Level_PK_3</vt:lpstr>
      <vt:lpstr>'3083'!_130_ESOL__Grade_Level_PK_3</vt:lpstr>
      <vt:lpstr>'3345'!_130_ESOL__Grade_Level_PK_3</vt:lpstr>
      <vt:lpstr>'3362'!_130_ESOL__Grade_Level_PK_3</vt:lpstr>
      <vt:lpstr>'3381'!_130_ESOL__Grade_Level_PK_3</vt:lpstr>
      <vt:lpstr>'3382'!_130_ESOL__Grade_Level_PK_3</vt:lpstr>
      <vt:lpstr>'3391'!_130_ESOL__Grade_Level_PK_3</vt:lpstr>
      <vt:lpstr>'3394'!_130_ESOL__Grade_Level_PK_3</vt:lpstr>
      <vt:lpstr>'3395'!_130_ESOL__Grade_Level_PK_3</vt:lpstr>
      <vt:lpstr>'3396'!_130_ESOL__Grade_Level_PK_3</vt:lpstr>
      <vt:lpstr>'3398'!_130_ESOL__Grade_Level_PK_3</vt:lpstr>
      <vt:lpstr>'3400'!_130_ESOL__Grade_Level_PK_3</vt:lpstr>
      <vt:lpstr>'3401'!_130_ESOL__Grade_Level_PK_3</vt:lpstr>
      <vt:lpstr>'3413'!_130_ESOL__Grade_Level_PK_3</vt:lpstr>
      <vt:lpstr>'3421'!_130_ESOL__Grade_Level_PK_3</vt:lpstr>
      <vt:lpstr>'3431'!_130_ESOL__Grade_Level_PK_3</vt:lpstr>
      <vt:lpstr>'3441'!_130_ESOL__Grade_Level_PK_3</vt:lpstr>
      <vt:lpstr>'3924'!_130_ESOL__Grade_Level_PK_3</vt:lpstr>
      <vt:lpstr>'3941'!_130_ESOL__Grade_Level_PK_3</vt:lpstr>
      <vt:lpstr>'3961'!_130_ESOL__Grade_Level_PK_3</vt:lpstr>
      <vt:lpstr>'3971'!_130_ESOL__Grade_Level_PK_3</vt:lpstr>
      <vt:lpstr>'4001'!_130_ESOL__Grade_Level_PK_3</vt:lpstr>
      <vt:lpstr>'4002'!_130_ESOL__Grade_Level_PK_3</vt:lpstr>
      <vt:lpstr>'4012'!_130_ESOL__Grade_Level_PK_3</vt:lpstr>
      <vt:lpstr>'4013'!_130_ESOL__Grade_Level_PK_3</vt:lpstr>
      <vt:lpstr>'4020'!_130_ESOL__Grade_Level_PK_3</vt:lpstr>
      <vt:lpstr>'4030'!_130_ESOL__Grade_Level_PK_3</vt:lpstr>
      <vt:lpstr>'4031'!_130_ESOL__Grade_Level_PK_3</vt:lpstr>
      <vt:lpstr>'4041'!_130_ESOL__Grade_Level_PK_3</vt:lpstr>
      <vt:lpstr>'4050'!_130_ESOL__Grade_Level_PK_3</vt:lpstr>
      <vt:lpstr>'4051'!_130_ESOL__Grade_Level_PK_3</vt:lpstr>
      <vt:lpstr>'4061'!_130_ESOL__Grade_Level_PK_3</vt:lpstr>
      <vt:lpstr>'4080'!_130_ESOL__Grade_Level_PK_3</vt:lpstr>
      <vt:lpstr>'4081'!_130_ESOL__Grade_Level_PK_3</vt:lpstr>
      <vt:lpstr>'4090'!_130_ESOL__Grade_Level_PK_3</vt:lpstr>
      <vt:lpstr>'4091'!_130_ESOL__Grade_Level_PK_3</vt:lpstr>
      <vt:lpstr>'4100'!_130_ESOL__Grade_Level_PK_3</vt:lpstr>
      <vt:lpstr>'4102'!_130_ESOL__Grade_Level_PK_3</vt:lpstr>
      <vt:lpstr>'4103'!_130_ESOL__Grade_Level_PK_3</vt:lpstr>
      <vt:lpstr>'4111'!_130_ESOL__Grade_Level_PK_3</vt:lpstr>
      <vt:lpstr>'4131'!_130_ESOL__Grade_Level_PK_3</vt:lpstr>
      <vt:lpstr>_130_ESOL__Grade_Level_PK_3</vt:lpstr>
      <vt:lpstr>'0040'!_1A.___2023_24_FEFP_State_and_Local_Funding</vt:lpstr>
      <vt:lpstr>'0100'!_1A.___2023_24_FEFP_State_and_Local_Funding</vt:lpstr>
      <vt:lpstr>'0571'!_1A.___2023_24_FEFP_State_and_Local_Funding</vt:lpstr>
      <vt:lpstr>'1461'!_1A.___2023_24_FEFP_State_and_Local_Funding</vt:lpstr>
      <vt:lpstr>'1571'!_1A.___2023_24_FEFP_State_and_Local_Funding</vt:lpstr>
      <vt:lpstr>'2521'!_1A.___2023_24_FEFP_State_and_Local_Funding</vt:lpstr>
      <vt:lpstr>'2531'!_1A.___2023_24_FEFP_State_and_Local_Funding</vt:lpstr>
      <vt:lpstr>'2791'!_1A.___2023_24_FEFP_State_and_Local_Funding</vt:lpstr>
      <vt:lpstr>'2801'!_1A.___2023_24_FEFP_State_and_Local_Funding</vt:lpstr>
      <vt:lpstr>'2911'!_1A.___2023_24_FEFP_State_and_Local_Funding</vt:lpstr>
      <vt:lpstr>'2941'!_1A.___2023_24_FEFP_State_and_Local_Funding</vt:lpstr>
      <vt:lpstr>'3083'!_1A.___2023_24_FEFP_State_and_Local_Funding</vt:lpstr>
      <vt:lpstr>'3345'!_1A.___2023_24_FEFP_State_and_Local_Funding</vt:lpstr>
      <vt:lpstr>'3362'!_1A.___2023_24_FEFP_State_and_Local_Funding</vt:lpstr>
      <vt:lpstr>'3381'!_1A.___2023_24_FEFP_State_and_Local_Funding</vt:lpstr>
      <vt:lpstr>'3382'!_1A.___2023_24_FEFP_State_and_Local_Funding</vt:lpstr>
      <vt:lpstr>'3391'!_1A.___2023_24_FEFP_State_and_Local_Funding</vt:lpstr>
      <vt:lpstr>'3394'!_1A.___2023_24_FEFP_State_and_Local_Funding</vt:lpstr>
      <vt:lpstr>'3395'!_1A.___2023_24_FEFP_State_and_Local_Funding</vt:lpstr>
      <vt:lpstr>'3396'!_1A.___2023_24_FEFP_State_and_Local_Funding</vt:lpstr>
      <vt:lpstr>'3398'!_1A.___2023_24_FEFP_State_and_Local_Funding</vt:lpstr>
      <vt:lpstr>'3400'!_1A.___2023_24_FEFP_State_and_Local_Funding</vt:lpstr>
      <vt:lpstr>'3401'!_1A.___2023_24_FEFP_State_and_Local_Funding</vt:lpstr>
      <vt:lpstr>'3413'!_1A.___2023_24_FEFP_State_and_Local_Funding</vt:lpstr>
      <vt:lpstr>'3421'!_1A.___2023_24_FEFP_State_and_Local_Funding</vt:lpstr>
      <vt:lpstr>'3431'!_1A.___2023_24_FEFP_State_and_Local_Funding</vt:lpstr>
      <vt:lpstr>'3441'!_1A.___2023_24_FEFP_State_and_Local_Funding</vt:lpstr>
      <vt:lpstr>'3924'!_1A.___2023_24_FEFP_State_and_Local_Funding</vt:lpstr>
      <vt:lpstr>'3941'!_1A.___2023_24_FEFP_State_and_Local_Funding</vt:lpstr>
      <vt:lpstr>'3961'!_1A.___2023_24_FEFP_State_and_Local_Funding</vt:lpstr>
      <vt:lpstr>'3971'!_1A.___2023_24_FEFP_State_and_Local_Funding</vt:lpstr>
      <vt:lpstr>'4001'!_1A.___2023_24_FEFP_State_and_Local_Funding</vt:lpstr>
      <vt:lpstr>'4002'!_1A.___2023_24_FEFP_State_and_Local_Funding</vt:lpstr>
      <vt:lpstr>'4012'!_1A.___2023_24_FEFP_State_and_Local_Funding</vt:lpstr>
      <vt:lpstr>'4013'!_1A.___2023_24_FEFP_State_and_Local_Funding</vt:lpstr>
      <vt:lpstr>'4020'!_1A.___2023_24_FEFP_State_and_Local_Funding</vt:lpstr>
      <vt:lpstr>'4030'!_1A.___2023_24_FEFP_State_and_Local_Funding</vt:lpstr>
      <vt:lpstr>'4031'!_1A.___2023_24_FEFP_State_and_Local_Funding</vt:lpstr>
      <vt:lpstr>'4041'!_1A.___2023_24_FEFP_State_and_Local_Funding</vt:lpstr>
      <vt:lpstr>'4050'!_1A.___2023_24_FEFP_State_and_Local_Funding</vt:lpstr>
      <vt:lpstr>'4051'!_1A.___2023_24_FEFP_State_and_Local_Funding</vt:lpstr>
      <vt:lpstr>'4061'!_1A.___2023_24_FEFP_State_and_Local_Funding</vt:lpstr>
      <vt:lpstr>'4080'!_1A.___2023_24_FEFP_State_and_Local_Funding</vt:lpstr>
      <vt:lpstr>'4081'!_1A.___2023_24_FEFP_State_and_Local_Funding</vt:lpstr>
      <vt:lpstr>'4090'!_1A.___2023_24_FEFP_State_and_Local_Funding</vt:lpstr>
      <vt:lpstr>'4091'!_1A.___2023_24_FEFP_State_and_Local_Funding</vt:lpstr>
      <vt:lpstr>'4100'!_1A.___2023_24_FEFP_State_and_Local_Funding</vt:lpstr>
      <vt:lpstr>'4102'!_1A.___2023_24_FEFP_State_and_Local_Funding</vt:lpstr>
      <vt:lpstr>'4103'!_1A.___2023_24_FEFP_State_and_Local_Funding</vt:lpstr>
      <vt:lpstr>'4111'!_1A.___2023_24_FEFP_State_and_Local_Funding</vt:lpstr>
      <vt:lpstr>'4131'!_1A.___2023_24_FEFP_State_and_Local_Funding</vt:lpstr>
      <vt:lpstr>'0100'!_2</vt:lpstr>
      <vt:lpstr>'0571'!_2</vt:lpstr>
      <vt:lpstr>'1461'!_2</vt:lpstr>
      <vt:lpstr>'1571'!_2</vt:lpstr>
      <vt:lpstr>'2521'!_2</vt:lpstr>
      <vt:lpstr>'2531'!_2</vt:lpstr>
      <vt:lpstr>'2791'!_2</vt:lpstr>
      <vt:lpstr>'2801'!_2</vt:lpstr>
      <vt:lpstr>'2911'!_2</vt:lpstr>
      <vt:lpstr>'2941'!_2</vt:lpstr>
      <vt:lpstr>'3083'!_2</vt:lpstr>
      <vt:lpstr>'3345'!_2</vt:lpstr>
      <vt:lpstr>'3362'!_2</vt:lpstr>
      <vt:lpstr>'3381'!_2</vt:lpstr>
      <vt:lpstr>'3382'!_2</vt:lpstr>
      <vt:lpstr>'3391'!_2</vt:lpstr>
      <vt:lpstr>'3394'!_2</vt:lpstr>
      <vt:lpstr>'3395'!_2</vt:lpstr>
      <vt:lpstr>'3396'!_2</vt:lpstr>
      <vt:lpstr>'3398'!_2</vt:lpstr>
      <vt:lpstr>'3400'!_2</vt:lpstr>
      <vt:lpstr>'3401'!_2</vt:lpstr>
      <vt:lpstr>'3413'!_2</vt:lpstr>
      <vt:lpstr>'3421'!_2</vt:lpstr>
      <vt:lpstr>'3431'!_2</vt:lpstr>
      <vt:lpstr>'3441'!_2</vt:lpstr>
      <vt:lpstr>'3924'!_2</vt:lpstr>
      <vt:lpstr>'3941'!_2</vt:lpstr>
      <vt:lpstr>'3961'!_2</vt:lpstr>
      <vt:lpstr>'3971'!_2</vt:lpstr>
      <vt:lpstr>'4001'!_2</vt:lpstr>
      <vt:lpstr>'4002'!_2</vt:lpstr>
      <vt:lpstr>'4012'!_2</vt:lpstr>
      <vt:lpstr>'4013'!_2</vt:lpstr>
      <vt:lpstr>'4020'!_2</vt:lpstr>
      <vt:lpstr>'4030'!_2</vt:lpstr>
      <vt:lpstr>'4031'!_2</vt:lpstr>
      <vt:lpstr>'4041'!_2</vt:lpstr>
      <vt:lpstr>'4050'!_2</vt:lpstr>
      <vt:lpstr>'4051'!_2</vt:lpstr>
      <vt:lpstr>'4061'!_2</vt:lpstr>
      <vt:lpstr>'4080'!_2</vt:lpstr>
      <vt:lpstr>'4081'!_2</vt:lpstr>
      <vt:lpstr>'4090'!_2</vt:lpstr>
      <vt:lpstr>'4091'!_2</vt:lpstr>
      <vt:lpstr>'4100'!_2</vt:lpstr>
      <vt:lpstr>'4102'!_2</vt:lpstr>
      <vt:lpstr>'4103'!_2</vt:lpstr>
      <vt:lpstr>'4111'!_2</vt:lpstr>
      <vt:lpstr>'4131'!_2</vt:lpstr>
      <vt:lpstr>_2</vt:lpstr>
      <vt:lpstr>'0100'!_2010_11_Base_Funding_WFTE_x_BSA_x_DCD</vt:lpstr>
      <vt:lpstr>'0571'!_2010_11_Base_Funding_WFTE_x_BSA_x_DCD</vt:lpstr>
      <vt:lpstr>'1461'!_2010_11_Base_Funding_WFTE_x_BSA_x_DCD</vt:lpstr>
      <vt:lpstr>'1571'!_2010_11_Base_Funding_WFTE_x_BSA_x_DCD</vt:lpstr>
      <vt:lpstr>'2521'!_2010_11_Base_Funding_WFTE_x_BSA_x_DCD</vt:lpstr>
      <vt:lpstr>'2531'!_2010_11_Base_Funding_WFTE_x_BSA_x_DCD</vt:lpstr>
      <vt:lpstr>'2791'!_2010_11_Base_Funding_WFTE_x_BSA_x_DCD</vt:lpstr>
      <vt:lpstr>'2801'!_2010_11_Base_Funding_WFTE_x_BSA_x_DCD</vt:lpstr>
      <vt:lpstr>'2911'!_2010_11_Base_Funding_WFTE_x_BSA_x_DCD</vt:lpstr>
      <vt:lpstr>'2941'!_2010_11_Base_Funding_WFTE_x_BSA_x_DCD</vt:lpstr>
      <vt:lpstr>'3083'!_2010_11_Base_Funding_WFTE_x_BSA_x_DCD</vt:lpstr>
      <vt:lpstr>'3345'!_2010_11_Base_Funding_WFTE_x_BSA_x_DCD</vt:lpstr>
      <vt:lpstr>'3362'!_2010_11_Base_Funding_WFTE_x_BSA_x_DCD</vt:lpstr>
      <vt:lpstr>'3381'!_2010_11_Base_Funding_WFTE_x_BSA_x_DCD</vt:lpstr>
      <vt:lpstr>'3382'!_2010_11_Base_Funding_WFTE_x_BSA_x_DCD</vt:lpstr>
      <vt:lpstr>'3391'!_2010_11_Base_Funding_WFTE_x_BSA_x_DCD</vt:lpstr>
      <vt:lpstr>'3394'!_2010_11_Base_Funding_WFTE_x_BSA_x_DCD</vt:lpstr>
      <vt:lpstr>'3395'!_2010_11_Base_Funding_WFTE_x_BSA_x_DCD</vt:lpstr>
      <vt:lpstr>'3396'!_2010_11_Base_Funding_WFTE_x_BSA_x_DCD</vt:lpstr>
      <vt:lpstr>'3398'!_2010_11_Base_Funding_WFTE_x_BSA_x_DCD</vt:lpstr>
      <vt:lpstr>'3400'!_2010_11_Base_Funding_WFTE_x_BSA_x_DCD</vt:lpstr>
      <vt:lpstr>'3401'!_2010_11_Base_Funding_WFTE_x_BSA_x_DCD</vt:lpstr>
      <vt:lpstr>'3413'!_2010_11_Base_Funding_WFTE_x_BSA_x_DCD</vt:lpstr>
      <vt:lpstr>'3421'!_2010_11_Base_Funding_WFTE_x_BSA_x_DCD</vt:lpstr>
      <vt:lpstr>'3431'!_2010_11_Base_Funding_WFTE_x_BSA_x_DCD</vt:lpstr>
      <vt:lpstr>'3441'!_2010_11_Base_Funding_WFTE_x_BSA_x_DCD</vt:lpstr>
      <vt:lpstr>'3924'!_2010_11_Base_Funding_WFTE_x_BSA_x_DCD</vt:lpstr>
      <vt:lpstr>'3941'!_2010_11_Base_Funding_WFTE_x_BSA_x_DCD</vt:lpstr>
      <vt:lpstr>'3961'!_2010_11_Base_Funding_WFTE_x_BSA_x_DCD</vt:lpstr>
      <vt:lpstr>'3971'!_2010_11_Base_Funding_WFTE_x_BSA_x_DCD</vt:lpstr>
      <vt:lpstr>'4001'!_2010_11_Base_Funding_WFTE_x_BSA_x_DCD</vt:lpstr>
      <vt:lpstr>'4002'!_2010_11_Base_Funding_WFTE_x_BSA_x_DCD</vt:lpstr>
      <vt:lpstr>'4012'!_2010_11_Base_Funding_WFTE_x_BSA_x_DCD</vt:lpstr>
      <vt:lpstr>'4013'!_2010_11_Base_Funding_WFTE_x_BSA_x_DCD</vt:lpstr>
      <vt:lpstr>'4020'!_2010_11_Base_Funding_WFTE_x_BSA_x_DCD</vt:lpstr>
      <vt:lpstr>'4030'!_2010_11_Base_Funding_WFTE_x_BSA_x_DCD</vt:lpstr>
      <vt:lpstr>'4031'!_2010_11_Base_Funding_WFTE_x_BSA_x_DCD</vt:lpstr>
      <vt:lpstr>'4041'!_2010_11_Base_Funding_WFTE_x_BSA_x_DCD</vt:lpstr>
      <vt:lpstr>'4050'!_2010_11_Base_Funding_WFTE_x_BSA_x_DCD</vt:lpstr>
      <vt:lpstr>'4051'!_2010_11_Base_Funding_WFTE_x_BSA_x_DCD</vt:lpstr>
      <vt:lpstr>'4061'!_2010_11_Base_Funding_WFTE_x_BSA_x_DCD</vt:lpstr>
      <vt:lpstr>'4080'!_2010_11_Base_Funding_WFTE_x_BSA_x_DCD</vt:lpstr>
      <vt:lpstr>'4081'!_2010_11_Base_Funding_WFTE_x_BSA_x_DCD</vt:lpstr>
      <vt:lpstr>'4090'!_2010_11_Base_Funding_WFTE_x_BSA_x_DCD</vt:lpstr>
      <vt:lpstr>'4091'!_2010_11_Base_Funding_WFTE_x_BSA_x_DCD</vt:lpstr>
      <vt:lpstr>'4100'!_2010_11_Base_Funding_WFTE_x_BSA_x_DCD</vt:lpstr>
      <vt:lpstr>'4102'!_2010_11_Base_Funding_WFTE_x_BSA_x_DCD</vt:lpstr>
      <vt:lpstr>'4103'!_2010_11_Base_Funding_WFTE_x_BSA_x_DCD</vt:lpstr>
      <vt:lpstr>'4111'!_2010_11_Base_Funding_WFTE_x_BSA_x_DCD</vt:lpstr>
      <vt:lpstr>'4131'!_2010_11_Base_Funding_WFTE_x_BSA_x_DCD</vt:lpstr>
      <vt:lpstr>_2010_11_Base_Funding_WFTE_x_BSA_x_DCD</vt:lpstr>
      <vt:lpstr>'0100'!_254_ESE_Level_4__Grade_Level_4_8</vt:lpstr>
      <vt:lpstr>'0571'!_254_ESE_Level_4__Grade_Level_4_8</vt:lpstr>
      <vt:lpstr>'1461'!_254_ESE_Level_4__Grade_Level_4_8</vt:lpstr>
      <vt:lpstr>'1571'!_254_ESE_Level_4__Grade_Level_4_8</vt:lpstr>
      <vt:lpstr>'2521'!_254_ESE_Level_4__Grade_Level_4_8</vt:lpstr>
      <vt:lpstr>'2531'!_254_ESE_Level_4__Grade_Level_4_8</vt:lpstr>
      <vt:lpstr>'2791'!_254_ESE_Level_4__Grade_Level_4_8</vt:lpstr>
      <vt:lpstr>'2801'!_254_ESE_Level_4__Grade_Level_4_8</vt:lpstr>
      <vt:lpstr>'2911'!_254_ESE_Level_4__Grade_Level_4_8</vt:lpstr>
      <vt:lpstr>'2941'!_254_ESE_Level_4__Grade_Level_4_8</vt:lpstr>
      <vt:lpstr>'3083'!_254_ESE_Level_4__Grade_Level_4_8</vt:lpstr>
      <vt:lpstr>'3345'!_254_ESE_Level_4__Grade_Level_4_8</vt:lpstr>
      <vt:lpstr>'3362'!_254_ESE_Level_4__Grade_Level_4_8</vt:lpstr>
      <vt:lpstr>'3381'!_254_ESE_Level_4__Grade_Level_4_8</vt:lpstr>
      <vt:lpstr>'3382'!_254_ESE_Level_4__Grade_Level_4_8</vt:lpstr>
      <vt:lpstr>'3391'!_254_ESE_Level_4__Grade_Level_4_8</vt:lpstr>
      <vt:lpstr>'3394'!_254_ESE_Level_4__Grade_Level_4_8</vt:lpstr>
      <vt:lpstr>'3395'!_254_ESE_Level_4__Grade_Level_4_8</vt:lpstr>
      <vt:lpstr>'3396'!_254_ESE_Level_4__Grade_Level_4_8</vt:lpstr>
      <vt:lpstr>'3398'!_254_ESE_Level_4__Grade_Level_4_8</vt:lpstr>
      <vt:lpstr>'3400'!_254_ESE_Level_4__Grade_Level_4_8</vt:lpstr>
      <vt:lpstr>'3401'!_254_ESE_Level_4__Grade_Level_4_8</vt:lpstr>
      <vt:lpstr>'3413'!_254_ESE_Level_4__Grade_Level_4_8</vt:lpstr>
      <vt:lpstr>'3421'!_254_ESE_Level_4__Grade_Level_4_8</vt:lpstr>
      <vt:lpstr>'3431'!_254_ESE_Level_4__Grade_Level_4_8</vt:lpstr>
      <vt:lpstr>'3441'!_254_ESE_Level_4__Grade_Level_4_8</vt:lpstr>
      <vt:lpstr>'3924'!_254_ESE_Level_4__Grade_Level_4_8</vt:lpstr>
      <vt:lpstr>'3941'!_254_ESE_Level_4__Grade_Level_4_8</vt:lpstr>
      <vt:lpstr>'3961'!_254_ESE_Level_4__Grade_Level_4_8</vt:lpstr>
      <vt:lpstr>'3971'!_254_ESE_Level_4__Grade_Level_4_8</vt:lpstr>
      <vt:lpstr>'4001'!_254_ESE_Level_4__Grade_Level_4_8</vt:lpstr>
      <vt:lpstr>'4002'!_254_ESE_Level_4__Grade_Level_4_8</vt:lpstr>
      <vt:lpstr>'4012'!_254_ESE_Level_4__Grade_Level_4_8</vt:lpstr>
      <vt:lpstr>'4013'!_254_ESE_Level_4__Grade_Level_4_8</vt:lpstr>
      <vt:lpstr>'4020'!_254_ESE_Level_4__Grade_Level_4_8</vt:lpstr>
      <vt:lpstr>'4030'!_254_ESE_Level_4__Grade_Level_4_8</vt:lpstr>
      <vt:lpstr>'4031'!_254_ESE_Level_4__Grade_Level_4_8</vt:lpstr>
      <vt:lpstr>'4041'!_254_ESE_Level_4__Grade_Level_4_8</vt:lpstr>
      <vt:lpstr>'4050'!_254_ESE_Level_4__Grade_Level_4_8</vt:lpstr>
      <vt:lpstr>'4051'!_254_ESE_Level_4__Grade_Level_4_8</vt:lpstr>
      <vt:lpstr>'4061'!_254_ESE_Level_4__Grade_Level_4_8</vt:lpstr>
      <vt:lpstr>'4080'!_254_ESE_Level_4__Grade_Level_4_8</vt:lpstr>
      <vt:lpstr>'4081'!_254_ESE_Level_4__Grade_Level_4_8</vt:lpstr>
      <vt:lpstr>'4090'!_254_ESE_Level_4__Grade_Level_4_8</vt:lpstr>
      <vt:lpstr>'4091'!_254_ESE_Level_4__Grade_Level_4_8</vt:lpstr>
      <vt:lpstr>'4100'!_254_ESE_Level_4__Grade_Level_4_8</vt:lpstr>
      <vt:lpstr>'4102'!_254_ESE_Level_4__Grade_Level_4_8</vt:lpstr>
      <vt:lpstr>'4103'!_254_ESE_Level_4__Grade_Level_4_8</vt:lpstr>
      <vt:lpstr>'4111'!_254_ESE_Level_4__Grade_Level_4_8</vt:lpstr>
      <vt:lpstr>'4131'!_254_ESE_Level_4__Grade_Level_4_8</vt:lpstr>
      <vt:lpstr>_254_ESE_Level_4__Grade_Level_4_8</vt:lpstr>
      <vt:lpstr>'0100'!_254_ESE_Level_4__Grade_Level_9_12</vt:lpstr>
      <vt:lpstr>'0571'!_254_ESE_Level_4__Grade_Level_9_12</vt:lpstr>
      <vt:lpstr>'1461'!_254_ESE_Level_4__Grade_Level_9_12</vt:lpstr>
      <vt:lpstr>'1571'!_254_ESE_Level_4__Grade_Level_9_12</vt:lpstr>
      <vt:lpstr>'2521'!_254_ESE_Level_4__Grade_Level_9_12</vt:lpstr>
      <vt:lpstr>'2531'!_254_ESE_Level_4__Grade_Level_9_12</vt:lpstr>
      <vt:lpstr>'2791'!_254_ESE_Level_4__Grade_Level_9_12</vt:lpstr>
      <vt:lpstr>'2801'!_254_ESE_Level_4__Grade_Level_9_12</vt:lpstr>
      <vt:lpstr>'2911'!_254_ESE_Level_4__Grade_Level_9_12</vt:lpstr>
      <vt:lpstr>'2941'!_254_ESE_Level_4__Grade_Level_9_12</vt:lpstr>
      <vt:lpstr>'3083'!_254_ESE_Level_4__Grade_Level_9_12</vt:lpstr>
      <vt:lpstr>'3345'!_254_ESE_Level_4__Grade_Level_9_12</vt:lpstr>
      <vt:lpstr>'3362'!_254_ESE_Level_4__Grade_Level_9_12</vt:lpstr>
      <vt:lpstr>'3381'!_254_ESE_Level_4__Grade_Level_9_12</vt:lpstr>
      <vt:lpstr>'3382'!_254_ESE_Level_4__Grade_Level_9_12</vt:lpstr>
      <vt:lpstr>'3391'!_254_ESE_Level_4__Grade_Level_9_12</vt:lpstr>
      <vt:lpstr>'3394'!_254_ESE_Level_4__Grade_Level_9_12</vt:lpstr>
      <vt:lpstr>'3395'!_254_ESE_Level_4__Grade_Level_9_12</vt:lpstr>
      <vt:lpstr>'3396'!_254_ESE_Level_4__Grade_Level_9_12</vt:lpstr>
      <vt:lpstr>'3398'!_254_ESE_Level_4__Grade_Level_9_12</vt:lpstr>
      <vt:lpstr>'3400'!_254_ESE_Level_4__Grade_Level_9_12</vt:lpstr>
      <vt:lpstr>'3401'!_254_ESE_Level_4__Grade_Level_9_12</vt:lpstr>
      <vt:lpstr>'3413'!_254_ESE_Level_4__Grade_Level_9_12</vt:lpstr>
      <vt:lpstr>'3421'!_254_ESE_Level_4__Grade_Level_9_12</vt:lpstr>
      <vt:lpstr>'3431'!_254_ESE_Level_4__Grade_Level_9_12</vt:lpstr>
      <vt:lpstr>'3441'!_254_ESE_Level_4__Grade_Level_9_12</vt:lpstr>
      <vt:lpstr>'3924'!_254_ESE_Level_4__Grade_Level_9_12</vt:lpstr>
      <vt:lpstr>'3941'!_254_ESE_Level_4__Grade_Level_9_12</vt:lpstr>
      <vt:lpstr>'3961'!_254_ESE_Level_4__Grade_Level_9_12</vt:lpstr>
      <vt:lpstr>'3971'!_254_ESE_Level_4__Grade_Level_9_12</vt:lpstr>
      <vt:lpstr>'4001'!_254_ESE_Level_4__Grade_Level_9_12</vt:lpstr>
      <vt:lpstr>'4002'!_254_ESE_Level_4__Grade_Level_9_12</vt:lpstr>
      <vt:lpstr>'4012'!_254_ESE_Level_4__Grade_Level_9_12</vt:lpstr>
      <vt:lpstr>'4013'!_254_ESE_Level_4__Grade_Level_9_12</vt:lpstr>
      <vt:lpstr>'4020'!_254_ESE_Level_4__Grade_Level_9_12</vt:lpstr>
      <vt:lpstr>'4030'!_254_ESE_Level_4__Grade_Level_9_12</vt:lpstr>
      <vt:lpstr>'4031'!_254_ESE_Level_4__Grade_Level_9_12</vt:lpstr>
      <vt:lpstr>'4041'!_254_ESE_Level_4__Grade_Level_9_12</vt:lpstr>
      <vt:lpstr>'4050'!_254_ESE_Level_4__Grade_Level_9_12</vt:lpstr>
      <vt:lpstr>'4051'!_254_ESE_Level_4__Grade_Level_9_12</vt:lpstr>
      <vt:lpstr>'4061'!_254_ESE_Level_4__Grade_Level_9_12</vt:lpstr>
      <vt:lpstr>'4080'!_254_ESE_Level_4__Grade_Level_9_12</vt:lpstr>
      <vt:lpstr>'4081'!_254_ESE_Level_4__Grade_Level_9_12</vt:lpstr>
      <vt:lpstr>'4090'!_254_ESE_Level_4__Grade_Level_9_12</vt:lpstr>
      <vt:lpstr>'4091'!_254_ESE_Level_4__Grade_Level_9_12</vt:lpstr>
      <vt:lpstr>'4100'!_254_ESE_Level_4__Grade_Level_9_12</vt:lpstr>
      <vt:lpstr>'4102'!_254_ESE_Level_4__Grade_Level_9_12</vt:lpstr>
      <vt:lpstr>'4103'!_254_ESE_Level_4__Grade_Level_9_12</vt:lpstr>
      <vt:lpstr>'4111'!_254_ESE_Level_4__Grade_Level_9_12</vt:lpstr>
      <vt:lpstr>'4131'!_254_ESE_Level_4__Grade_Level_9_12</vt:lpstr>
      <vt:lpstr>_254_ESE_Level_4__Grade_Level_9_12</vt:lpstr>
      <vt:lpstr>'0100'!_254_ESE_Level_4__Grade_Level_PK_3</vt:lpstr>
      <vt:lpstr>'0571'!_254_ESE_Level_4__Grade_Level_PK_3</vt:lpstr>
      <vt:lpstr>'1461'!_254_ESE_Level_4__Grade_Level_PK_3</vt:lpstr>
      <vt:lpstr>'1571'!_254_ESE_Level_4__Grade_Level_PK_3</vt:lpstr>
      <vt:lpstr>'2521'!_254_ESE_Level_4__Grade_Level_PK_3</vt:lpstr>
      <vt:lpstr>'2531'!_254_ESE_Level_4__Grade_Level_PK_3</vt:lpstr>
      <vt:lpstr>'2791'!_254_ESE_Level_4__Grade_Level_PK_3</vt:lpstr>
      <vt:lpstr>'2801'!_254_ESE_Level_4__Grade_Level_PK_3</vt:lpstr>
      <vt:lpstr>'2911'!_254_ESE_Level_4__Grade_Level_PK_3</vt:lpstr>
      <vt:lpstr>'2941'!_254_ESE_Level_4__Grade_Level_PK_3</vt:lpstr>
      <vt:lpstr>'3083'!_254_ESE_Level_4__Grade_Level_PK_3</vt:lpstr>
      <vt:lpstr>'3345'!_254_ESE_Level_4__Grade_Level_PK_3</vt:lpstr>
      <vt:lpstr>'3362'!_254_ESE_Level_4__Grade_Level_PK_3</vt:lpstr>
      <vt:lpstr>'3381'!_254_ESE_Level_4__Grade_Level_PK_3</vt:lpstr>
      <vt:lpstr>'3382'!_254_ESE_Level_4__Grade_Level_PK_3</vt:lpstr>
      <vt:lpstr>'3391'!_254_ESE_Level_4__Grade_Level_PK_3</vt:lpstr>
      <vt:lpstr>'3394'!_254_ESE_Level_4__Grade_Level_PK_3</vt:lpstr>
      <vt:lpstr>'3395'!_254_ESE_Level_4__Grade_Level_PK_3</vt:lpstr>
      <vt:lpstr>'3396'!_254_ESE_Level_4__Grade_Level_PK_3</vt:lpstr>
      <vt:lpstr>'3398'!_254_ESE_Level_4__Grade_Level_PK_3</vt:lpstr>
      <vt:lpstr>'3400'!_254_ESE_Level_4__Grade_Level_PK_3</vt:lpstr>
      <vt:lpstr>'3401'!_254_ESE_Level_4__Grade_Level_PK_3</vt:lpstr>
      <vt:lpstr>'3413'!_254_ESE_Level_4__Grade_Level_PK_3</vt:lpstr>
      <vt:lpstr>'3421'!_254_ESE_Level_4__Grade_Level_PK_3</vt:lpstr>
      <vt:lpstr>'3431'!_254_ESE_Level_4__Grade_Level_PK_3</vt:lpstr>
      <vt:lpstr>'3441'!_254_ESE_Level_4__Grade_Level_PK_3</vt:lpstr>
      <vt:lpstr>'3924'!_254_ESE_Level_4__Grade_Level_PK_3</vt:lpstr>
      <vt:lpstr>'3941'!_254_ESE_Level_4__Grade_Level_PK_3</vt:lpstr>
      <vt:lpstr>'3961'!_254_ESE_Level_4__Grade_Level_PK_3</vt:lpstr>
      <vt:lpstr>'3971'!_254_ESE_Level_4__Grade_Level_PK_3</vt:lpstr>
      <vt:lpstr>'4001'!_254_ESE_Level_4__Grade_Level_PK_3</vt:lpstr>
      <vt:lpstr>'4002'!_254_ESE_Level_4__Grade_Level_PK_3</vt:lpstr>
      <vt:lpstr>'4012'!_254_ESE_Level_4__Grade_Level_PK_3</vt:lpstr>
      <vt:lpstr>'4013'!_254_ESE_Level_4__Grade_Level_PK_3</vt:lpstr>
      <vt:lpstr>'4020'!_254_ESE_Level_4__Grade_Level_PK_3</vt:lpstr>
      <vt:lpstr>'4030'!_254_ESE_Level_4__Grade_Level_PK_3</vt:lpstr>
      <vt:lpstr>'4031'!_254_ESE_Level_4__Grade_Level_PK_3</vt:lpstr>
      <vt:lpstr>'4041'!_254_ESE_Level_4__Grade_Level_PK_3</vt:lpstr>
      <vt:lpstr>'4050'!_254_ESE_Level_4__Grade_Level_PK_3</vt:lpstr>
      <vt:lpstr>'4051'!_254_ESE_Level_4__Grade_Level_PK_3</vt:lpstr>
      <vt:lpstr>'4061'!_254_ESE_Level_4__Grade_Level_PK_3</vt:lpstr>
      <vt:lpstr>'4080'!_254_ESE_Level_4__Grade_Level_PK_3</vt:lpstr>
      <vt:lpstr>'4081'!_254_ESE_Level_4__Grade_Level_PK_3</vt:lpstr>
      <vt:lpstr>'4090'!_254_ESE_Level_4__Grade_Level_PK_3</vt:lpstr>
      <vt:lpstr>'4091'!_254_ESE_Level_4__Grade_Level_PK_3</vt:lpstr>
      <vt:lpstr>'4100'!_254_ESE_Level_4__Grade_Level_PK_3</vt:lpstr>
      <vt:lpstr>'4102'!_254_ESE_Level_4__Grade_Level_PK_3</vt:lpstr>
      <vt:lpstr>'4103'!_254_ESE_Level_4__Grade_Level_PK_3</vt:lpstr>
      <vt:lpstr>'4111'!_254_ESE_Level_4__Grade_Level_PK_3</vt:lpstr>
      <vt:lpstr>'4131'!_254_ESE_Level_4__Grade_Level_PK_3</vt:lpstr>
      <vt:lpstr>_254_ESE_Level_4__Grade_Level_PK_3</vt:lpstr>
      <vt:lpstr>'0100'!_255_ESE_Level_5__Grade_Level_4_8</vt:lpstr>
      <vt:lpstr>'0571'!_255_ESE_Level_5__Grade_Level_4_8</vt:lpstr>
      <vt:lpstr>'1461'!_255_ESE_Level_5__Grade_Level_4_8</vt:lpstr>
      <vt:lpstr>'1571'!_255_ESE_Level_5__Grade_Level_4_8</vt:lpstr>
      <vt:lpstr>'2521'!_255_ESE_Level_5__Grade_Level_4_8</vt:lpstr>
      <vt:lpstr>'2531'!_255_ESE_Level_5__Grade_Level_4_8</vt:lpstr>
      <vt:lpstr>'2791'!_255_ESE_Level_5__Grade_Level_4_8</vt:lpstr>
      <vt:lpstr>'2801'!_255_ESE_Level_5__Grade_Level_4_8</vt:lpstr>
      <vt:lpstr>'2911'!_255_ESE_Level_5__Grade_Level_4_8</vt:lpstr>
      <vt:lpstr>'2941'!_255_ESE_Level_5__Grade_Level_4_8</vt:lpstr>
      <vt:lpstr>'3083'!_255_ESE_Level_5__Grade_Level_4_8</vt:lpstr>
      <vt:lpstr>'3345'!_255_ESE_Level_5__Grade_Level_4_8</vt:lpstr>
      <vt:lpstr>'3362'!_255_ESE_Level_5__Grade_Level_4_8</vt:lpstr>
      <vt:lpstr>'3381'!_255_ESE_Level_5__Grade_Level_4_8</vt:lpstr>
      <vt:lpstr>'3382'!_255_ESE_Level_5__Grade_Level_4_8</vt:lpstr>
      <vt:lpstr>'3391'!_255_ESE_Level_5__Grade_Level_4_8</vt:lpstr>
      <vt:lpstr>'3394'!_255_ESE_Level_5__Grade_Level_4_8</vt:lpstr>
      <vt:lpstr>'3395'!_255_ESE_Level_5__Grade_Level_4_8</vt:lpstr>
      <vt:lpstr>'3396'!_255_ESE_Level_5__Grade_Level_4_8</vt:lpstr>
      <vt:lpstr>'3398'!_255_ESE_Level_5__Grade_Level_4_8</vt:lpstr>
      <vt:lpstr>'3400'!_255_ESE_Level_5__Grade_Level_4_8</vt:lpstr>
      <vt:lpstr>'3401'!_255_ESE_Level_5__Grade_Level_4_8</vt:lpstr>
      <vt:lpstr>'3413'!_255_ESE_Level_5__Grade_Level_4_8</vt:lpstr>
      <vt:lpstr>'3421'!_255_ESE_Level_5__Grade_Level_4_8</vt:lpstr>
      <vt:lpstr>'3431'!_255_ESE_Level_5__Grade_Level_4_8</vt:lpstr>
      <vt:lpstr>'3441'!_255_ESE_Level_5__Grade_Level_4_8</vt:lpstr>
      <vt:lpstr>'3924'!_255_ESE_Level_5__Grade_Level_4_8</vt:lpstr>
      <vt:lpstr>'3941'!_255_ESE_Level_5__Grade_Level_4_8</vt:lpstr>
      <vt:lpstr>'3961'!_255_ESE_Level_5__Grade_Level_4_8</vt:lpstr>
      <vt:lpstr>'3971'!_255_ESE_Level_5__Grade_Level_4_8</vt:lpstr>
      <vt:lpstr>'4001'!_255_ESE_Level_5__Grade_Level_4_8</vt:lpstr>
      <vt:lpstr>'4002'!_255_ESE_Level_5__Grade_Level_4_8</vt:lpstr>
      <vt:lpstr>'4012'!_255_ESE_Level_5__Grade_Level_4_8</vt:lpstr>
      <vt:lpstr>'4013'!_255_ESE_Level_5__Grade_Level_4_8</vt:lpstr>
      <vt:lpstr>'4020'!_255_ESE_Level_5__Grade_Level_4_8</vt:lpstr>
      <vt:lpstr>'4030'!_255_ESE_Level_5__Grade_Level_4_8</vt:lpstr>
      <vt:lpstr>'4031'!_255_ESE_Level_5__Grade_Level_4_8</vt:lpstr>
      <vt:lpstr>'4041'!_255_ESE_Level_5__Grade_Level_4_8</vt:lpstr>
      <vt:lpstr>'4050'!_255_ESE_Level_5__Grade_Level_4_8</vt:lpstr>
      <vt:lpstr>'4051'!_255_ESE_Level_5__Grade_Level_4_8</vt:lpstr>
      <vt:lpstr>'4061'!_255_ESE_Level_5__Grade_Level_4_8</vt:lpstr>
      <vt:lpstr>'4080'!_255_ESE_Level_5__Grade_Level_4_8</vt:lpstr>
      <vt:lpstr>'4081'!_255_ESE_Level_5__Grade_Level_4_8</vt:lpstr>
      <vt:lpstr>'4090'!_255_ESE_Level_5__Grade_Level_4_8</vt:lpstr>
      <vt:lpstr>'4091'!_255_ESE_Level_5__Grade_Level_4_8</vt:lpstr>
      <vt:lpstr>'4100'!_255_ESE_Level_5__Grade_Level_4_8</vt:lpstr>
      <vt:lpstr>'4102'!_255_ESE_Level_5__Grade_Level_4_8</vt:lpstr>
      <vt:lpstr>'4103'!_255_ESE_Level_5__Grade_Level_4_8</vt:lpstr>
      <vt:lpstr>'4111'!_255_ESE_Level_5__Grade_Level_4_8</vt:lpstr>
      <vt:lpstr>'4131'!_255_ESE_Level_5__Grade_Level_4_8</vt:lpstr>
      <vt:lpstr>_255_ESE_Level_5__Grade_Level_4_8</vt:lpstr>
      <vt:lpstr>'0100'!_255_ESE_Level_5__Grade_Level_9_12</vt:lpstr>
      <vt:lpstr>'0571'!_255_ESE_Level_5__Grade_Level_9_12</vt:lpstr>
      <vt:lpstr>'1461'!_255_ESE_Level_5__Grade_Level_9_12</vt:lpstr>
      <vt:lpstr>'1571'!_255_ESE_Level_5__Grade_Level_9_12</vt:lpstr>
      <vt:lpstr>'2521'!_255_ESE_Level_5__Grade_Level_9_12</vt:lpstr>
      <vt:lpstr>'2531'!_255_ESE_Level_5__Grade_Level_9_12</vt:lpstr>
      <vt:lpstr>'2791'!_255_ESE_Level_5__Grade_Level_9_12</vt:lpstr>
      <vt:lpstr>'2801'!_255_ESE_Level_5__Grade_Level_9_12</vt:lpstr>
      <vt:lpstr>'2911'!_255_ESE_Level_5__Grade_Level_9_12</vt:lpstr>
      <vt:lpstr>'2941'!_255_ESE_Level_5__Grade_Level_9_12</vt:lpstr>
      <vt:lpstr>'3083'!_255_ESE_Level_5__Grade_Level_9_12</vt:lpstr>
      <vt:lpstr>'3345'!_255_ESE_Level_5__Grade_Level_9_12</vt:lpstr>
      <vt:lpstr>'3362'!_255_ESE_Level_5__Grade_Level_9_12</vt:lpstr>
      <vt:lpstr>'3381'!_255_ESE_Level_5__Grade_Level_9_12</vt:lpstr>
      <vt:lpstr>'3382'!_255_ESE_Level_5__Grade_Level_9_12</vt:lpstr>
      <vt:lpstr>'3391'!_255_ESE_Level_5__Grade_Level_9_12</vt:lpstr>
      <vt:lpstr>'3394'!_255_ESE_Level_5__Grade_Level_9_12</vt:lpstr>
      <vt:lpstr>'3395'!_255_ESE_Level_5__Grade_Level_9_12</vt:lpstr>
      <vt:lpstr>'3396'!_255_ESE_Level_5__Grade_Level_9_12</vt:lpstr>
      <vt:lpstr>'3398'!_255_ESE_Level_5__Grade_Level_9_12</vt:lpstr>
      <vt:lpstr>'3400'!_255_ESE_Level_5__Grade_Level_9_12</vt:lpstr>
      <vt:lpstr>'3401'!_255_ESE_Level_5__Grade_Level_9_12</vt:lpstr>
      <vt:lpstr>'3413'!_255_ESE_Level_5__Grade_Level_9_12</vt:lpstr>
      <vt:lpstr>'3421'!_255_ESE_Level_5__Grade_Level_9_12</vt:lpstr>
      <vt:lpstr>'3431'!_255_ESE_Level_5__Grade_Level_9_12</vt:lpstr>
      <vt:lpstr>'3441'!_255_ESE_Level_5__Grade_Level_9_12</vt:lpstr>
      <vt:lpstr>'3924'!_255_ESE_Level_5__Grade_Level_9_12</vt:lpstr>
      <vt:lpstr>'3941'!_255_ESE_Level_5__Grade_Level_9_12</vt:lpstr>
      <vt:lpstr>'3961'!_255_ESE_Level_5__Grade_Level_9_12</vt:lpstr>
      <vt:lpstr>'3971'!_255_ESE_Level_5__Grade_Level_9_12</vt:lpstr>
      <vt:lpstr>'4001'!_255_ESE_Level_5__Grade_Level_9_12</vt:lpstr>
      <vt:lpstr>'4002'!_255_ESE_Level_5__Grade_Level_9_12</vt:lpstr>
      <vt:lpstr>'4012'!_255_ESE_Level_5__Grade_Level_9_12</vt:lpstr>
      <vt:lpstr>'4013'!_255_ESE_Level_5__Grade_Level_9_12</vt:lpstr>
      <vt:lpstr>'4020'!_255_ESE_Level_5__Grade_Level_9_12</vt:lpstr>
      <vt:lpstr>'4030'!_255_ESE_Level_5__Grade_Level_9_12</vt:lpstr>
      <vt:lpstr>'4031'!_255_ESE_Level_5__Grade_Level_9_12</vt:lpstr>
      <vt:lpstr>'4041'!_255_ESE_Level_5__Grade_Level_9_12</vt:lpstr>
      <vt:lpstr>'4050'!_255_ESE_Level_5__Grade_Level_9_12</vt:lpstr>
      <vt:lpstr>'4051'!_255_ESE_Level_5__Grade_Level_9_12</vt:lpstr>
      <vt:lpstr>'4061'!_255_ESE_Level_5__Grade_Level_9_12</vt:lpstr>
      <vt:lpstr>'4080'!_255_ESE_Level_5__Grade_Level_9_12</vt:lpstr>
      <vt:lpstr>'4081'!_255_ESE_Level_5__Grade_Level_9_12</vt:lpstr>
      <vt:lpstr>'4090'!_255_ESE_Level_5__Grade_Level_9_12</vt:lpstr>
      <vt:lpstr>'4091'!_255_ESE_Level_5__Grade_Level_9_12</vt:lpstr>
      <vt:lpstr>'4100'!_255_ESE_Level_5__Grade_Level_9_12</vt:lpstr>
      <vt:lpstr>'4102'!_255_ESE_Level_5__Grade_Level_9_12</vt:lpstr>
      <vt:lpstr>'4103'!_255_ESE_Level_5__Grade_Level_9_12</vt:lpstr>
      <vt:lpstr>'4111'!_255_ESE_Level_5__Grade_Level_9_12</vt:lpstr>
      <vt:lpstr>'4131'!_255_ESE_Level_5__Grade_Level_9_12</vt:lpstr>
      <vt:lpstr>_255_ESE_Level_5__Grade_Level_9_12</vt:lpstr>
      <vt:lpstr>'0100'!_255_ESE_Level_5__Grade_Level_PK_3</vt:lpstr>
      <vt:lpstr>'0571'!_255_ESE_Level_5__Grade_Level_PK_3</vt:lpstr>
      <vt:lpstr>'1461'!_255_ESE_Level_5__Grade_Level_PK_3</vt:lpstr>
      <vt:lpstr>'1571'!_255_ESE_Level_5__Grade_Level_PK_3</vt:lpstr>
      <vt:lpstr>'2521'!_255_ESE_Level_5__Grade_Level_PK_3</vt:lpstr>
      <vt:lpstr>'2531'!_255_ESE_Level_5__Grade_Level_PK_3</vt:lpstr>
      <vt:lpstr>'2791'!_255_ESE_Level_5__Grade_Level_PK_3</vt:lpstr>
      <vt:lpstr>'2801'!_255_ESE_Level_5__Grade_Level_PK_3</vt:lpstr>
      <vt:lpstr>'2911'!_255_ESE_Level_5__Grade_Level_PK_3</vt:lpstr>
      <vt:lpstr>'2941'!_255_ESE_Level_5__Grade_Level_PK_3</vt:lpstr>
      <vt:lpstr>'3083'!_255_ESE_Level_5__Grade_Level_PK_3</vt:lpstr>
      <vt:lpstr>'3345'!_255_ESE_Level_5__Grade_Level_PK_3</vt:lpstr>
      <vt:lpstr>'3362'!_255_ESE_Level_5__Grade_Level_PK_3</vt:lpstr>
      <vt:lpstr>'3381'!_255_ESE_Level_5__Grade_Level_PK_3</vt:lpstr>
      <vt:lpstr>'3382'!_255_ESE_Level_5__Grade_Level_PK_3</vt:lpstr>
      <vt:lpstr>'3391'!_255_ESE_Level_5__Grade_Level_PK_3</vt:lpstr>
      <vt:lpstr>'3394'!_255_ESE_Level_5__Grade_Level_PK_3</vt:lpstr>
      <vt:lpstr>'3395'!_255_ESE_Level_5__Grade_Level_PK_3</vt:lpstr>
      <vt:lpstr>'3396'!_255_ESE_Level_5__Grade_Level_PK_3</vt:lpstr>
      <vt:lpstr>'3398'!_255_ESE_Level_5__Grade_Level_PK_3</vt:lpstr>
      <vt:lpstr>'3400'!_255_ESE_Level_5__Grade_Level_PK_3</vt:lpstr>
      <vt:lpstr>'3401'!_255_ESE_Level_5__Grade_Level_PK_3</vt:lpstr>
      <vt:lpstr>'3413'!_255_ESE_Level_5__Grade_Level_PK_3</vt:lpstr>
      <vt:lpstr>'3421'!_255_ESE_Level_5__Grade_Level_PK_3</vt:lpstr>
      <vt:lpstr>'3431'!_255_ESE_Level_5__Grade_Level_PK_3</vt:lpstr>
      <vt:lpstr>'3441'!_255_ESE_Level_5__Grade_Level_PK_3</vt:lpstr>
      <vt:lpstr>'3924'!_255_ESE_Level_5__Grade_Level_PK_3</vt:lpstr>
      <vt:lpstr>'3941'!_255_ESE_Level_5__Grade_Level_PK_3</vt:lpstr>
      <vt:lpstr>'3961'!_255_ESE_Level_5__Grade_Level_PK_3</vt:lpstr>
      <vt:lpstr>'3971'!_255_ESE_Level_5__Grade_Level_PK_3</vt:lpstr>
      <vt:lpstr>'4001'!_255_ESE_Level_5__Grade_Level_PK_3</vt:lpstr>
      <vt:lpstr>'4002'!_255_ESE_Level_5__Grade_Level_PK_3</vt:lpstr>
      <vt:lpstr>'4012'!_255_ESE_Level_5__Grade_Level_PK_3</vt:lpstr>
      <vt:lpstr>'4013'!_255_ESE_Level_5__Grade_Level_PK_3</vt:lpstr>
      <vt:lpstr>'4020'!_255_ESE_Level_5__Grade_Level_PK_3</vt:lpstr>
      <vt:lpstr>'4030'!_255_ESE_Level_5__Grade_Level_PK_3</vt:lpstr>
      <vt:lpstr>'4031'!_255_ESE_Level_5__Grade_Level_PK_3</vt:lpstr>
      <vt:lpstr>'4041'!_255_ESE_Level_5__Grade_Level_PK_3</vt:lpstr>
      <vt:lpstr>'4050'!_255_ESE_Level_5__Grade_Level_PK_3</vt:lpstr>
      <vt:lpstr>'4051'!_255_ESE_Level_5__Grade_Level_PK_3</vt:lpstr>
      <vt:lpstr>'4061'!_255_ESE_Level_5__Grade_Level_PK_3</vt:lpstr>
      <vt:lpstr>'4080'!_255_ESE_Level_5__Grade_Level_PK_3</vt:lpstr>
      <vt:lpstr>'4081'!_255_ESE_Level_5__Grade_Level_PK_3</vt:lpstr>
      <vt:lpstr>'4090'!_255_ESE_Level_5__Grade_Level_PK_3</vt:lpstr>
      <vt:lpstr>'4091'!_255_ESE_Level_5__Grade_Level_PK_3</vt:lpstr>
      <vt:lpstr>'4100'!_255_ESE_Level_5__Grade_Level_PK_3</vt:lpstr>
      <vt:lpstr>'4102'!_255_ESE_Level_5__Grade_Level_PK_3</vt:lpstr>
      <vt:lpstr>'4103'!_255_ESE_Level_5__Grade_Level_PK_3</vt:lpstr>
      <vt:lpstr>'4111'!_255_ESE_Level_5__Grade_Level_PK_3</vt:lpstr>
      <vt:lpstr>'4131'!_255_ESE_Level_5__Grade_Level_PK_3</vt:lpstr>
      <vt:lpstr>_255_ESE_Level_5__Grade_Level_PK_3</vt:lpstr>
      <vt:lpstr>'0100'!_300_Career_Education__Grades_9_12</vt:lpstr>
      <vt:lpstr>'0571'!_300_Career_Education__Grades_9_12</vt:lpstr>
      <vt:lpstr>'1461'!_300_Career_Education__Grades_9_12</vt:lpstr>
      <vt:lpstr>'1571'!_300_Career_Education__Grades_9_12</vt:lpstr>
      <vt:lpstr>'2521'!_300_Career_Education__Grades_9_12</vt:lpstr>
      <vt:lpstr>'2531'!_300_Career_Education__Grades_9_12</vt:lpstr>
      <vt:lpstr>'2791'!_300_Career_Education__Grades_9_12</vt:lpstr>
      <vt:lpstr>'2801'!_300_Career_Education__Grades_9_12</vt:lpstr>
      <vt:lpstr>'2911'!_300_Career_Education__Grades_9_12</vt:lpstr>
      <vt:lpstr>'2941'!_300_Career_Education__Grades_9_12</vt:lpstr>
      <vt:lpstr>'3083'!_300_Career_Education__Grades_9_12</vt:lpstr>
      <vt:lpstr>'3345'!_300_Career_Education__Grades_9_12</vt:lpstr>
      <vt:lpstr>'3362'!_300_Career_Education__Grades_9_12</vt:lpstr>
      <vt:lpstr>'3381'!_300_Career_Education__Grades_9_12</vt:lpstr>
      <vt:lpstr>'3382'!_300_Career_Education__Grades_9_12</vt:lpstr>
      <vt:lpstr>'3391'!_300_Career_Education__Grades_9_12</vt:lpstr>
      <vt:lpstr>'3394'!_300_Career_Education__Grades_9_12</vt:lpstr>
      <vt:lpstr>'3395'!_300_Career_Education__Grades_9_12</vt:lpstr>
      <vt:lpstr>'3396'!_300_Career_Education__Grades_9_12</vt:lpstr>
      <vt:lpstr>'3398'!_300_Career_Education__Grades_9_12</vt:lpstr>
      <vt:lpstr>'3400'!_300_Career_Education__Grades_9_12</vt:lpstr>
      <vt:lpstr>'3401'!_300_Career_Education__Grades_9_12</vt:lpstr>
      <vt:lpstr>'3413'!_300_Career_Education__Grades_9_12</vt:lpstr>
      <vt:lpstr>'3421'!_300_Career_Education__Grades_9_12</vt:lpstr>
      <vt:lpstr>'3431'!_300_Career_Education__Grades_9_12</vt:lpstr>
      <vt:lpstr>'3441'!_300_Career_Education__Grades_9_12</vt:lpstr>
      <vt:lpstr>'3924'!_300_Career_Education__Grades_9_12</vt:lpstr>
      <vt:lpstr>'3941'!_300_Career_Education__Grades_9_12</vt:lpstr>
      <vt:lpstr>'3961'!_300_Career_Education__Grades_9_12</vt:lpstr>
      <vt:lpstr>'3971'!_300_Career_Education__Grades_9_12</vt:lpstr>
      <vt:lpstr>'4001'!_300_Career_Education__Grades_9_12</vt:lpstr>
      <vt:lpstr>'4002'!_300_Career_Education__Grades_9_12</vt:lpstr>
      <vt:lpstr>'4012'!_300_Career_Education__Grades_9_12</vt:lpstr>
      <vt:lpstr>'4013'!_300_Career_Education__Grades_9_12</vt:lpstr>
      <vt:lpstr>'4020'!_300_Career_Education__Grades_9_12</vt:lpstr>
      <vt:lpstr>'4030'!_300_Career_Education__Grades_9_12</vt:lpstr>
      <vt:lpstr>'4031'!_300_Career_Education__Grades_9_12</vt:lpstr>
      <vt:lpstr>'4041'!_300_Career_Education__Grades_9_12</vt:lpstr>
      <vt:lpstr>'4050'!_300_Career_Education__Grades_9_12</vt:lpstr>
      <vt:lpstr>'4051'!_300_Career_Education__Grades_9_12</vt:lpstr>
      <vt:lpstr>'4061'!_300_Career_Education__Grades_9_12</vt:lpstr>
      <vt:lpstr>'4080'!_300_Career_Education__Grades_9_12</vt:lpstr>
      <vt:lpstr>'4081'!_300_Career_Education__Grades_9_12</vt:lpstr>
      <vt:lpstr>'4090'!_300_Career_Education__Grades_9_12</vt:lpstr>
      <vt:lpstr>'4091'!_300_Career_Education__Grades_9_12</vt:lpstr>
      <vt:lpstr>'4100'!_300_Career_Education__Grades_9_12</vt:lpstr>
      <vt:lpstr>'4102'!_300_Career_Education__Grades_9_12</vt:lpstr>
      <vt:lpstr>'4103'!_300_Career_Education__Grades_9_12</vt:lpstr>
      <vt:lpstr>'4111'!_300_Career_Education__Grades_9_12</vt:lpstr>
      <vt:lpstr>'4131'!_300_Career_Education__Grades_9_12</vt:lpstr>
      <vt:lpstr>_300_Career_Education__Grades_9_12</vt:lpstr>
      <vt:lpstr>'0100'!_4_8</vt:lpstr>
      <vt:lpstr>'0571'!_4_8</vt:lpstr>
      <vt:lpstr>'1461'!_4_8</vt:lpstr>
      <vt:lpstr>'1571'!_4_8</vt:lpstr>
      <vt:lpstr>'2521'!_4_8</vt:lpstr>
      <vt:lpstr>'2531'!_4_8</vt:lpstr>
      <vt:lpstr>'2791'!_4_8</vt:lpstr>
      <vt:lpstr>'2801'!_4_8</vt:lpstr>
      <vt:lpstr>'2911'!_4_8</vt:lpstr>
      <vt:lpstr>'2941'!_4_8</vt:lpstr>
      <vt:lpstr>'3083'!_4_8</vt:lpstr>
      <vt:lpstr>'3345'!_4_8</vt:lpstr>
      <vt:lpstr>'3362'!_4_8</vt:lpstr>
      <vt:lpstr>'3381'!_4_8</vt:lpstr>
      <vt:lpstr>'3382'!_4_8</vt:lpstr>
      <vt:lpstr>'3391'!_4_8</vt:lpstr>
      <vt:lpstr>'3394'!_4_8</vt:lpstr>
      <vt:lpstr>'3395'!_4_8</vt:lpstr>
      <vt:lpstr>'3396'!_4_8</vt:lpstr>
      <vt:lpstr>'3398'!_4_8</vt:lpstr>
      <vt:lpstr>'3400'!_4_8</vt:lpstr>
      <vt:lpstr>'3401'!_4_8</vt:lpstr>
      <vt:lpstr>'3413'!_4_8</vt:lpstr>
      <vt:lpstr>'3421'!_4_8</vt:lpstr>
      <vt:lpstr>'3431'!_4_8</vt:lpstr>
      <vt:lpstr>'3441'!_4_8</vt:lpstr>
      <vt:lpstr>'3924'!_4_8</vt:lpstr>
      <vt:lpstr>'3941'!_4_8</vt:lpstr>
      <vt:lpstr>'3961'!_4_8</vt:lpstr>
      <vt:lpstr>'3971'!_4_8</vt:lpstr>
      <vt:lpstr>'4001'!_4_8</vt:lpstr>
      <vt:lpstr>'4002'!_4_8</vt:lpstr>
      <vt:lpstr>'4012'!_4_8</vt:lpstr>
      <vt:lpstr>'4013'!_4_8</vt:lpstr>
      <vt:lpstr>'4020'!_4_8</vt:lpstr>
      <vt:lpstr>'4030'!_4_8</vt:lpstr>
      <vt:lpstr>'4031'!_4_8</vt:lpstr>
      <vt:lpstr>'4041'!_4_8</vt:lpstr>
      <vt:lpstr>'4050'!_4_8</vt:lpstr>
      <vt:lpstr>'4051'!_4_8</vt:lpstr>
      <vt:lpstr>'4061'!_4_8</vt:lpstr>
      <vt:lpstr>'4080'!_4_8</vt:lpstr>
      <vt:lpstr>'4081'!_4_8</vt:lpstr>
      <vt:lpstr>'4090'!_4_8</vt:lpstr>
      <vt:lpstr>'4091'!_4_8</vt:lpstr>
      <vt:lpstr>'4100'!_4_8</vt:lpstr>
      <vt:lpstr>'4102'!_4_8</vt:lpstr>
      <vt:lpstr>'4103'!_4_8</vt:lpstr>
      <vt:lpstr>'4111'!_4_8</vt:lpstr>
      <vt:lpstr>'4131'!_4_8</vt:lpstr>
      <vt:lpstr>_4_8</vt:lpstr>
      <vt:lpstr>'0100'!_9_12</vt:lpstr>
      <vt:lpstr>'0571'!_9_12</vt:lpstr>
      <vt:lpstr>'1461'!_9_12</vt:lpstr>
      <vt:lpstr>'1571'!_9_12</vt:lpstr>
      <vt:lpstr>'2521'!_9_12</vt:lpstr>
      <vt:lpstr>'2531'!_9_12</vt:lpstr>
      <vt:lpstr>'2791'!_9_12</vt:lpstr>
      <vt:lpstr>'2801'!_9_12</vt:lpstr>
      <vt:lpstr>'2911'!_9_12</vt:lpstr>
      <vt:lpstr>'2941'!_9_12</vt:lpstr>
      <vt:lpstr>'3083'!_9_12</vt:lpstr>
      <vt:lpstr>'3345'!_9_12</vt:lpstr>
      <vt:lpstr>'3362'!_9_12</vt:lpstr>
      <vt:lpstr>'3381'!_9_12</vt:lpstr>
      <vt:lpstr>'3382'!_9_12</vt:lpstr>
      <vt:lpstr>'3391'!_9_12</vt:lpstr>
      <vt:lpstr>'3394'!_9_12</vt:lpstr>
      <vt:lpstr>'3395'!_9_12</vt:lpstr>
      <vt:lpstr>'3396'!_9_12</vt:lpstr>
      <vt:lpstr>'3398'!_9_12</vt:lpstr>
      <vt:lpstr>'3400'!_9_12</vt:lpstr>
      <vt:lpstr>'3401'!_9_12</vt:lpstr>
      <vt:lpstr>'3413'!_9_12</vt:lpstr>
      <vt:lpstr>'3421'!_9_12</vt:lpstr>
      <vt:lpstr>'3431'!_9_12</vt:lpstr>
      <vt:lpstr>'3441'!_9_12</vt:lpstr>
      <vt:lpstr>'3924'!_9_12</vt:lpstr>
      <vt:lpstr>'3941'!_9_12</vt:lpstr>
      <vt:lpstr>'3961'!_9_12</vt:lpstr>
      <vt:lpstr>'3971'!_9_12</vt:lpstr>
      <vt:lpstr>'4001'!_9_12</vt:lpstr>
      <vt:lpstr>'4002'!_9_12</vt:lpstr>
      <vt:lpstr>'4012'!_9_12</vt:lpstr>
      <vt:lpstr>'4013'!_9_12</vt:lpstr>
      <vt:lpstr>'4020'!_9_12</vt:lpstr>
      <vt:lpstr>'4030'!_9_12</vt:lpstr>
      <vt:lpstr>'4031'!_9_12</vt:lpstr>
      <vt:lpstr>'4041'!_9_12</vt:lpstr>
      <vt:lpstr>'4050'!_9_12</vt:lpstr>
      <vt:lpstr>'4051'!_9_12</vt:lpstr>
      <vt:lpstr>'4061'!_9_12</vt:lpstr>
      <vt:lpstr>'4080'!_9_12</vt:lpstr>
      <vt:lpstr>'4081'!_9_12</vt:lpstr>
      <vt:lpstr>'4090'!_9_12</vt:lpstr>
      <vt:lpstr>'4091'!_9_12</vt:lpstr>
      <vt:lpstr>'4100'!_9_12</vt:lpstr>
      <vt:lpstr>'4102'!_9_12</vt:lpstr>
      <vt:lpstr>'4103'!_9_12</vt:lpstr>
      <vt:lpstr>'4111'!_9_12</vt:lpstr>
      <vt:lpstr>'4131'!_9_12</vt:lpstr>
      <vt:lpstr>_9_12</vt:lpstr>
      <vt:lpstr>'0100'!Allocation_factors</vt:lpstr>
      <vt:lpstr>'0571'!Allocation_factors</vt:lpstr>
      <vt:lpstr>'1461'!Allocation_factors</vt:lpstr>
      <vt:lpstr>'1571'!Allocation_factors</vt:lpstr>
      <vt:lpstr>'2521'!Allocation_factors</vt:lpstr>
      <vt:lpstr>'2531'!Allocation_factors</vt:lpstr>
      <vt:lpstr>'2791'!Allocation_factors</vt:lpstr>
      <vt:lpstr>'2801'!Allocation_factors</vt:lpstr>
      <vt:lpstr>'2911'!Allocation_factors</vt:lpstr>
      <vt:lpstr>'2941'!Allocation_factors</vt:lpstr>
      <vt:lpstr>'3083'!Allocation_factors</vt:lpstr>
      <vt:lpstr>'3345'!Allocation_factors</vt:lpstr>
      <vt:lpstr>'3362'!Allocation_factors</vt:lpstr>
      <vt:lpstr>'3381'!Allocation_factors</vt:lpstr>
      <vt:lpstr>'3382'!Allocation_factors</vt:lpstr>
      <vt:lpstr>'3391'!Allocation_factors</vt:lpstr>
      <vt:lpstr>'3394'!Allocation_factors</vt:lpstr>
      <vt:lpstr>'3395'!Allocation_factors</vt:lpstr>
      <vt:lpstr>'3396'!Allocation_factors</vt:lpstr>
      <vt:lpstr>'3398'!Allocation_factors</vt:lpstr>
      <vt:lpstr>'3400'!Allocation_factors</vt:lpstr>
      <vt:lpstr>'3401'!Allocation_factors</vt:lpstr>
      <vt:lpstr>'3413'!Allocation_factors</vt:lpstr>
      <vt:lpstr>'3421'!Allocation_factors</vt:lpstr>
      <vt:lpstr>'3431'!Allocation_factors</vt:lpstr>
      <vt:lpstr>'3441'!Allocation_factors</vt:lpstr>
      <vt:lpstr>'3924'!Allocation_factors</vt:lpstr>
      <vt:lpstr>'3941'!Allocation_factors</vt:lpstr>
      <vt:lpstr>'3961'!Allocation_factors</vt:lpstr>
      <vt:lpstr>'3971'!Allocation_factors</vt:lpstr>
      <vt:lpstr>'4001'!Allocation_factors</vt:lpstr>
      <vt:lpstr>'4002'!Allocation_factors</vt:lpstr>
      <vt:lpstr>'4012'!Allocation_factors</vt:lpstr>
      <vt:lpstr>'4013'!Allocation_factors</vt:lpstr>
      <vt:lpstr>'4020'!Allocation_factors</vt:lpstr>
      <vt:lpstr>'4030'!Allocation_factors</vt:lpstr>
      <vt:lpstr>'4031'!Allocation_factors</vt:lpstr>
      <vt:lpstr>'4041'!Allocation_factors</vt:lpstr>
      <vt:lpstr>'4050'!Allocation_factors</vt:lpstr>
      <vt:lpstr>'4051'!Allocation_factors</vt:lpstr>
      <vt:lpstr>'4061'!Allocation_factors</vt:lpstr>
      <vt:lpstr>'4080'!Allocation_factors</vt:lpstr>
      <vt:lpstr>'4081'!Allocation_factors</vt:lpstr>
      <vt:lpstr>'4090'!Allocation_factors</vt:lpstr>
      <vt:lpstr>'4091'!Allocation_factors</vt:lpstr>
      <vt:lpstr>'4100'!Allocation_factors</vt:lpstr>
      <vt:lpstr>'4102'!Allocation_factors</vt:lpstr>
      <vt:lpstr>'4103'!Allocation_factors</vt:lpstr>
      <vt:lpstr>'4111'!Allocation_factors</vt:lpstr>
      <vt:lpstr>'4131'!Allocation_factors</vt:lpstr>
      <vt:lpstr>Allocation_factors</vt:lpstr>
      <vt:lpstr>'0100'!Base_Student_Allocation</vt:lpstr>
      <vt:lpstr>'0571'!Base_Student_Allocation</vt:lpstr>
      <vt:lpstr>'1461'!Base_Student_Allocation</vt:lpstr>
      <vt:lpstr>'1571'!Base_Student_Allocation</vt:lpstr>
      <vt:lpstr>'2521'!Base_Student_Allocation</vt:lpstr>
      <vt:lpstr>'2531'!Base_Student_Allocation</vt:lpstr>
      <vt:lpstr>'2791'!Base_Student_Allocation</vt:lpstr>
      <vt:lpstr>'2801'!Base_Student_Allocation</vt:lpstr>
      <vt:lpstr>'2911'!Base_Student_Allocation</vt:lpstr>
      <vt:lpstr>'2941'!Base_Student_Allocation</vt:lpstr>
      <vt:lpstr>'3083'!Base_Student_Allocation</vt:lpstr>
      <vt:lpstr>'3345'!Base_Student_Allocation</vt:lpstr>
      <vt:lpstr>'3362'!Base_Student_Allocation</vt:lpstr>
      <vt:lpstr>'3381'!Base_Student_Allocation</vt:lpstr>
      <vt:lpstr>'3382'!Base_Student_Allocation</vt:lpstr>
      <vt:lpstr>'3391'!Base_Student_Allocation</vt:lpstr>
      <vt:lpstr>'3394'!Base_Student_Allocation</vt:lpstr>
      <vt:lpstr>'3395'!Base_Student_Allocation</vt:lpstr>
      <vt:lpstr>'3396'!Base_Student_Allocation</vt:lpstr>
      <vt:lpstr>'3398'!Base_Student_Allocation</vt:lpstr>
      <vt:lpstr>'3400'!Base_Student_Allocation</vt:lpstr>
      <vt:lpstr>'3401'!Base_Student_Allocation</vt:lpstr>
      <vt:lpstr>'3413'!Base_Student_Allocation</vt:lpstr>
      <vt:lpstr>'3421'!Base_Student_Allocation</vt:lpstr>
      <vt:lpstr>'3431'!Base_Student_Allocation</vt:lpstr>
      <vt:lpstr>'3441'!Base_Student_Allocation</vt:lpstr>
      <vt:lpstr>'3924'!Base_Student_Allocation</vt:lpstr>
      <vt:lpstr>'3941'!Base_Student_Allocation</vt:lpstr>
      <vt:lpstr>'3961'!Base_Student_Allocation</vt:lpstr>
      <vt:lpstr>'3971'!Base_Student_Allocation</vt:lpstr>
      <vt:lpstr>'4001'!Base_Student_Allocation</vt:lpstr>
      <vt:lpstr>'4002'!Base_Student_Allocation</vt:lpstr>
      <vt:lpstr>'4012'!Base_Student_Allocation</vt:lpstr>
      <vt:lpstr>'4013'!Base_Student_Allocation</vt:lpstr>
      <vt:lpstr>'4020'!Base_Student_Allocation</vt:lpstr>
      <vt:lpstr>'4030'!Base_Student_Allocation</vt:lpstr>
      <vt:lpstr>'4031'!Base_Student_Allocation</vt:lpstr>
      <vt:lpstr>'4041'!Base_Student_Allocation</vt:lpstr>
      <vt:lpstr>'4050'!Base_Student_Allocation</vt:lpstr>
      <vt:lpstr>'4051'!Base_Student_Allocation</vt:lpstr>
      <vt:lpstr>'4061'!Base_Student_Allocation</vt:lpstr>
      <vt:lpstr>'4080'!Base_Student_Allocation</vt:lpstr>
      <vt:lpstr>'4081'!Base_Student_Allocation</vt:lpstr>
      <vt:lpstr>'4090'!Base_Student_Allocation</vt:lpstr>
      <vt:lpstr>'4091'!Base_Student_Allocation</vt:lpstr>
      <vt:lpstr>'4100'!Base_Student_Allocation</vt:lpstr>
      <vt:lpstr>'4102'!Base_Student_Allocation</vt:lpstr>
      <vt:lpstr>'4103'!Base_Student_Allocation</vt:lpstr>
      <vt:lpstr>'4111'!Base_Student_Allocation</vt:lpstr>
      <vt:lpstr>'4131'!Base_Student_Allocation</vt:lpstr>
      <vt:lpstr>Base_Student_Allocation</vt:lpstr>
      <vt:lpstr>'0100'!Based_on_the_Second_Calculation_of_the_FEFP_2010_11</vt:lpstr>
      <vt:lpstr>'0571'!Based_on_the_Second_Calculation_of_the_FEFP_2010_11</vt:lpstr>
      <vt:lpstr>'1461'!Based_on_the_Second_Calculation_of_the_FEFP_2010_11</vt:lpstr>
      <vt:lpstr>'1571'!Based_on_the_Second_Calculation_of_the_FEFP_2010_11</vt:lpstr>
      <vt:lpstr>'2521'!Based_on_the_Second_Calculation_of_the_FEFP_2010_11</vt:lpstr>
      <vt:lpstr>'2531'!Based_on_the_Second_Calculation_of_the_FEFP_2010_11</vt:lpstr>
      <vt:lpstr>'2791'!Based_on_the_Second_Calculation_of_the_FEFP_2010_11</vt:lpstr>
      <vt:lpstr>'2801'!Based_on_the_Second_Calculation_of_the_FEFP_2010_11</vt:lpstr>
      <vt:lpstr>'2911'!Based_on_the_Second_Calculation_of_the_FEFP_2010_11</vt:lpstr>
      <vt:lpstr>'2941'!Based_on_the_Second_Calculation_of_the_FEFP_2010_11</vt:lpstr>
      <vt:lpstr>'3083'!Based_on_the_Second_Calculation_of_the_FEFP_2010_11</vt:lpstr>
      <vt:lpstr>'3345'!Based_on_the_Second_Calculation_of_the_FEFP_2010_11</vt:lpstr>
      <vt:lpstr>'3362'!Based_on_the_Second_Calculation_of_the_FEFP_2010_11</vt:lpstr>
      <vt:lpstr>'3381'!Based_on_the_Second_Calculation_of_the_FEFP_2010_11</vt:lpstr>
      <vt:lpstr>'3382'!Based_on_the_Second_Calculation_of_the_FEFP_2010_11</vt:lpstr>
      <vt:lpstr>'3391'!Based_on_the_Second_Calculation_of_the_FEFP_2010_11</vt:lpstr>
      <vt:lpstr>'3394'!Based_on_the_Second_Calculation_of_the_FEFP_2010_11</vt:lpstr>
      <vt:lpstr>'3395'!Based_on_the_Second_Calculation_of_the_FEFP_2010_11</vt:lpstr>
      <vt:lpstr>'3396'!Based_on_the_Second_Calculation_of_the_FEFP_2010_11</vt:lpstr>
      <vt:lpstr>'3398'!Based_on_the_Second_Calculation_of_the_FEFP_2010_11</vt:lpstr>
      <vt:lpstr>'3400'!Based_on_the_Second_Calculation_of_the_FEFP_2010_11</vt:lpstr>
      <vt:lpstr>'3401'!Based_on_the_Second_Calculation_of_the_FEFP_2010_11</vt:lpstr>
      <vt:lpstr>'3413'!Based_on_the_Second_Calculation_of_the_FEFP_2010_11</vt:lpstr>
      <vt:lpstr>'3421'!Based_on_the_Second_Calculation_of_the_FEFP_2010_11</vt:lpstr>
      <vt:lpstr>'3431'!Based_on_the_Second_Calculation_of_the_FEFP_2010_11</vt:lpstr>
      <vt:lpstr>'3441'!Based_on_the_Second_Calculation_of_the_FEFP_2010_11</vt:lpstr>
      <vt:lpstr>'3924'!Based_on_the_Second_Calculation_of_the_FEFP_2010_11</vt:lpstr>
      <vt:lpstr>'3941'!Based_on_the_Second_Calculation_of_the_FEFP_2010_11</vt:lpstr>
      <vt:lpstr>'3961'!Based_on_the_Second_Calculation_of_the_FEFP_2010_11</vt:lpstr>
      <vt:lpstr>'3971'!Based_on_the_Second_Calculation_of_the_FEFP_2010_11</vt:lpstr>
      <vt:lpstr>'4001'!Based_on_the_Second_Calculation_of_the_FEFP_2010_11</vt:lpstr>
      <vt:lpstr>'4002'!Based_on_the_Second_Calculation_of_the_FEFP_2010_11</vt:lpstr>
      <vt:lpstr>'4012'!Based_on_the_Second_Calculation_of_the_FEFP_2010_11</vt:lpstr>
      <vt:lpstr>'4013'!Based_on_the_Second_Calculation_of_the_FEFP_2010_11</vt:lpstr>
      <vt:lpstr>'4020'!Based_on_the_Second_Calculation_of_the_FEFP_2010_11</vt:lpstr>
      <vt:lpstr>'4030'!Based_on_the_Second_Calculation_of_the_FEFP_2010_11</vt:lpstr>
      <vt:lpstr>'4031'!Based_on_the_Second_Calculation_of_the_FEFP_2010_11</vt:lpstr>
      <vt:lpstr>'4041'!Based_on_the_Second_Calculation_of_the_FEFP_2010_11</vt:lpstr>
      <vt:lpstr>'4050'!Based_on_the_Second_Calculation_of_the_FEFP_2010_11</vt:lpstr>
      <vt:lpstr>'4051'!Based_on_the_Second_Calculation_of_the_FEFP_2010_11</vt:lpstr>
      <vt:lpstr>'4061'!Based_on_the_Second_Calculation_of_the_FEFP_2010_11</vt:lpstr>
      <vt:lpstr>'4080'!Based_on_the_Second_Calculation_of_the_FEFP_2010_11</vt:lpstr>
      <vt:lpstr>'4081'!Based_on_the_Second_Calculation_of_the_FEFP_2010_11</vt:lpstr>
      <vt:lpstr>'4090'!Based_on_the_Second_Calculation_of_the_FEFP_2010_11</vt:lpstr>
      <vt:lpstr>'4091'!Based_on_the_Second_Calculation_of_the_FEFP_2010_11</vt:lpstr>
      <vt:lpstr>'4100'!Based_on_the_Second_Calculation_of_the_FEFP_2010_11</vt:lpstr>
      <vt:lpstr>'4102'!Based_on_the_Second_Calculation_of_the_FEFP_2010_11</vt:lpstr>
      <vt:lpstr>'4103'!Based_on_the_Second_Calculation_of_the_FEFP_2010_11</vt:lpstr>
      <vt:lpstr>'4111'!Based_on_the_Second_Calculation_of_the_FEFP_2010_11</vt:lpstr>
      <vt:lpstr>'4131'!Based_on_the_Second_Calculation_of_the_FEFP_2010_11</vt:lpstr>
      <vt:lpstr>Based_on_the_Second_Calculation_of_the_FEFP_2010_11</vt:lpstr>
      <vt:lpstr>'0100'!DCD</vt:lpstr>
      <vt:lpstr>'0571'!DCD</vt:lpstr>
      <vt:lpstr>'1461'!DCD</vt:lpstr>
      <vt:lpstr>'1571'!DCD</vt:lpstr>
      <vt:lpstr>'2521'!DCD</vt:lpstr>
      <vt:lpstr>'2531'!DCD</vt:lpstr>
      <vt:lpstr>'2791'!DCD</vt:lpstr>
      <vt:lpstr>'2801'!DCD</vt:lpstr>
      <vt:lpstr>'2911'!DCD</vt:lpstr>
      <vt:lpstr>'2941'!DCD</vt:lpstr>
      <vt:lpstr>'3083'!DCD</vt:lpstr>
      <vt:lpstr>'3345'!DCD</vt:lpstr>
      <vt:lpstr>'3362'!DCD</vt:lpstr>
      <vt:lpstr>'3381'!DCD</vt:lpstr>
      <vt:lpstr>'3382'!DCD</vt:lpstr>
      <vt:lpstr>'3391'!DCD</vt:lpstr>
      <vt:lpstr>'3394'!DCD</vt:lpstr>
      <vt:lpstr>'3395'!DCD</vt:lpstr>
      <vt:lpstr>'3396'!DCD</vt:lpstr>
      <vt:lpstr>'3398'!DCD</vt:lpstr>
      <vt:lpstr>'3400'!DCD</vt:lpstr>
      <vt:lpstr>'3401'!DCD</vt:lpstr>
      <vt:lpstr>'3413'!DCD</vt:lpstr>
      <vt:lpstr>'3421'!DCD</vt:lpstr>
      <vt:lpstr>'3431'!DCD</vt:lpstr>
      <vt:lpstr>'3441'!DCD</vt:lpstr>
      <vt:lpstr>'3924'!DCD</vt:lpstr>
      <vt:lpstr>'3941'!DCD</vt:lpstr>
      <vt:lpstr>'3961'!DCD</vt:lpstr>
      <vt:lpstr>'3971'!DCD</vt:lpstr>
      <vt:lpstr>'4001'!DCD</vt:lpstr>
      <vt:lpstr>'4002'!DCD</vt:lpstr>
      <vt:lpstr>'4012'!DCD</vt:lpstr>
      <vt:lpstr>'4013'!DCD</vt:lpstr>
      <vt:lpstr>'4020'!DCD</vt:lpstr>
      <vt:lpstr>'4030'!DCD</vt:lpstr>
      <vt:lpstr>'4031'!DCD</vt:lpstr>
      <vt:lpstr>'4041'!DCD</vt:lpstr>
      <vt:lpstr>'4050'!DCD</vt:lpstr>
      <vt:lpstr>'4051'!DCD</vt:lpstr>
      <vt:lpstr>'4061'!DCD</vt:lpstr>
      <vt:lpstr>'4080'!DCD</vt:lpstr>
      <vt:lpstr>'4081'!DCD</vt:lpstr>
      <vt:lpstr>'4090'!DCD</vt:lpstr>
      <vt:lpstr>'4091'!DCD</vt:lpstr>
      <vt:lpstr>'4100'!DCD</vt:lpstr>
      <vt:lpstr>'4102'!DCD</vt:lpstr>
      <vt:lpstr>'4103'!DCD</vt:lpstr>
      <vt:lpstr>'4111'!DCD</vt:lpstr>
      <vt:lpstr>'4131'!DCD</vt:lpstr>
      <vt:lpstr>DCD</vt:lpstr>
      <vt:lpstr>'0100'!District_Cost_Differential</vt:lpstr>
      <vt:lpstr>'0571'!District_Cost_Differential</vt:lpstr>
      <vt:lpstr>'1461'!District_Cost_Differential</vt:lpstr>
      <vt:lpstr>'1571'!District_Cost_Differential</vt:lpstr>
      <vt:lpstr>'2521'!District_Cost_Differential</vt:lpstr>
      <vt:lpstr>'2531'!District_Cost_Differential</vt:lpstr>
      <vt:lpstr>'2791'!District_Cost_Differential</vt:lpstr>
      <vt:lpstr>'2801'!District_Cost_Differential</vt:lpstr>
      <vt:lpstr>'2911'!District_Cost_Differential</vt:lpstr>
      <vt:lpstr>'2941'!District_Cost_Differential</vt:lpstr>
      <vt:lpstr>'3083'!District_Cost_Differential</vt:lpstr>
      <vt:lpstr>'3345'!District_Cost_Differential</vt:lpstr>
      <vt:lpstr>'3362'!District_Cost_Differential</vt:lpstr>
      <vt:lpstr>'3381'!District_Cost_Differential</vt:lpstr>
      <vt:lpstr>'3382'!District_Cost_Differential</vt:lpstr>
      <vt:lpstr>'3391'!District_Cost_Differential</vt:lpstr>
      <vt:lpstr>'3394'!District_Cost_Differential</vt:lpstr>
      <vt:lpstr>'3395'!District_Cost_Differential</vt:lpstr>
      <vt:lpstr>'3396'!District_Cost_Differential</vt:lpstr>
      <vt:lpstr>'3398'!District_Cost_Differential</vt:lpstr>
      <vt:lpstr>'3400'!District_Cost_Differential</vt:lpstr>
      <vt:lpstr>'3401'!District_Cost_Differential</vt:lpstr>
      <vt:lpstr>'3413'!District_Cost_Differential</vt:lpstr>
      <vt:lpstr>'3421'!District_Cost_Differential</vt:lpstr>
      <vt:lpstr>'3431'!District_Cost_Differential</vt:lpstr>
      <vt:lpstr>'3441'!District_Cost_Differential</vt:lpstr>
      <vt:lpstr>'3924'!District_Cost_Differential</vt:lpstr>
      <vt:lpstr>'3941'!District_Cost_Differential</vt:lpstr>
      <vt:lpstr>'3961'!District_Cost_Differential</vt:lpstr>
      <vt:lpstr>'3971'!District_Cost_Differential</vt:lpstr>
      <vt:lpstr>'4001'!District_Cost_Differential</vt:lpstr>
      <vt:lpstr>'4002'!District_Cost_Differential</vt:lpstr>
      <vt:lpstr>'4012'!District_Cost_Differential</vt:lpstr>
      <vt:lpstr>'4013'!District_Cost_Differential</vt:lpstr>
      <vt:lpstr>'4020'!District_Cost_Differential</vt:lpstr>
      <vt:lpstr>'4030'!District_Cost_Differential</vt:lpstr>
      <vt:lpstr>'4031'!District_Cost_Differential</vt:lpstr>
      <vt:lpstr>'4041'!District_Cost_Differential</vt:lpstr>
      <vt:lpstr>'4050'!District_Cost_Differential</vt:lpstr>
      <vt:lpstr>'4051'!District_Cost_Differential</vt:lpstr>
      <vt:lpstr>'4061'!District_Cost_Differential</vt:lpstr>
      <vt:lpstr>'4080'!District_Cost_Differential</vt:lpstr>
      <vt:lpstr>'4081'!District_Cost_Differential</vt:lpstr>
      <vt:lpstr>'4090'!District_Cost_Differential</vt:lpstr>
      <vt:lpstr>'4091'!District_Cost_Differential</vt:lpstr>
      <vt:lpstr>'4100'!District_Cost_Differential</vt:lpstr>
      <vt:lpstr>'4102'!District_Cost_Differential</vt:lpstr>
      <vt:lpstr>'4103'!District_Cost_Differential</vt:lpstr>
      <vt:lpstr>'4111'!District_Cost_Differential</vt:lpstr>
      <vt:lpstr>'4131'!District_Cost_Differential</vt:lpstr>
      <vt:lpstr>District_Cost_Differential</vt:lpstr>
      <vt:lpstr>'0100'!Number_of_FTE</vt:lpstr>
      <vt:lpstr>'0571'!Number_of_FTE</vt:lpstr>
      <vt:lpstr>'1461'!Number_of_FTE</vt:lpstr>
      <vt:lpstr>'1571'!Number_of_FTE</vt:lpstr>
      <vt:lpstr>'2521'!Number_of_FTE</vt:lpstr>
      <vt:lpstr>'2531'!Number_of_FTE</vt:lpstr>
      <vt:lpstr>'2791'!Number_of_FTE</vt:lpstr>
      <vt:lpstr>'2801'!Number_of_FTE</vt:lpstr>
      <vt:lpstr>'2911'!Number_of_FTE</vt:lpstr>
      <vt:lpstr>'2941'!Number_of_FTE</vt:lpstr>
      <vt:lpstr>'3083'!Number_of_FTE</vt:lpstr>
      <vt:lpstr>'3345'!Number_of_FTE</vt:lpstr>
      <vt:lpstr>'3362'!Number_of_FTE</vt:lpstr>
      <vt:lpstr>'3381'!Number_of_FTE</vt:lpstr>
      <vt:lpstr>'3382'!Number_of_FTE</vt:lpstr>
      <vt:lpstr>'3391'!Number_of_FTE</vt:lpstr>
      <vt:lpstr>'3394'!Number_of_FTE</vt:lpstr>
      <vt:lpstr>'3395'!Number_of_FTE</vt:lpstr>
      <vt:lpstr>'3396'!Number_of_FTE</vt:lpstr>
      <vt:lpstr>'3398'!Number_of_FTE</vt:lpstr>
      <vt:lpstr>'3400'!Number_of_FTE</vt:lpstr>
      <vt:lpstr>'3401'!Number_of_FTE</vt:lpstr>
      <vt:lpstr>'3413'!Number_of_FTE</vt:lpstr>
      <vt:lpstr>'3421'!Number_of_FTE</vt:lpstr>
      <vt:lpstr>'3431'!Number_of_FTE</vt:lpstr>
      <vt:lpstr>'3441'!Number_of_FTE</vt:lpstr>
      <vt:lpstr>'3924'!Number_of_FTE</vt:lpstr>
      <vt:lpstr>'3941'!Number_of_FTE</vt:lpstr>
      <vt:lpstr>'3961'!Number_of_FTE</vt:lpstr>
      <vt:lpstr>'3971'!Number_of_FTE</vt:lpstr>
      <vt:lpstr>'4001'!Number_of_FTE</vt:lpstr>
      <vt:lpstr>'4002'!Number_of_FTE</vt:lpstr>
      <vt:lpstr>'4012'!Number_of_FTE</vt:lpstr>
      <vt:lpstr>'4013'!Number_of_FTE</vt:lpstr>
      <vt:lpstr>'4020'!Number_of_FTE</vt:lpstr>
      <vt:lpstr>'4030'!Number_of_FTE</vt:lpstr>
      <vt:lpstr>'4031'!Number_of_FTE</vt:lpstr>
      <vt:lpstr>'4041'!Number_of_FTE</vt:lpstr>
      <vt:lpstr>'4050'!Number_of_FTE</vt:lpstr>
      <vt:lpstr>'4051'!Number_of_FTE</vt:lpstr>
      <vt:lpstr>'4061'!Number_of_FTE</vt:lpstr>
      <vt:lpstr>'4080'!Number_of_FTE</vt:lpstr>
      <vt:lpstr>'4081'!Number_of_FTE</vt:lpstr>
      <vt:lpstr>'4090'!Number_of_FTE</vt:lpstr>
      <vt:lpstr>'4091'!Number_of_FTE</vt:lpstr>
      <vt:lpstr>'4100'!Number_of_FTE</vt:lpstr>
      <vt:lpstr>'4102'!Number_of_FTE</vt:lpstr>
      <vt:lpstr>'4103'!Number_of_FTE</vt:lpstr>
      <vt:lpstr>'4111'!Number_of_FTE</vt:lpstr>
      <vt:lpstr>'4131'!Number_of_FTE</vt:lpstr>
      <vt:lpstr>Number_of_FTE</vt:lpstr>
      <vt:lpstr>'0100'!PK___3</vt:lpstr>
      <vt:lpstr>'0571'!PK___3</vt:lpstr>
      <vt:lpstr>'1461'!PK___3</vt:lpstr>
      <vt:lpstr>'1571'!PK___3</vt:lpstr>
      <vt:lpstr>'2521'!PK___3</vt:lpstr>
      <vt:lpstr>'2531'!PK___3</vt:lpstr>
      <vt:lpstr>'2791'!PK___3</vt:lpstr>
      <vt:lpstr>'2801'!PK___3</vt:lpstr>
      <vt:lpstr>'2911'!PK___3</vt:lpstr>
      <vt:lpstr>'2941'!PK___3</vt:lpstr>
      <vt:lpstr>'3083'!PK___3</vt:lpstr>
      <vt:lpstr>'3345'!PK___3</vt:lpstr>
      <vt:lpstr>'3362'!PK___3</vt:lpstr>
      <vt:lpstr>'3381'!PK___3</vt:lpstr>
      <vt:lpstr>'3382'!PK___3</vt:lpstr>
      <vt:lpstr>'3391'!PK___3</vt:lpstr>
      <vt:lpstr>'3394'!PK___3</vt:lpstr>
      <vt:lpstr>'3395'!PK___3</vt:lpstr>
      <vt:lpstr>'3396'!PK___3</vt:lpstr>
      <vt:lpstr>'3398'!PK___3</vt:lpstr>
      <vt:lpstr>'3400'!PK___3</vt:lpstr>
      <vt:lpstr>'3401'!PK___3</vt:lpstr>
      <vt:lpstr>'3413'!PK___3</vt:lpstr>
      <vt:lpstr>'3421'!PK___3</vt:lpstr>
      <vt:lpstr>'3431'!PK___3</vt:lpstr>
      <vt:lpstr>'3441'!PK___3</vt:lpstr>
      <vt:lpstr>'3924'!PK___3</vt:lpstr>
      <vt:lpstr>'3941'!PK___3</vt:lpstr>
      <vt:lpstr>'3961'!PK___3</vt:lpstr>
      <vt:lpstr>'3971'!PK___3</vt:lpstr>
      <vt:lpstr>'4001'!PK___3</vt:lpstr>
      <vt:lpstr>'4002'!PK___3</vt:lpstr>
      <vt:lpstr>'4012'!PK___3</vt:lpstr>
      <vt:lpstr>'4013'!PK___3</vt:lpstr>
      <vt:lpstr>'4020'!PK___3</vt:lpstr>
      <vt:lpstr>'4030'!PK___3</vt:lpstr>
      <vt:lpstr>'4031'!PK___3</vt:lpstr>
      <vt:lpstr>'4041'!PK___3</vt:lpstr>
      <vt:lpstr>'4050'!PK___3</vt:lpstr>
      <vt:lpstr>'4051'!PK___3</vt:lpstr>
      <vt:lpstr>'4061'!PK___3</vt:lpstr>
      <vt:lpstr>'4080'!PK___3</vt:lpstr>
      <vt:lpstr>'4081'!PK___3</vt:lpstr>
      <vt:lpstr>'4090'!PK___3</vt:lpstr>
      <vt:lpstr>'4091'!PK___3</vt:lpstr>
      <vt:lpstr>'4100'!PK___3</vt:lpstr>
      <vt:lpstr>'4102'!PK___3</vt:lpstr>
      <vt:lpstr>'4103'!PK___3</vt:lpstr>
      <vt:lpstr>'4111'!PK___3</vt:lpstr>
      <vt:lpstr>'4131'!PK___3</vt:lpstr>
      <vt:lpstr>PK___3</vt:lpstr>
      <vt:lpstr>'0040'!Print_Area</vt:lpstr>
      <vt:lpstr>'0100'!Print_Area</vt:lpstr>
      <vt:lpstr>'0571'!Print_Area</vt:lpstr>
      <vt:lpstr>'1461'!Print_Area</vt:lpstr>
      <vt:lpstr>'1571'!Print_Area</vt:lpstr>
      <vt:lpstr>'2521'!Print_Area</vt:lpstr>
      <vt:lpstr>'2531'!Print_Area</vt:lpstr>
      <vt:lpstr>'2791'!Print_Area</vt:lpstr>
      <vt:lpstr>'2801'!Print_Area</vt:lpstr>
      <vt:lpstr>'2911'!Print_Area</vt:lpstr>
      <vt:lpstr>'2941'!Print_Area</vt:lpstr>
      <vt:lpstr>'3083'!Print_Area</vt:lpstr>
      <vt:lpstr>'3345'!Print_Area</vt:lpstr>
      <vt:lpstr>'3362'!Print_Area</vt:lpstr>
      <vt:lpstr>'3381'!Print_Area</vt:lpstr>
      <vt:lpstr>'3382'!Print_Area</vt:lpstr>
      <vt:lpstr>'3391'!Print_Area</vt:lpstr>
      <vt:lpstr>'3394'!Print_Area</vt:lpstr>
      <vt:lpstr>'3395'!Print_Area</vt:lpstr>
      <vt:lpstr>'3396'!Print_Area</vt:lpstr>
      <vt:lpstr>'3398'!Print_Area</vt:lpstr>
      <vt:lpstr>'3400'!Print_Area</vt:lpstr>
      <vt:lpstr>'3401'!Print_Area</vt:lpstr>
      <vt:lpstr>'3413'!Print_Area</vt:lpstr>
      <vt:lpstr>'3421'!Print_Area</vt:lpstr>
      <vt:lpstr>'3431'!Print_Area</vt:lpstr>
      <vt:lpstr>'3441'!Print_Area</vt:lpstr>
      <vt:lpstr>'3924'!Print_Area</vt:lpstr>
      <vt:lpstr>'3941'!Print_Area</vt:lpstr>
      <vt:lpstr>'3961'!Print_Area</vt:lpstr>
      <vt:lpstr>'3971'!Print_Area</vt:lpstr>
      <vt:lpstr>'4001'!Print_Area</vt:lpstr>
      <vt:lpstr>'4002'!Print_Area</vt:lpstr>
      <vt:lpstr>'4012'!Print_Area</vt:lpstr>
      <vt:lpstr>'4013'!Print_Area</vt:lpstr>
      <vt:lpstr>'4020'!Print_Area</vt:lpstr>
      <vt:lpstr>'4030'!Print_Area</vt:lpstr>
      <vt:lpstr>'4031'!Print_Area</vt:lpstr>
      <vt:lpstr>'4041'!Print_Area</vt:lpstr>
      <vt:lpstr>'4050'!Print_Area</vt:lpstr>
      <vt:lpstr>'4051'!Print_Area</vt:lpstr>
      <vt:lpstr>'4061'!Print_Area</vt:lpstr>
      <vt:lpstr>'4080'!Print_Area</vt:lpstr>
      <vt:lpstr>'4081'!Print_Area</vt:lpstr>
      <vt:lpstr>'4090'!Print_Area</vt:lpstr>
      <vt:lpstr>'4091'!Print_Area</vt:lpstr>
      <vt:lpstr>'4100'!Print_Area</vt:lpstr>
      <vt:lpstr>'4102'!Print_Area</vt:lpstr>
      <vt:lpstr>'4103'!Print_Area</vt:lpstr>
      <vt:lpstr>'4111'!Print_Area</vt:lpstr>
      <vt:lpstr>'4131'!Print_Area</vt:lpstr>
      <vt:lpstr>Consolidated!Print_Area</vt:lpstr>
      <vt:lpstr>'Net Payment'!Print_Area</vt:lpstr>
      <vt:lpstr>'Net Payment'!Print_Titles</vt:lpstr>
      <vt:lpstr>'0100'!Program</vt:lpstr>
      <vt:lpstr>'0571'!Program</vt:lpstr>
      <vt:lpstr>'1461'!Program</vt:lpstr>
      <vt:lpstr>'1571'!Program</vt:lpstr>
      <vt:lpstr>'2521'!Program</vt:lpstr>
      <vt:lpstr>'2531'!Program</vt:lpstr>
      <vt:lpstr>'2791'!Program</vt:lpstr>
      <vt:lpstr>'2801'!Program</vt:lpstr>
      <vt:lpstr>'2911'!Program</vt:lpstr>
      <vt:lpstr>'2941'!Program</vt:lpstr>
      <vt:lpstr>'3083'!Program</vt:lpstr>
      <vt:lpstr>'3345'!Program</vt:lpstr>
      <vt:lpstr>'3362'!Program</vt:lpstr>
      <vt:lpstr>'3381'!Program</vt:lpstr>
      <vt:lpstr>'3382'!Program</vt:lpstr>
      <vt:lpstr>'3391'!Program</vt:lpstr>
      <vt:lpstr>'3394'!Program</vt:lpstr>
      <vt:lpstr>'3395'!Program</vt:lpstr>
      <vt:lpstr>'3396'!Program</vt:lpstr>
      <vt:lpstr>'3398'!Program</vt:lpstr>
      <vt:lpstr>'3400'!Program</vt:lpstr>
      <vt:lpstr>'3401'!Program</vt:lpstr>
      <vt:lpstr>'3413'!Program</vt:lpstr>
      <vt:lpstr>'3421'!Program</vt:lpstr>
      <vt:lpstr>'3431'!Program</vt:lpstr>
      <vt:lpstr>'3441'!Program</vt:lpstr>
      <vt:lpstr>'3924'!Program</vt:lpstr>
      <vt:lpstr>'3941'!Program</vt:lpstr>
      <vt:lpstr>'3961'!Program</vt:lpstr>
      <vt:lpstr>'3971'!Program</vt:lpstr>
      <vt:lpstr>'4001'!Program</vt:lpstr>
      <vt:lpstr>'4002'!Program</vt:lpstr>
      <vt:lpstr>'4012'!Program</vt:lpstr>
      <vt:lpstr>'4013'!Program</vt:lpstr>
      <vt:lpstr>'4020'!Program</vt:lpstr>
      <vt:lpstr>'4030'!Program</vt:lpstr>
      <vt:lpstr>'4031'!Program</vt:lpstr>
      <vt:lpstr>'4041'!Program</vt:lpstr>
      <vt:lpstr>'4050'!Program</vt:lpstr>
      <vt:lpstr>'4051'!Program</vt:lpstr>
      <vt:lpstr>'4061'!Program</vt:lpstr>
      <vt:lpstr>'4080'!Program</vt:lpstr>
      <vt:lpstr>'4081'!Program</vt:lpstr>
      <vt:lpstr>'4090'!Program</vt:lpstr>
      <vt:lpstr>'4091'!Program</vt:lpstr>
      <vt:lpstr>'4100'!Program</vt:lpstr>
      <vt:lpstr>'4102'!Program</vt:lpstr>
      <vt:lpstr>'4103'!Program</vt:lpstr>
      <vt:lpstr>'4111'!Program</vt:lpstr>
      <vt:lpstr>'4131'!Program</vt:lpstr>
      <vt:lpstr>Program</vt:lpstr>
      <vt:lpstr>'0100'!Program______________________________Cost_Factor</vt:lpstr>
      <vt:lpstr>'0571'!Program______________________________Cost_Factor</vt:lpstr>
      <vt:lpstr>'1461'!Program______________________________Cost_Factor</vt:lpstr>
      <vt:lpstr>'1571'!Program______________________________Cost_Factor</vt:lpstr>
      <vt:lpstr>'2521'!Program______________________________Cost_Factor</vt:lpstr>
      <vt:lpstr>'2531'!Program______________________________Cost_Factor</vt:lpstr>
      <vt:lpstr>'2791'!Program______________________________Cost_Factor</vt:lpstr>
      <vt:lpstr>'2801'!Program______________________________Cost_Factor</vt:lpstr>
      <vt:lpstr>'2911'!Program______________________________Cost_Factor</vt:lpstr>
      <vt:lpstr>'2941'!Program______________________________Cost_Factor</vt:lpstr>
      <vt:lpstr>'3083'!Program______________________________Cost_Factor</vt:lpstr>
      <vt:lpstr>'3345'!Program______________________________Cost_Factor</vt:lpstr>
      <vt:lpstr>'3362'!Program______________________________Cost_Factor</vt:lpstr>
      <vt:lpstr>'3381'!Program______________________________Cost_Factor</vt:lpstr>
      <vt:lpstr>'3382'!Program______________________________Cost_Factor</vt:lpstr>
      <vt:lpstr>'3391'!Program______________________________Cost_Factor</vt:lpstr>
      <vt:lpstr>'3394'!Program______________________________Cost_Factor</vt:lpstr>
      <vt:lpstr>'3395'!Program______________________________Cost_Factor</vt:lpstr>
      <vt:lpstr>'3396'!Program______________________________Cost_Factor</vt:lpstr>
      <vt:lpstr>'3398'!Program______________________________Cost_Factor</vt:lpstr>
      <vt:lpstr>'3400'!Program______________________________Cost_Factor</vt:lpstr>
      <vt:lpstr>'3401'!Program______________________________Cost_Factor</vt:lpstr>
      <vt:lpstr>'3413'!Program______________________________Cost_Factor</vt:lpstr>
      <vt:lpstr>'3421'!Program______________________________Cost_Factor</vt:lpstr>
      <vt:lpstr>'3431'!Program______________________________Cost_Factor</vt:lpstr>
      <vt:lpstr>'3441'!Program______________________________Cost_Factor</vt:lpstr>
      <vt:lpstr>'3924'!Program______________________________Cost_Factor</vt:lpstr>
      <vt:lpstr>'3941'!Program______________________________Cost_Factor</vt:lpstr>
      <vt:lpstr>'3961'!Program______________________________Cost_Factor</vt:lpstr>
      <vt:lpstr>'3971'!Program______________________________Cost_Factor</vt:lpstr>
      <vt:lpstr>'4001'!Program______________________________Cost_Factor</vt:lpstr>
      <vt:lpstr>'4002'!Program______________________________Cost_Factor</vt:lpstr>
      <vt:lpstr>'4012'!Program______________________________Cost_Factor</vt:lpstr>
      <vt:lpstr>'4013'!Program______________________________Cost_Factor</vt:lpstr>
      <vt:lpstr>'4020'!Program______________________________Cost_Factor</vt:lpstr>
      <vt:lpstr>'4030'!Program______________________________Cost_Factor</vt:lpstr>
      <vt:lpstr>'4031'!Program______________________________Cost_Factor</vt:lpstr>
      <vt:lpstr>'4041'!Program______________________________Cost_Factor</vt:lpstr>
      <vt:lpstr>'4050'!Program______________________________Cost_Factor</vt:lpstr>
      <vt:lpstr>'4051'!Program______________________________Cost_Factor</vt:lpstr>
      <vt:lpstr>'4061'!Program______________________________Cost_Factor</vt:lpstr>
      <vt:lpstr>'4080'!Program______________________________Cost_Factor</vt:lpstr>
      <vt:lpstr>'4081'!Program______________________________Cost_Factor</vt:lpstr>
      <vt:lpstr>'4090'!Program______________________________Cost_Factor</vt:lpstr>
      <vt:lpstr>'4091'!Program______________________________Cost_Factor</vt:lpstr>
      <vt:lpstr>'4100'!Program______________________________Cost_Factor</vt:lpstr>
      <vt:lpstr>'4102'!Program______________________________Cost_Factor</vt:lpstr>
      <vt:lpstr>'4103'!Program______________________________Cost_Factor</vt:lpstr>
      <vt:lpstr>'4111'!Program______________________________Cost_Factor</vt:lpstr>
      <vt:lpstr>'4131'!Program______________________________Cost_Factor</vt:lpstr>
      <vt:lpstr>Program______________________________Cost_Factor</vt:lpstr>
      <vt:lpstr>'0100'!Revenue_Estimate_Worksheet_for___________Charter_School</vt:lpstr>
      <vt:lpstr>'0571'!Revenue_Estimate_Worksheet_for___________Charter_School</vt:lpstr>
      <vt:lpstr>'1461'!Revenue_Estimate_Worksheet_for___________Charter_School</vt:lpstr>
      <vt:lpstr>'1571'!Revenue_Estimate_Worksheet_for___________Charter_School</vt:lpstr>
      <vt:lpstr>'2521'!Revenue_Estimate_Worksheet_for___________Charter_School</vt:lpstr>
      <vt:lpstr>'2531'!Revenue_Estimate_Worksheet_for___________Charter_School</vt:lpstr>
      <vt:lpstr>'2791'!Revenue_Estimate_Worksheet_for___________Charter_School</vt:lpstr>
      <vt:lpstr>'2801'!Revenue_Estimate_Worksheet_for___________Charter_School</vt:lpstr>
      <vt:lpstr>'2911'!Revenue_Estimate_Worksheet_for___________Charter_School</vt:lpstr>
      <vt:lpstr>'2941'!Revenue_Estimate_Worksheet_for___________Charter_School</vt:lpstr>
      <vt:lpstr>'3083'!Revenue_Estimate_Worksheet_for___________Charter_School</vt:lpstr>
      <vt:lpstr>'3345'!Revenue_Estimate_Worksheet_for___________Charter_School</vt:lpstr>
      <vt:lpstr>'3362'!Revenue_Estimate_Worksheet_for___________Charter_School</vt:lpstr>
      <vt:lpstr>'3381'!Revenue_Estimate_Worksheet_for___________Charter_School</vt:lpstr>
      <vt:lpstr>'3382'!Revenue_Estimate_Worksheet_for___________Charter_School</vt:lpstr>
      <vt:lpstr>'3391'!Revenue_Estimate_Worksheet_for___________Charter_School</vt:lpstr>
      <vt:lpstr>'3394'!Revenue_Estimate_Worksheet_for___________Charter_School</vt:lpstr>
      <vt:lpstr>'3395'!Revenue_Estimate_Worksheet_for___________Charter_School</vt:lpstr>
      <vt:lpstr>'3396'!Revenue_Estimate_Worksheet_for___________Charter_School</vt:lpstr>
      <vt:lpstr>'3398'!Revenue_Estimate_Worksheet_for___________Charter_School</vt:lpstr>
      <vt:lpstr>'3400'!Revenue_Estimate_Worksheet_for___________Charter_School</vt:lpstr>
      <vt:lpstr>'3401'!Revenue_Estimate_Worksheet_for___________Charter_School</vt:lpstr>
      <vt:lpstr>'3413'!Revenue_Estimate_Worksheet_for___________Charter_School</vt:lpstr>
      <vt:lpstr>'3421'!Revenue_Estimate_Worksheet_for___________Charter_School</vt:lpstr>
      <vt:lpstr>'3431'!Revenue_Estimate_Worksheet_for___________Charter_School</vt:lpstr>
      <vt:lpstr>'3441'!Revenue_Estimate_Worksheet_for___________Charter_School</vt:lpstr>
      <vt:lpstr>'3924'!Revenue_Estimate_Worksheet_for___________Charter_School</vt:lpstr>
      <vt:lpstr>'3941'!Revenue_Estimate_Worksheet_for___________Charter_School</vt:lpstr>
      <vt:lpstr>'3961'!Revenue_Estimate_Worksheet_for___________Charter_School</vt:lpstr>
      <vt:lpstr>'3971'!Revenue_Estimate_Worksheet_for___________Charter_School</vt:lpstr>
      <vt:lpstr>'4001'!Revenue_Estimate_Worksheet_for___________Charter_School</vt:lpstr>
      <vt:lpstr>'4002'!Revenue_Estimate_Worksheet_for___________Charter_School</vt:lpstr>
      <vt:lpstr>'4012'!Revenue_Estimate_Worksheet_for___________Charter_School</vt:lpstr>
      <vt:lpstr>'4013'!Revenue_Estimate_Worksheet_for___________Charter_School</vt:lpstr>
      <vt:lpstr>'4020'!Revenue_Estimate_Worksheet_for___________Charter_School</vt:lpstr>
      <vt:lpstr>'4030'!Revenue_Estimate_Worksheet_for___________Charter_School</vt:lpstr>
      <vt:lpstr>'4031'!Revenue_Estimate_Worksheet_for___________Charter_School</vt:lpstr>
      <vt:lpstr>'4041'!Revenue_Estimate_Worksheet_for___________Charter_School</vt:lpstr>
      <vt:lpstr>'4050'!Revenue_Estimate_Worksheet_for___________Charter_School</vt:lpstr>
      <vt:lpstr>'4051'!Revenue_Estimate_Worksheet_for___________Charter_School</vt:lpstr>
      <vt:lpstr>'4061'!Revenue_Estimate_Worksheet_for___________Charter_School</vt:lpstr>
      <vt:lpstr>'4080'!Revenue_Estimate_Worksheet_for___________Charter_School</vt:lpstr>
      <vt:lpstr>'4081'!Revenue_Estimate_Worksheet_for___________Charter_School</vt:lpstr>
      <vt:lpstr>'4090'!Revenue_Estimate_Worksheet_for___________Charter_School</vt:lpstr>
      <vt:lpstr>'4091'!Revenue_Estimate_Worksheet_for___________Charter_School</vt:lpstr>
      <vt:lpstr>'4100'!Revenue_Estimate_Worksheet_for___________Charter_School</vt:lpstr>
      <vt:lpstr>'4102'!Revenue_Estimate_Worksheet_for___________Charter_School</vt:lpstr>
      <vt:lpstr>'4103'!Revenue_Estimate_Worksheet_for___________Charter_School</vt:lpstr>
      <vt:lpstr>'4111'!Revenue_Estimate_Worksheet_for___________Charter_School</vt:lpstr>
      <vt:lpstr>'4131'!Revenue_Estimate_Worksheet_for___________Charter_School</vt:lpstr>
      <vt:lpstr>Revenue_Estimate_Worksheet_for___________Charter_School</vt:lpstr>
      <vt:lpstr>'0100'!School_District</vt:lpstr>
      <vt:lpstr>'0571'!School_District</vt:lpstr>
      <vt:lpstr>'1461'!School_District</vt:lpstr>
      <vt:lpstr>'1571'!School_District</vt:lpstr>
      <vt:lpstr>'2521'!School_District</vt:lpstr>
      <vt:lpstr>'2531'!School_District</vt:lpstr>
      <vt:lpstr>'2791'!School_District</vt:lpstr>
      <vt:lpstr>'2801'!School_District</vt:lpstr>
      <vt:lpstr>'2911'!School_District</vt:lpstr>
      <vt:lpstr>'2941'!School_District</vt:lpstr>
      <vt:lpstr>'3083'!School_District</vt:lpstr>
      <vt:lpstr>'3345'!School_District</vt:lpstr>
      <vt:lpstr>'3362'!School_District</vt:lpstr>
      <vt:lpstr>'3381'!School_District</vt:lpstr>
      <vt:lpstr>'3382'!School_District</vt:lpstr>
      <vt:lpstr>'3391'!School_District</vt:lpstr>
      <vt:lpstr>'3394'!School_District</vt:lpstr>
      <vt:lpstr>'3395'!School_District</vt:lpstr>
      <vt:lpstr>'3396'!School_District</vt:lpstr>
      <vt:lpstr>'3398'!School_District</vt:lpstr>
      <vt:lpstr>'3400'!School_District</vt:lpstr>
      <vt:lpstr>'3401'!School_District</vt:lpstr>
      <vt:lpstr>'3413'!School_District</vt:lpstr>
      <vt:lpstr>'3421'!School_District</vt:lpstr>
      <vt:lpstr>'3431'!School_District</vt:lpstr>
      <vt:lpstr>'3441'!School_District</vt:lpstr>
      <vt:lpstr>'3924'!School_District</vt:lpstr>
      <vt:lpstr>'3941'!School_District</vt:lpstr>
      <vt:lpstr>'3961'!School_District</vt:lpstr>
      <vt:lpstr>'3971'!School_District</vt:lpstr>
      <vt:lpstr>'4001'!School_District</vt:lpstr>
      <vt:lpstr>'4002'!School_District</vt:lpstr>
      <vt:lpstr>'4012'!School_District</vt:lpstr>
      <vt:lpstr>'4013'!School_District</vt:lpstr>
      <vt:lpstr>'4020'!School_District</vt:lpstr>
      <vt:lpstr>'4030'!School_District</vt:lpstr>
      <vt:lpstr>'4031'!School_District</vt:lpstr>
      <vt:lpstr>'4041'!School_District</vt:lpstr>
      <vt:lpstr>'4050'!School_District</vt:lpstr>
      <vt:lpstr>'4051'!School_District</vt:lpstr>
      <vt:lpstr>'4061'!School_District</vt:lpstr>
      <vt:lpstr>'4080'!School_District</vt:lpstr>
      <vt:lpstr>'4081'!School_District</vt:lpstr>
      <vt:lpstr>'4090'!School_District</vt:lpstr>
      <vt:lpstr>'4091'!School_District</vt:lpstr>
      <vt:lpstr>'4100'!School_District</vt:lpstr>
      <vt:lpstr>'4102'!School_District</vt:lpstr>
      <vt:lpstr>'4103'!School_District</vt:lpstr>
      <vt:lpstr>'4111'!School_District</vt:lpstr>
      <vt:lpstr>'4131'!School_District</vt:lpstr>
      <vt:lpstr>School_District</vt:lpstr>
      <vt:lpstr>'0100'!Total</vt:lpstr>
      <vt:lpstr>'0571'!Total</vt:lpstr>
      <vt:lpstr>'1461'!Total</vt:lpstr>
      <vt:lpstr>'1571'!Total</vt:lpstr>
      <vt:lpstr>'2521'!Total</vt:lpstr>
      <vt:lpstr>'2531'!Total</vt:lpstr>
      <vt:lpstr>'2791'!Total</vt:lpstr>
      <vt:lpstr>'2801'!Total</vt:lpstr>
      <vt:lpstr>'2911'!Total</vt:lpstr>
      <vt:lpstr>'2941'!Total</vt:lpstr>
      <vt:lpstr>'3083'!Total</vt:lpstr>
      <vt:lpstr>'3345'!Total</vt:lpstr>
      <vt:lpstr>'3362'!Total</vt:lpstr>
      <vt:lpstr>'3381'!Total</vt:lpstr>
      <vt:lpstr>'3382'!Total</vt:lpstr>
      <vt:lpstr>'3391'!Total</vt:lpstr>
      <vt:lpstr>'3394'!Total</vt:lpstr>
      <vt:lpstr>'3395'!Total</vt:lpstr>
      <vt:lpstr>'3396'!Total</vt:lpstr>
      <vt:lpstr>'3398'!Total</vt:lpstr>
      <vt:lpstr>'3400'!Total</vt:lpstr>
      <vt:lpstr>'3401'!Total</vt:lpstr>
      <vt:lpstr>'3413'!Total</vt:lpstr>
      <vt:lpstr>'3421'!Total</vt:lpstr>
      <vt:lpstr>'3431'!Total</vt:lpstr>
      <vt:lpstr>'3441'!Total</vt:lpstr>
      <vt:lpstr>'3924'!Total</vt:lpstr>
      <vt:lpstr>'3941'!Total</vt:lpstr>
      <vt:lpstr>'3961'!Total</vt:lpstr>
      <vt:lpstr>'3971'!Total</vt:lpstr>
      <vt:lpstr>'4001'!Total</vt:lpstr>
      <vt:lpstr>'4002'!Total</vt:lpstr>
      <vt:lpstr>'4012'!Total</vt:lpstr>
      <vt:lpstr>'4013'!Total</vt:lpstr>
      <vt:lpstr>'4020'!Total</vt:lpstr>
      <vt:lpstr>'4030'!Total</vt:lpstr>
      <vt:lpstr>'4031'!Total</vt:lpstr>
      <vt:lpstr>'4041'!Total</vt:lpstr>
      <vt:lpstr>'4050'!Total</vt:lpstr>
      <vt:lpstr>'4051'!Total</vt:lpstr>
      <vt:lpstr>'4061'!Total</vt:lpstr>
      <vt:lpstr>'4080'!Total</vt:lpstr>
      <vt:lpstr>'4081'!Total</vt:lpstr>
      <vt:lpstr>'4090'!Total</vt:lpstr>
      <vt:lpstr>'4091'!Total</vt:lpstr>
      <vt:lpstr>'4100'!Total</vt:lpstr>
      <vt:lpstr>'4102'!Total</vt:lpstr>
      <vt:lpstr>'4103'!Total</vt:lpstr>
      <vt:lpstr>'4111'!Total</vt:lpstr>
      <vt:lpstr>'4131'!Total</vt:lpstr>
      <vt:lpstr>Total</vt:lpstr>
      <vt:lpstr>'0100'!Total_Class_Size_Reduction_Funds</vt:lpstr>
      <vt:lpstr>'0571'!Total_Class_Size_Reduction_Funds</vt:lpstr>
      <vt:lpstr>'1461'!Total_Class_Size_Reduction_Funds</vt:lpstr>
      <vt:lpstr>'1571'!Total_Class_Size_Reduction_Funds</vt:lpstr>
      <vt:lpstr>'2521'!Total_Class_Size_Reduction_Funds</vt:lpstr>
      <vt:lpstr>'2531'!Total_Class_Size_Reduction_Funds</vt:lpstr>
      <vt:lpstr>'2791'!Total_Class_Size_Reduction_Funds</vt:lpstr>
      <vt:lpstr>'2801'!Total_Class_Size_Reduction_Funds</vt:lpstr>
      <vt:lpstr>'2911'!Total_Class_Size_Reduction_Funds</vt:lpstr>
      <vt:lpstr>'2941'!Total_Class_Size_Reduction_Funds</vt:lpstr>
      <vt:lpstr>'3083'!Total_Class_Size_Reduction_Funds</vt:lpstr>
      <vt:lpstr>'3345'!Total_Class_Size_Reduction_Funds</vt:lpstr>
      <vt:lpstr>'3362'!Total_Class_Size_Reduction_Funds</vt:lpstr>
      <vt:lpstr>'3381'!Total_Class_Size_Reduction_Funds</vt:lpstr>
      <vt:lpstr>'3382'!Total_Class_Size_Reduction_Funds</vt:lpstr>
      <vt:lpstr>'3391'!Total_Class_Size_Reduction_Funds</vt:lpstr>
      <vt:lpstr>'3394'!Total_Class_Size_Reduction_Funds</vt:lpstr>
      <vt:lpstr>'3395'!Total_Class_Size_Reduction_Funds</vt:lpstr>
      <vt:lpstr>'3396'!Total_Class_Size_Reduction_Funds</vt:lpstr>
      <vt:lpstr>'3398'!Total_Class_Size_Reduction_Funds</vt:lpstr>
      <vt:lpstr>'3400'!Total_Class_Size_Reduction_Funds</vt:lpstr>
      <vt:lpstr>'3401'!Total_Class_Size_Reduction_Funds</vt:lpstr>
      <vt:lpstr>'3413'!Total_Class_Size_Reduction_Funds</vt:lpstr>
      <vt:lpstr>'3421'!Total_Class_Size_Reduction_Funds</vt:lpstr>
      <vt:lpstr>'3431'!Total_Class_Size_Reduction_Funds</vt:lpstr>
      <vt:lpstr>'3441'!Total_Class_Size_Reduction_Funds</vt:lpstr>
      <vt:lpstr>'3924'!Total_Class_Size_Reduction_Funds</vt:lpstr>
      <vt:lpstr>'3941'!Total_Class_Size_Reduction_Funds</vt:lpstr>
      <vt:lpstr>'3961'!Total_Class_Size_Reduction_Funds</vt:lpstr>
      <vt:lpstr>'3971'!Total_Class_Size_Reduction_Funds</vt:lpstr>
      <vt:lpstr>'4001'!Total_Class_Size_Reduction_Funds</vt:lpstr>
      <vt:lpstr>'4002'!Total_Class_Size_Reduction_Funds</vt:lpstr>
      <vt:lpstr>'4012'!Total_Class_Size_Reduction_Funds</vt:lpstr>
      <vt:lpstr>'4013'!Total_Class_Size_Reduction_Funds</vt:lpstr>
      <vt:lpstr>'4020'!Total_Class_Size_Reduction_Funds</vt:lpstr>
      <vt:lpstr>'4030'!Total_Class_Size_Reduction_Funds</vt:lpstr>
      <vt:lpstr>'4031'!Total_Class_Size_Reduction_Funds</vt:lpstr>
      <vt:lpstr>'4041'!Total_Class_Size_Reduction_Funds</vt:lpstr>
      <vt:lpstr>'4050'!Total_Class_Size_Reduction_Funds</vt:lpstr>
      <vt:lpstr>'4051'!Total_Class_Size_Reduction_Funds</vt:lpstr>
      <vt:lpstr>'4061'!Total_Class_Size_Reduction_Funds</vt:lpstr>
      <vt:lpstr>'4080'!Total_Class_Size_Reduction_Funds</vt:lpstr>
      <vt:lpstr>'4081'!Total_Class_Size_Reduction_Funds</vt:lpstr>
      <vt:lpstr>'4090'!Total_Class_Size_Reduction_Funds</vt:lpstr>
      <vt:lpstr>'4091'!Total_Class_Size_Reduction_Funds</vt:lpstr>
      <vt:lpstr>'4100'!Total_Class_Size_Reduction_Funds</vt:lpstr>
      <vt:lpstr>'4102'!Total_Class_Size_Reduction_Funds</vt:lpstr>
      <vt:lpstr>'4103'!Total_Class_Size_Reduction_Funds</vt:lpstr>
      <vt:lpstr>'4111'!Total_Class_Size_Reduction_Funds</vt:lpstr>
      <vt:lpstr>'4131'!Total_Class_Size_Reduction_Funds</vt:lpstr>
      <vt:lpstr>Total_Class_Size_Reduction_Funds</vt:lpstr>
      <vt:lpstr>'0100'!Totals</vt:lpstr>
      <vt:lpstr>'0571'!Totals</vt:lpstr>
      <vt:lpstr>'1461'!Totals</vt:lpstr>
      <vt:lpstr>'1571'!Totals</vt:lpstr>
      <vt:lpstr>'2521'!Totals</vt:lpstr>
      <vt:lpstr>'2531'!Totals</vt:lpstr>
      <vt:lpstr>'2791'!Totals</vt:lpstr>
      <vt:lpstr>'2801'!Totals</vt:lpstr>
      <vt:lpstr>'2911'!Totals</vt:lpstr>
      <vt:lpstr>'2941'!Totals</vt:lpstr>
      <vt:lpstr>'3083'!Totals</vt:lpstr>
      <vt:lpstr>'3345'!Totals</vt:lpstr>
      <vt:lpstr>'3362'!Totals</vt:lpstr>
      <vt:lpstr>'3381'!Totals</vt:lpstr>
      <vt:lpstr>'3382'!Totals</vt:lpstr>
      <vt:lpstr>'3391'!Totals</vt:lpstr>
      <vt:lpstr>'3394'!Totals</vt:lpstr>
      <vt:lpstr>'3395'!Totals</vt:lpstr>
      <vt:lpstr>'3396'!Totals</vt:lpstr>
      <vt:lpstr>'3398'!Totals</vt:lpstr>
      <vt:lpstr>'3400'!Totals</vt:lpstr>
      <vt:lpstr>'3401'!Totals</vt:lpstr>
      <vt:lpstr>'3413'!Totals</vt:lpstr>
      <vt:lpstr>'3421'!Totals</vt:lpstr>
      <vt:lpstr>'3431'!Totals</vt:lpstr>
      <vt:lpstr>'3441'!Totals</vt:lpstr>
      <vt:lpstr>'3924'!Totals</vt:lpstr>
      <vt:lpstr>'3941'!Totals</vt:lpstr>
      <vt:lpstr>'3961'!Totals</vt:lpstr>
      <vt:lpstr>'3971'!Totals</vt:lpstr>
      <vt:lpstr>'4001'!Totals</vt:lpstr>
      <vt:lpstr>'4002'!Totals</vt:lpstr>
      <vt:lpstr>'4012'!Totals</vt:lpstr>
      <vt:lpstr>'4013'!Totals</vt:lpstr>
      <vt:lpstr>'4020'!Totals</vt:lpstr>
      <vt:lpstr>'4030'!Totals</vt:lpstr>
      <vt:lpstr>'4031'!Totals</vt:lpstr>
      <vt:lpstr>'4041'!Totals</vt:lpstr>
      <vt:lpstr>'4050'!Totals</vt:lpstr>
      <vt:lpstr>'4051'!Totals</vt:lpstr>
      <vt:lpstr>'4061'!Totals</vt:lpstr>
      <vt:lpstr>'4080'!Totals</vt:lpstr>
      <vt:lpstr>'4081'!Totals</vt:lpstr>
      <vt:lpstr>'4090'!Totals</vt:lpstr>
      <vt:lpstr>'4091'!Totals</vt:lpstr>
      <vt:lpstr>'4100'!Totals</vt:lpstr>
      <vt:lpstr>'4102'!Totals</vt:lpstr>
      <vt:lpstr>'4103'!Totals</vt:lpstr>
      <vt:lpstr>'4111'!Totals</vt:lpstr>
      <vt:lpstr>'4131'!Totals</vt:lpstr>
      <vt:lpstr>Totals</vt:lpstr>
      <vt:lpstr>'0100'!Weighted_FTE____________b__x__c</vt:lpstr>
      <vt:lpstr>'0571'!Weighted_FTE____________b__x__c</vt:lpstr>
      <vt:lpstr>'1461'!Weighted_FTE____________b__x__c</vt:lpstr>
      <vt:lpstr>'1571'!Weighted_FTE____________b__x__c</vt:lpstr>
      <vt:lpstr>'2521'!Weighted_FTE____________b__x__c</vt:lpstr>
      <vt:lpstr>'2531'!Weighted_FTE____________b__x__c</vt:lpstr>
      <vt:lpstr>'2791'!Weighted_FTE____________b__x__c</vt:lpstr>
      <vt:lpstr>'2801'!Weighted_FTE____________b__x__c</vt:lpstr>
      <vt:lpstr>'2911'!Weighted_FTE____________b__x__c</vt:lpstr>
      <vt:lpstr>'2941'!Weighted_FTE____________b__x__c</vt:lpstr>
      <vt:lpstr>'3083'!Weighted_FTE____________b__x__c</vt:lpstr>
      <vt:lpstr>'3345'!Weighted_FTE____________b__x__c</vt:lpstr>
      <vt:lpstr>'3362'!Weighted_FTE____________b__x__c</vt:lpstr>
      <vt:lpstr>'3381'!Weighted_FTE____________b__x__c</vt:lpstr>
      <vt:lpstr>'3382'!Weighted_FTE____________b__x__c</vt:lpstr>
      <vt:lpstr>'3391'!Weighted_FTE____________b__x__c</vt:lpstr>
      <vt:lpstr>'3394'!Weighted_FTE____________b__x__c</vt:lpstr>
      <vt:lpstr>'3395'!Weighted_FTE____________b__x__c</vt:lpstr>
      <vt:lpstr>'3396'!Weighted_FTE____________b__x__c</vt:lpstr>
      <vt:lpstr>'3398'!Weighted_FTE____________b__x__c</vt:lpstr>
      <vt:lpstr>'3400'!Weighted_FTE____________b__x__c</vt:lpstr>
      <vt:lpstr>'3401'!Weighted_FTE____________b__x__c</vt:lpstr>
      <vt:lpstr>'3413'!Weighted_FTE____________b__x__c</vt:lpstr>
      <vt:lpstr>'3421'!Weighted_FTE____________b__x__c</vt:lpstr>
      <vt:lpstr>'3431'!Weighted_FTE____________b__x__c</vt:lpstr>
      <vt:lpstr>'3441'!Weighted_FTE____________b__x__c</vt:lpstr>
      <vt:lpstr>'3924'!Weighted_FTE____________b__x__c</vt:lpstr>
      <vt:lpstr>'3941'!Weighted_FTE____________b__x__c</vt:lpstr>
      <vt:lpstr>'3961'!Weighted_FTE____________b__x__c</vt:lpstr>
      <vt:lpstr>'3971'!Weighted_FTE____________b__x__c</vt:lpstr>
      <vt:lpstr>'4001'!Weighted_FTE____________b__x__c</vt:lpstr>
      <vt:lpstr>'4002'!Weighted_FTE____________b__x__c</vt:lpstr>
      <vt:lpstr>'4012'!Weighted_FTE____________b__x__c</vt:lpstr>
      <vt:lpstr>'4013'!Weighted_FTE____________b__x__c</vt:lpstr>
      <vt:lpstr>'4020'!Weighted_FTE____________b__x__c</vt:lpstr>
      <vt:lpstr>'4030'!Weighted_FTE____________b__x__c</vt:lpstr>
      <vt:lpstr>'4031'!Weighted_FTE____________b__x__c</vt:lpstr>
      <vt:lpstr>'4041'!Weighted_FTE____________b__x__c</vt:lpstr>
      <vt:lpstr>'4050'!Weighted_FTE____________b__x__c</vt:lpstr>
      <vt:lpstr>'4051'!Weighted_FTE____________b__x__c</vt:lpstr>
      <vt:lpstr>'4061'!Weighted_FTE____________b__x__c</vt:lpstr>
      <vt:lpstr>'4080'!Weighted_FTE____________b__x__c</vt:lpstr>
      <vt:lpstr>'4081'!Weighted_FTE____________b__x__c</vt:lpstr>
      <vt:lpstr>'4090'!Weighted_FTE____________b__x__c</vt:lpstr>
      <vt:lpstr>'4091'!Weighted_FTE____________b__x__c</vt:lpstr>
      <vt:lpstr>'4100'!Weighted_FTE____________b__x__c</vt:lpstr>
      <vt:lpstr>'4102'!Weighted_FTE____________b__x__c</vt:lpstr>
      <vt:lpstr>'4103'!Weighted_FTE____________b__x__c</vt:lpstr>
      <vt:lpstr>'4111'!Weighted_FTE____________b__x__c</vt:lpstr>
      <vt:lpstr>'4131'!Weighted_FTE____________b__x__c</vt:lpstr>
      <vt:lpstr>Weighted_FTE____________b__x__c</vt:lpstr>
      <vt:lpstr>'0100'!Weighted_FTE__From_Section_1</vt:lpstr>
      <vt:lpstr>'0571'!Weighted_FTE__From_Section_1</vt:lpstr>
      <vt:lpstr>'1461'!Weighted_FTE__From_Section_1</vt:lpstr>
      <vt:lpstr>'1571'!Weighted_FTE__From_Section_1</vt:lpstr>
      <vt:lpstr>'2521'!Weighted_FTE__From_Section_1</vt:lpstr>
      <vt:lpstr>'2531'!Weighted_FTE__From_Section_1</vt:lpstr>
      <vt:lpstr>'2791'!Weighted_FTE__From_Section_1</vt:lpstr>
      <vt:lpstr>'2801'!Weighted_FTE__From_Section_1</vt:lpstr>
      <vt:lpstr>'2911'!Weighted_FTE__From_Section_1</vt:lpstr>
      <vt:lpstr>'2941'!Weighted_FTE__From_Section_1</vt:lpstr>
      <vt:lpstr>'3083'!Weighted_FTE__From_Section_1</vt:lpstr>
      <vt:lpstr>'3345'!Weighted_FTE__From_Section_1</vt:lpstr>
      <vt:lpstr>'3362'!Weighted_FTE__From_Section_1</vt:lpstr>
      <vt:lpstr>'3381'!Weighted_FTE__From_Section_1</vt:lpstr>
      <vt:lpstr>'3382'!Weighted_FTE__From_Section_1</vt:lpstr>
      <vt:lpstr>'3391'!Weighted_FTE__From_Section_1</vt:lpstr>
      <vt:lpstr>'3394'!Weighted_FTE__From_Section_1</vt:lpstr>
      <vt:lpstr>'3395'!Weighted_FTE__From_Section_1</vt:lpstr>
      <vt:lpstr>'3396'!Weighted_FTE__From_Section_1</vt:lpstr>
      <vt:lpstr>'3398'!Weighted_FTE__From_Section_1</vt:lpstr>
      <vt:lpstr>'3400'!Weighted_FTE__From_Section_1</vt:lpstr>
      <vt:lpstr>'3401'!Weighted_FTE__From_Section_1</vt:lpstr>
      <vt:lpstr>'3413'!Weighted_FTE__From_Section_1</vt:lpstr>
      <vt:lpstr>'3421'!Weighted_FTE__From_Section_1</vt:lpstr>
      <vt:lpstr>'3431'!Weighted_FTE__From_Section_1</vt:lpstr>
      <vt:lpstr>'3441'!Weighted_FTE__From_Section_1</vt:lpstr>
      <vt:lpstr>'3924'!Weighted_FTE__From_Section_1</vt:lpstr>
      <vt:lpstr>'3941'!Weighted_FTE__From_Section_1</vt:lpstr>
      <vt:lpstr>'3961'!Weighted_FTE__From_Section_1</vt:lpstr>
      <vt:lpstr>'3971'!Weighted_FTE__From_Section_1</vt:lpstr>
      <vt:lpstr>'4001'!Weighted_FTE__From_Section_1</vt:lpstr>
      <vt:lpstr>'4002'!Weighted_FTE__From_Section_1</vt:lpstr>
      <vt:lpstr>'4012'!Weighted_FTE__From_Section_1</vt:lpstr>
      <vt:lpstr>'4013'!Weighted_FTE__From_Section_1</vt:lpstr>
      <vt:lpstr>'4020'!Weighted_FTE__From_Section_1</vt:lpstr>
      <vt:lpstr>'4030'!Weighted_FTE__From_Section_1</vt:lpstr>
      <vt:lpstr>'4031'!Weighted_FTE__From_Section_1</vt:lpstr>
      <vt:lpstr>'4041'!Weighted_FTE__From_Section_1</vt:lpstr>
      <vt:lpstr>'4050'!Weighted_FTE__From_Section_1</vt:lpstr>
      <vt:lpstr>'4051'!Weighted_FTE__From_Section_1</vt:lpstr>
      <vt:lpstr>'4061'!Weighted_FTE__From_Section_1</vt:lpstr>
      <vt:lpstr>'4080'!Weighted_FTE__From_Section_1</vt:lpstr>
      <vt:lpstr>'4081'!Weighted_FTE__From_Section_1</vt:lpstr>
      <vt:lpstr>'4090'!Weighted_FTE__From_Section_1</vt:lpstr>
      <vt:lpstr>'4091'!Weighted_FTE__From_Section_1</vt:lpstr>
      <vt:lpstr>'4100'!Weighted_FTE__From_Section_1</vt:lpstr>
      <vt:lpstr>'4102'!Weighted_FTE__From_Section_1</vt:lpstr>
      <vt:lpstr>'4103'!Weighted_FTE__From_Section_1</vt:lpstr>
      <vt:lpstr>'4111'!Weighted_FTE__From_Section_1</vt:lpstr>
      <vt:lpstr>'4131'!Weighted_FTE__From_Section_1</vt:lpstr>
      <vt:lpstr>Weighted_FTE__From_Section_1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Frederick Passelli</dc:creator>
  <cp:lastModifiedBy>Jason Elliott</cp:lastModifiedBy>
  <cp:lastPrinted>2026-05-04T16:54:16Z</cp:lastPrinted>
  <dcterms:created xsi:type="dcterms:W3CDTF">2015-06-05T18:17:20Z</dcterms:created>
  <dcterms:modified xsi:type="dcterms:W3CDTF">2026-05-06T17:11:38Z</dcterms:modified>
</cp:coreProperties>
</file>