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2026-27 Budget year\"/>
    </mc:Choice>
  </mc:AlternateContent>
  <xr:revisionPtr revIDLastSave="0" documentId="13_ncr:1_{CDF1C28A-CC7F-4A0B-872D-6E24AE7A14DC}" xr6:coauthVersionLast="36" xr6:coauthVersionMax="36" xr10:uidLastSave="{00000000-0000-0000-0000-000000000000}"/>
  <bookViews>
    <workbookView xWindow="360" yWindow="1575" windowWidth="11385" windowHeight="7035" xr2:uid="{00000000-000D-0000-FFFF-FFFF00000000}"/>
  </bookViews>
  <sheets>
    <sheet name="Agenda" sheetId="1" r:id="rId1"/>
    <sheet name="Salaries" sheetId="23" r:id="rId2"/>
    <sheet name="Fringe Benefits" sheetId="4" r:id="rId3"/>
    <sheet name="BOCES" sheetId="34" r:id="rId4"/>
    <sheet name="BOCES Summary" sheetId="39" r:id="rId5"/>
    <sheet name="Special Ed" sheetId="20" r:id="rId6"/>
    <sheet name="Sp Ed Summary" sheetId="38" r:id="rId7"/>
    <sheet name="Local Revenues" sheetId="21" r:id="rId8"/>
    <sheet name="Revenues" sheetId="32" r:id="rId9"/>
    <sheet name="Revenues Summary" sheetId="33" r:id="rId10"/>
    <sheet name="Budget Summary - March" sheetId="37" r:id="rId11"/>
    <sheet name="Dept. Budget" sheetId="36" r:id="rId12"/>
  </sheets>
  <definedNames>
    <definedName name="_xlnm.Print_Area" localSheetId="3">BOCES!$A$1:$I$390</definedName>
    <definedName name="_xlnm.Print_Area" localSheetId="2">'Fringe Benefits'!$A$1:$G$34</definedName>
    <definedName name="_xlnm.Print_Area" localSheetId="8">Revenues!$A$1:$E$52</definedName>
    <definedName name="_xlnm.Print_Area" localSheetId="9">'Revenues Summary'!#REF!</definedName>
    <definedName name="_xlnm.Print_Area" localSheetId="5">'Special Ed'!$A$1:$G$43</definedName>
    <definedName name="_xlnm.Print_Titles" localSheetId="3">BOCES!$1:$1</definedName>
  </definedNames>
  <calcPr calcId="191029"/>
</workbook>
</file>

<file path=xl/calcChain.xml><?xml version="1.0" encoding="utf-8"?>
<calcChain xmlns="http://schemas.openxmlformats.org/spreadsheetml/2006/main">
  <c r="H115" i="34" l="1"/>
  <c r="H183" i="34"/>
  <c r="S16" i="36"/>
  <c r="S12" i="36"/>
  <c r="S17" i="36"/>
  <c r="F52" i="23"/>
  <c r="F53" i="23" s="1"/>
  <c r="F54" i="23" s="1"/>
  <c r="G52" i="23"/>
  <c r="H263" i="34" l="1"/>
  <c r="H269" i="34"/>
  <c r="H261" i="34"/>
  <c r="G15" i="37"/>
  <c r="Q32" i="36" l="1"/>
  <c r="R30" i="36"/>
  <c r="Q30" i="36"/>
  <c r="P30" i="36"/>
  <c r="O30" i="36"/>
  <c r="N30" i="36"/>
  <c r="M30" i="36"/>
  <c r="L30" i="36"/>
  <c r="K30" i="36"/>
  <c r="J30" i="36"/>
  <c r="I30" i="36"/>
  <c r="H30" i="36"/>
  <c r="G30" i="36"/>
  <c r="F30" i="36"/>
  <c r="E30" i="36"/>
  <c r="D30" i="36"/>
  <c r="C30" i="36"/>
  <c r="B30" i="36"/>
  <c r="S29" i="36"/>
  <c r="T29" i="36" s="1"/>
  <c r="U29" i="36" s="1"/>
  <c r="T28" i="36"/>
  <c r="U28" i="36" s="1"/>
  <c r="U27" i="36"/>
  <c r="T27" i="36"/>
  <c r="L27" i="36"/>
  <c r="T26" i="36"/>
  <c r="U26" i="36" s="1"/>
  <c r="S26" i="36"/>
  <c r="S30" i="36" s="1"/>
  <c r="T30" i="36" s="1"/>
  <c r="U25" i="36"/>
  <c r="T25" i="36"/>
  <c r="T24" i="36"/>
  <c r="U24" i="36" s="1"/>
  <c r="L24" i="36"/>
  <c r="T23" i="36"/>
  <c r="U23" i="36" s="1"/>
  <c r="R20" i="36"/>
  <c r="Q20" i="36"/>
  <c r="P20" i="36"/>
  <c r="O20" i="36"/>
  <c r="N20" i="36"/>
  <c r="N32" i="36" s="1"/>
  <c r="M20" i="36"/>
  <c r="K20" i="36"/>
  <c r="J20" i="36"/>
  <c r="G20" i="36"/>
  <c r="F20" i="36"/>
  <c r="D20" i="36"/>
  <c r="C20" i="36"/>
  <c r="B20" i="36"/>
  <c r="T19" i="36"/>
  <c r="U19" i="36" s="1"/>
  <c r="L19" i="36"/>
  <c r="H19" i="36"/>
  <c r="T18" i="36"/>
  <c r="U18" i="36" s="1"/>
  <c r="T17" i="36"/>
  <c r="U17" i="36" s="1"/>
  <c r="S20" i="36"/>
  <c r="T20" i="36" s="1"/>
  <c r="U20" i="36" s="1"/>
  <c r="L16" i="36"/>
  <c r="L20" i="36" s="1"/>
  <c r="I16" i="36"/>
  <c r="I20" i="36" s="1"/>
  <c r="H16" i="36"/>
  <c r="H20" i="36" s="1"/>
  <c r="E16" i="36"/>
  <c r="E20" i="36" s="1"/>
  <c r="V13" i="36"/>
  <c r="R13" i="36"/>
  <c r="R32" i="36" s="1"/>
  <c r="Q13" i="36"/>
  <c r="P13" i="36"/>
  <c r="P32" i="36" s="1"/>
  <c r="O13" i="36"/>
  <c r="O32" i="36" s="1"/>
  <c r="N13" i="36"/>
  <c r="M13" i="36"/>
  <c r="M32" i="36" s="1"/>
  <c r="K13" i="36"/>
  <c r="K32" i="36" s="1"/>
  <c r="J13" i="36"/>
  <c r="J32" i="36" s="1"/>
  <c r="G13" i="36"/>
  <c r="G32" i="36" s="1"/>
  <c r="E13" i="36"/>
  <c r="D13" i="36"/>
  <c r="D32" i="36" s="1"/>
  <c r="C13" i="36"/>
  <c r="C32" i="36" s="1"/>
  <c r="B13" i="36"/>
  <c r="B32" i="36" s="1"/>
  <c r="V12" i="36"/>
  <c r="T12" i="36"/>
  <c r="U12" i="36" s="1"/>
  <c r="I12" i="36"/>
  <c r="I13" i="36" s="1"/>
  <c r="V11" i="36"/>
  <c r="T11" i="36"/>
  <c r="U11" i="36" s="1"/>
  <c r="H11" i="36"/>
  <c r="H13" i="36" s="1"/>
  <c r="T10" i="36"/>
  <c r="U10" i="36" s="1"/>
  <c r="T9" i="36"/>
  <c r="U9" i="36" s="1"/>
  <c r="S9" i="36"/>
  <c r="L9" i="36"/>
  <c r="V8" i="36"/>
  <c r="S8" i="36"/>
  <c r="T8" i="36" s="1"/>
  <c r="U8" i="36" s="1"/>
  <c r="L8" i="36"/>
  <c r="L13" i="36" s="1"/>
  <c r="L32" i="36" s="1"/>
  <c r="V7" i="36"/>
  <c r="S7" i="36"/>
  <c r="T7" i="36" s="1"/>
  <c r="U7" i="36" s="1"/>
  <c r="F7" i="36"/>
  <c r="F13" i="36" s="1"/>
  <c r="F32" i="36" s="1"/>
  <c r="T6" i="36"/>
  <c r="U6" i="36" s="1"/>
  <c r="S6" i="36"/>
  <c r="V5" i="36"/>
  <c r="S5" i="36"/>
  <c r="T5" i="36" s="1"/>
  <c r="U5" i="36" s="1"/>
  <c r="V4" i="36"/>
  <c r="T4" i="36"/>
  <c r="U4" i="36" s="1"/>
  <c r="S4" i="36"/>
  <c r="V3" i="36"/>
  <c r="S3" i="36"/>
  <c r="S13" i="36" s="1"/>
  <c r="H363" i="34"/>
  <c r="S32" i="36" l="1"/>
  <c r="T13" i="36"/>
  <c r="U13" i="36" s="1"/>
  <c r="H32" i="36"/>
  <c r="E32" i="36"/>
  <c r="I32" i="36"/>
  <c r="T32" i="36"/>
  <c r="U32" i="36" s="1"/>
  <c r="U30" i="36"/>
  <c r="T3" i="36"/>
  <c r="U3" i="36" s="1"/>
  <c r="T16" i="36"/>
  <c r="U16" i="36" s="1"/>
  <c r="D27" i="4"/>
  <c r="H388" i="34"/>
  <c r="G388" i="34"/>
  <c r="H387" i="34"/>
  <c r="G387" i="34"/>
  <c r="H386" i="34"/>
  <c r="G386" i="34"/>
  <c r="H385" i="34"/>
  <c r="G385" i="34"/>
  <c r="H384" i="34"/>
  <c r="G384" i="34"/>
  <c r="G382" i="34"/>
  <c r="I378" i="34"/>
  <c r="I377" i="34"/>
  <c r="I376" i="34"/>
  <c r="I375" i="34"/>
  <c r="I374" i="34"/>
  <c r="I373" i="34"/>
  <c r="I372" i="34"/>
  <c r="I371" i="34"/>
  <c r="I370" i="34"/>
  <c r="I369" i="34"/>
  <c r="I368" i="34"/>
  <c r="I367" i="34"/>
  <c r="I366" i="34"/>
  <c r="I365" i="34"/>
  <c r="I364" i="34"/>
  <c r="I363" i="34"/>
  <c r="I362" i="34"/>
  <c r="I361" i="34"/>
  <c r="I360" i="34"/>
  <c r="I359" i="34"/>
  <c r="I358" i="34"/>
  <c r="I357" i="34"/>
  <c r="I356" i="34"/>
  <c r="I355" i="34"/>
  <c r="I354" i="34"/>
  <c r="I353" i="34"/>
  <c r="I352" i="34"/>
  <c r="I351" i="34"/>
  <c r="I350" i="34"/>
  <c r="I349" i="34"/>
  <c r="G348" i="34"/>
  <c r="I348" i="34" s="1"/>
  <c r="I347" i="34"/>
  <c r="I346" i="34"/>
  <c r="I345" i="34"/>
  <c r="I344" i="34"/>
  <c r="I343" i="34"/>
  <c r="I342" i="34"/>
  <c r="I341" i="34"/>
  <c r="I340" i="34"/>
  <c r="I339" i="34"/>
  <c r="I338" i="34"/>
  <c r="I337" i="34"/>
  <c r="I336" i="34"/>
  <c r="I335" i="34"/>
  <c r="I334" i="34"/>
  <c r="I333" i="34"/>
  <c r="I332" i="34"/>
  <c r="I331" i="34"/>
  <c r="I330" i="34"/>
  <c r="I329" i="34"/>
  <c r="I328" i="34"/>
  <c r="I327" i="34"/>
  <c r="I326" i="34"/>
  <c r="I325" i="34"/>
  <c r="I324" i="34"/>
  <c r="I323" i="34"/>
  <c r="I322" i="34"/>
  <c r="H321" i="34"/>
  <c r="I321" i="34" s="1"/>
  <c r="I320" i="34"/>
  <c r="I319" i="34"/>
  <c r="I318" i="34"/>
  <c r="I317" i="34"/>
  <c r="I316" i="34"/>
  <c r="I315" i="34"/>
  <c r="I314" i="34"/>
  <c r="I313" i="34"/>
  <c r="I312" i="34"/>
  <c r="I311" i="34"/>
  <c r="I310" i="34"/>
  <c r="I309" i="34"/>
  <c r="I307" i="34"/>
  <c r="I306" i="34"/>
  <c r="I305" i="34"/>
  <c r="I304" i="34"/>
  <c r="I303" i="34"/>
  <c r="I302" i="34"/>
  <c r="I301" i="34"/>
  <c r="I388" i="34" s="1"/>
  <c r="I300" i="34"/>
  <c r="I299" i="34"/>
  <c r="I298" i="34"/>
  <c r="I297" i="34"/>
  <c r="I296" i="34"/>
  <c r="I295" i="34"/>
  <c r="H294" i="34"/>
  <c r="I294" i="34" s="1"/>
  <c r="I293" i="34"/>
  <c r="I292" i="34"/>
  <c r="I291" i="34"/>
  <c r="I290" i="34"/>
  <c r="I289" i="34"/>
  <c r="I288" i="34"/>
  <c r="I287" i="34"/>
  <c r="G286" i="34"/>
  <c r="I286" i="34" s="1"/>
  <c r="I285" i="34"/>
  <c r="I284" i="34"/>
  <c r="G283" i="34"/>
  <c r="I283" i="34" s="1"/>
  <c r="H282" i="34"/>
  <c r="I282" i="34" s="1"/>
  <c r="H281" i="34"/>
  <c r="G281" i="34"/>
  <c r="I281" i="34" s="1"/>
  <c r="I280" i="34"/>
  <c r="I279" i="34"/>
  <c r="I278" i="34"/>
  <c r="H277" i="34"/>
  <c r="G277" i="34"/>
  <c r="H276" i="34"/>
  <c r="G276" i="34"/>
  <c r="I275" i="34"/>
  <c r="I274" i="34"/>
  <c r="H273" i="34"/>
  <c r="I273" i="34" s="1"/>
  <c r="H272" i="34"/>
  <c r="G272" i="34"/>
  <c r="I272" i="34" s="1"/>
  <c r="I271" i="34"/>
  <c r="I270" i="34"/>
  <c r="I269" i="34"/>
  <c r="G269" i="34"/>
  <c r="H268" i="34"/>
  <c r="G268" i="34"/>
  <c r="H267" i="34"/>
  <c r="G267" i="34"/>
  <c r="I267" i="34" s="1"/>
  <c r="H266" i="34"/>
  <c r="G266" i="34"/>
  <c r="I266" i="34" s="1"/>
  <c r="I265" i="34"/>
  <c r="H264" i="34"/>
  <c r="I264" i="34" s="1"/>
  <c r="G263" i="34"/>
  <c r="I263" i="34" s="1"/>
  <c r="H262" i="34"/>
  <c r="G262" i="34"/>
  <c r="I262" i="34" s="1"/>
  <c r="G261" i="34"/>
  <c r="I260" i="34"/>
  <c r="I259" i="34"/>
  <c r="I258" i="34"/>
  <c r="I257" i="34"/>
  <c r="I256" i="34"/>
  <c r="I255" i="34"/>
  <c r="I254" i="34"/>
  <c r="I253" i="34"/>
  <c r="I252" i="34"/>
  <c r="I251" i="34"/>
  <c r="I250" i="34"/>
  <c r="I249" i="34"/>
  <c r="I248" i="34"/>
  <c r="I247" i="34"/>
  <c r="I246" i="34"/>
  <c r="I245" i="34"/>
  <c r="H244" i="34"/>
  <c r="G244" i="34"/>
  <c r="I243" i="34"/>
  <c r="I242" i="34"/>
  <c r="G241" i="34"/>
  <c r="I241" i="34" s="1"/>
  <c r="G240" i="34"/>
  <c r="I240" i="34" s="1"/>
  <c r="G239" i="34"/>
  <c r="I239" i="34" s="1"/>
  <c r="G238" i="34"/>
  <c r="I238" i="34" s="1"/>
  <c r="G237" i="34"/>
  <c r="I237" i="34" s="1"/>
  <c r="I236" i="34"/>
  <c r="I235" i="34"/>
  <c r="I234" i="34"/>
  <c r="I233" i="34"/>
  <c r="I232" i="34"/>
  <c r="I231" i="34"/>
  <c r="I230" i="34"/>
  <c r="I229" i="34"/>
  <c r="I228" i="34"/>
  <c r="I227" i="34"/>
  <c r="I226" i="34"/>
  <c r="I225" i="34"/>
  <c r="I224" i="34"/>
  <c r="I223" i="34"/>
  <c r="H223" i="34"/>
  <c r="I222" i="34"/>
  <c r="H221" i="34"/>
  <c r="G221" i="34"/>
  <c r="I220" i="34"/>
  <c r="I219" i="34"/>
  <c r="H218" i="34"/>
  <c r="G218" i="34"/>
  <c r="I218" i="34" s="1"/>
  <c r="H217" i="34"/>
  <c r="G217" i="34"/>
  <c r="H216" i="34"/>
  <c r="G216" i="34"/>
  <c r="I215" i="34"/>
  <c r="I214" i="34"/>
  <c r="I213" i="34"/>
  <c r="I387" i="34" s="1"/>
  <c r="I212" i="34"/>
  <c r="I211" i="34"/>
  <c r="I210" i="34"/>
  <c r="I209" i="34"/>
  <c r="I208" i="34"/>
  <c r="I207" i="34"/>
  <c r="G206" i="34"/>
  <c r="I206" i="34" s="1"/>
  <c r="I205" i="34"/>
  <c r="I204" i="34"/>
  <c r="I203" i="34"/>
  <c r="I202" i="34"/>
  <c r="I385" i="34" s="1"/>
  <c r="I201" i="34"/>
  <c r="G201" i="34"/>
  <c r="I200" i="34"/>
  <c r="I199" i="34"/>
  <c r="I198" i="34"/>
  <c r="I197" i="34"/>
  <c r="I196" i="34"/>
  <c r="I195" i="34"/>
  <c r="I194" i="34"/>
  <c r="I193" i="34"/>
  <c r="I192" i="34"/>
  <c r="I191" i="34"/>
  <c r="I190" i="34"/>
  <c r="H189" i="34"/>
  <c r="I189" i="34" s="1"/>
  <c r="I188" i="34"/>
  <c r="I187" i="34"/>
  <c r="I186" i="34"/>
  <c r="I185" i="34"/>
  <c r="I184" i="34"/>
  <c r="I183" i="34"/>
  <c r="I182" i="34"/>
  <c r="I181" i="34"/>
  <c r="I180" i="34"/>
  <c r="I179" i="34"/>
  <c r="I178" i="34"/>
  <c r="I177" i="34"/>
  <c r="I176" i="34"/>
  <c r="I175" i="34"/>
  <c r="I174" i="34"/>
  <c r="I173" i="34"/>
  <c r="I172" i="34"/>
  <c r="I171" i="34"/>
  <c r="I170" i="34"/>
  <c r="I169" i="34"/>
  <c r="I168" i="34"/>
  <c r="I167" i="34"/>
  <c r="I166" i="34"/>
  <c r="I165" i="34"/>
  <c r="I164" i="34"/>
  <c r="I163" i="34"/>
  <c r="I162" i="34"/>
  <c r="I161" i="34"/>
  <c r="I160" i="34"/>
  <c r="I159" i="34"/>
  <c r="I158" i="34"/>
  <c r="I157" i="34"/>
  <c r="I156" i="34"/>
  <c r="I155" i="34"/>
  <c r="I154" i="34"/>
  <c r="I153" i="34"/>
  <c r="I152" i="34"/>
  <c r="I151" i="34"/>
  <c r="I150" i="34"/>
  <c r="I149" i="34"/>
  <c r="I148" i="34"/>
  <c r="I147" i="34"/>
  <c r="I146" i="34"/>
  <c r="I145" i="34"/>
  <c r="I144" i="34"/>
  <c r="I143" i="34"/>
  <c r="I142" i="34"/>
  <c r="I141" i="34"/>
  <c r="H140" i="34"/>
  <c r="I140" i="34" s="1"/>
  <c r="H139" i="34"/>
  <c r="I139" i="34" s="1"/>
  <c r="I138" i="34"/>
  <c r="H137" i="34"/>
  <c r="I137" i="34" s="1"/>
  <c r="I136" i="34"/>
  <c r="I135" i="34"/>
  <c r="I134" i="34"/>
  <c r="I133" i="34"/>
  <c r="I132" i="34"/>
  <c r="I131" i="34"/>
  <c r="I130" i="34"/>
  <c r="I129" i="34"/>
  <c r="I128" i="34"/>
  <c r="I127" i="34"/>
  <c r="I126" i="34"/>
  <c r="I125" i="34"/>
  <c r="I124" i="34"/>
  <c r="I123" i="34"/>
  <c r="I122" i="34"/>
  <c r="I121" i="34"/>
  <c r="I120" i="34"/>
  <c r="I119" i="34"/>
  <c r="I118" i="34"/>
  <c r="I117" i="34"/>
  <c r="I116" i="34"/>
  <c r="I115" i="34"/>
  <c r="I114" i="34"/>
  <c r="I113" i="34"/>
  <c r="I112" i="34"/>
  <c r="I111" i="34"/>
  <c r="I110" i="34"/>
  <c r="I109" i="34"/>
  <c r="I108" i="34"/>
  <c r="I107" i="34"/>
  <c r="I106" i="34"/>
  <c r="I105" i="34"/>
  <c r="I104" i="34"/>
  <c r="I103" i="34"/>
  <c r="I102" i="34"/>
  <c r="I101" i="34"/>
  <c r="I100" i="34"/>
  <c r="I99" i="34"/>
  <c r="I98" i="34"/>
  <c r="I97" i="34"/>
  <c r="I96" i="34"/>
  <c r="I95" i="34"/>
  <c r="I94" i="34"/>
  <c r="I93" i="34"/>
  <c r="I92" i="34"/>
  <c r="I91" i="34"/>
  <c r="I90" i="34"/>
  <c r="I89" i="34"/>
  <c r="I88" i="34"/>
  <c r="I87" i="34"/>
  <c r="I86" i="34"/>
  <c r="I85" i="34"/>
  <c r="I84" i="34"/>
  <c r="I83" i="34"/>
  <c r="I82" i="34"/>
  <c r="I81" i="34"/>
  <c r="I80" i="34"/>
  <c r="I79" i="34"/>
  <c r="I78" i="34"/>
  <c r="I77" i="34"/>
  <c r="I76" i="34"/>
  <c r="I75" i="34"/>
  <c r="I74" i="34"/>
  <c r="I73" i="34"/>
  <c r="I72" i="34"/>
  <c r="I71" i="34"/>
  <c r="I70" i="34"/>
  <c r="I69" i="34"/>
  <c r="I68" i="34"/>
  <c r="I67" i="34"/>
  <c r="I66" i="34"/>
  <c r="I65" i="34"/>
  <c r="I64" i="34"/>
  <c r="I63" i="34"/>
  <c r="I62" i="34"/>
  <c r="I61" i="34"/>
  <c r="I60" i="34"/>
  <c r="I59" i="34"/>
  <c r="I58" i="34"/>
  <c r="I57" i="34"/>
  <c r="I56" i="34"/>
  <c r="I55" i="34"/>
  <c r="I54" i="34"/>
  <c r="I53" i="34"/>
  <c r="I52" i="34"/>
  <c r="I51" i="34"/>
  <c r="I50" i="34"/>
  <c r="I49" i="34"/>
  <c r="I48" i="34"/>
  <c r="I47" i="34"/>
  <c r="I46" i="34"/>
  <c r="I45" i="34"/>
  <c r="I44" i="34"/>
  <c r="I43" i="34"/>
  <c r="I42" i="34"/>
  <c r="I41" i="34"/>
  <c r="I40" i="34"/>
  <c r="I39" i="34"/>
  <c r="I38" i="34"/>
  <c r="I37" i="34"/>
  <c r="I36" i="34"/>
  <c r="I35" i="34"/>
  <c r="I34" i="34"/>
  <c r="I33" i="34"/>
  <c r="I32" i="34"/>
  <c r="I31" i="34"/>
  <c r="I30" i="34"/>
  <c r="I29" i="34"/>
  <c r="I28" i="34"/>
  <c r="I27" i="34"/>
  <c r="I26" i="34"/>
  <c r="I25" i="34"/>
  <c r="I24" i="34"/>
  <c r="I23" i="34"/>
  <c r="I22" i="34"/>
  <c r="I21" i="34"/>
  <c r="I20" i="34"/>
  <c r="I19" i="34"/>
  <c r="I18" i="34"/>
  <c r="I17" i="34"/>
  <c r="I16" i="34"/>
  <c r="I15" i="34"/>
  <c r="I14" i="34"/>
  <c r="I13" i="34"/>
  <c r="I12" i="34"/>
  <c r="I11" i="34"/>
  <c r="I10" i="34"/>
  <c r="I9" i="34"/>
  <c r="I8" i="34"/>
  <c r="I6" i="34"/>
  <c r="I5" i="34"/>
  <c r="I4" i="34"/>
  <c r="I3" i="34"/>
  <c r="I386" i="34" s="1"/>
  <c r="I2" i="34"/>
  <c r="I244" i="34" l="1"/>
  <c r="I217" i="34"/>
  <c r="I276" i="34"/>
  <c r="I277" i="34"/>
  <c r="I384" i="34"/>
  <c r="I216" i="34"/>
  <c r="I221" i="34"/>
  <c r="I268" i="34"/>
  <c r="G380" i="34"/>
  <c r="I261" i="34"/>
  <c r="I383" i="34" s="1"/>
  <c r="H383" i="34"/>
  <c r="I382" i="34"/>
  <c r="I380" i="34"/>
  <c r="H382" i="34"/>
  <c r="G383" i="34"/>
  <c r="G389" i="34" s="1"/>
  <c r="H380" i="34"/>
  <c r="H389" i="34" l="1"/>
  <c r="I389" i="34"/>
  <c r="G16" i="37"/>
  <c r="F18" i="37" l="1"/>
  <c r="D4" i="4" l="1"/>
  <c r="C52" i="23" l="1"/>
  <c r="D52" i="23"/>
  <c r="E52" i="23" l="1"/>
  <c r="G18" i="37"/>
  <c r="B14" i="37"/>
  <c r="I31" i="32"/>
  <c r="E37" i="32"/>
  <c r="C29" i="37" l="1"/>
  <c r="C31" i="37" s="1"/>
  <c r="G19" i="37"/>
  <c r="B18" i="37"/>
  <c r="D27" i="37" s="1"/>
  <c r="D29" i="37" s="1"/>
  <c r="D31" i="37" s="1"/>
  <c r="D33" i="37" l="1"/>
  <c r="C33" i="37"/>
  <c r="F27" i="37"/>
  <c r="F28" i="37" s="1"/>
  <c r="F30" i="32"/>
  <c r="C50" i="32" l="1"/>
  <c r="D17" i="4"/>
  <c r="C14" i="4" l="1"/>
  <c r="C27" i="4" l="1"/>
  <c r="C17" i="4"/>
  <c r="C4" i="4"/>
  <c r="B9" i="33" l="1"/>
  <c r="E20" i="32" l="1"/>
  <c r="H31" i="32"/>
  <c r="H33" i="32" s="1"/>
  <c r="I33" i="32" s="1"/>
  <c r="E33" i="32" s="1"/>
  <c r="C42" i="32"/>
  <c r="E16" i="21"/>
  <c r="E18" i="20"/>
  <c r="D4" i="38" l="1"/>
  <c r="D4" i="39"/>
  <c r="D4" i="33"/>
  <c r="C9" i="33"/>
  <c r="D6" i="33"/>
  <c r="D7" i="33"/>
  <c r="D8" i="33"/>
  <c r="D5" i="33"/>
  <c r="D9" i="33" l="1"/>
  <c r="E50" i="32" l="1"/>
  <c r="H32" i="32"/>
  <c r="I32" i="32" s="1"/>
  <c r="E32" i="32" s="1"/>
  <c r="H36" i="32" l="1"/>
  <c r="I36" i="32" s="1"/>
  <c r="E36" i="32" s="1"/>
  <c r="H35" i="32"/>
  <c r="I35" i="32" s="1"/>
  <c r="E35" i="32" s="1"/>
  <c r="H34" i="32"/>
  <c r="I34" i="32" s="1"/>
  <c r="E34" i="32" s="1"/>
  <c r="E42" i="32" s="1"/>
  <c r="D30" i="32"/>
  <c r="D42" i="32"/>
  <c r="D50" i="32"/>
  <c r="C30" i="32"/>
  <c r="C8" i="32"/>
  <c r="C52" i="32" l="1"/>
  <c r="E30" i="32"/>
  <c r="D8" i="32"/>
  <c r="E8" i="32"/>
  <c r="D52" i="32" l="1"/>
  <c r="E52" i="32"/>
  <c r="E25" i="20"/>
  <c r="F41" i="20" s="1"/>
  <c r="E34" i="20"/>
  <c r="E31" i="21" l="1"/>
  <c r="E14" i="20" l="1"/>
  <c r="E41" i="20"/>
  <c r="D41" i="20"/>
  <c r="D34" i="20"/>
  <c r="D25" i="20"/>
  <c r="D14" i="20"/>
  <c r="D43" i="20" l="1"/>
  <c r="E43" i="20"/>
  <c r="E17" i="4" l="1"/>
  <c r="E14" i="4"/>
  <c r="C32" i="4"/>
  <c r="E27" i="4"/>
  <c r="E4" i="4"/>
  <c r="E24" i="4"/>
  <c r="E21" i="4"/>
  <c r="D32" i="4"/>
  <c r="E8" i="4"/>
  <c r="E11" i="4" l="1"/>
  <c r="E32" i="4"/>
  <c r="E34" i="4" s="1"/>
</calcChain>
</file>

<file path=xl/sharedStrings.xml><?xml version="1.0" encoding="utf-8"?>
<sst xmlns="http://schemas.openxmlformats.org/spreadsheetml/2006/main" count="2348" uniqueCount="1162">
  <si>
    <t>BUDGET WORKSHOP # 2</t>
  </si>
  <si>
    <t>1.</t>
  </si>
  <si>
    <t>Fringe Benefits</t>
  </si>
  <si>
    <t>3.</t>
  </si>
  <si>
    <t>Equipment</t>
  </si>
  <si>
    <t>Description</t>
  </si>
  <si>
    <t>FRINGE BENEFITS</t>
  </si>
  <si>
    <t>State Retirement (ERS)</t>
  </si>
  <si>
    <t>Teacher's Retirement (TRS)</t>
  </si>
  <si>
    <t>Social Security</t>
  </si>
  <si>
    <t>Workers Compensation</t>
  </si>
  <si>
    <t>Life Insurance</t>
  </si>
  <si>
    <t>Unemployment</t>
  </si>
  <si>
    <t>Covers substitute teachers and other minor claims</t>
  </si>
  <si>
    <t>Health Insurance</t>
  </si>
  <si>
    <t xml:space="preserve"> </t>
  </si>
  <si>
    <t>BUDGET</t>
  </si>
  <si>
    <t>PROPOSAL</t>
  </si>
  <si>
    <t xml:space="preserve">Change from </t>
  </si>
  <si>
    <t>Prior Year</t>
  </si>
  <si>
    <t>AGENDA</t>
  </si>
  <si>
    <t>Grand Total</t>
  </si>
  <si>
    <t>BOCES - 2250.490</t>
  </si>
  <si>
    <t>Option 2  1:12:1</t>
  </si>
  <si>
    <t>Option 3  1:6:1</t>
  </si>
  <si>
    <t>Option 5  1:8:1</t>
  </si>
  <si>
    <t>One on one aides</t>
  </si>
  <si>
    <t>Related Services</t>
  </si>
  <si>
    <t>Consultant Teacher</t>
  </si>
  <si>
    <t>Allowance for Add. Enrollment</t>
  </si>
  <si>
    <t>TUITION - 2250</t>
  </si>
  <si>
    <t>Randolph Academy</t>
  </si>
  <si>
    <t>Consortium - Falconer,</t>
  </si>
  <si>
    <t>Southwestern</t>
  </si>
  <si>
    <t>Jamestown City Schools</t>
  </si>
  <si>
    <t>Home, Hospital &amp; Other</t>
  </si>
  <si>
    <t>CONTRACTUAL - 2250.400</t>
  </si>
  <si>
    <t>Children's Educational Services</t>
  </si>
  <si>
    <t>Supplies K - 6</t>
  </si>
  <si>
    <t>Supplies 7 - 12</t>
  </si>
  <si>
    <t>Textbooks</t>
  </si>
  <si>
    <t>TOTAL SPECIAL EDUCATION</t>
  </si>
  <si>
    <t>Budget</t>
  </si>
  <si>
    <t>COOPERATIVE BIDDING</t>
  </si>
  <si>
    <t>ADMINISTRATION</t>
  </si>
  <si>
    <t>OUTSIDE CONSULTANTS</t>
  </si>
  <si>
    <t>SUBSTITUTE REIMBURSEMENT</t>
  </si>
  <si>
    <t>INSTRUCTIONAL RESOURCES COLLECTION</t>
  </si>
  <si>
    <t>CERTIFICATION</t>
  </si>
  <si>
    <t>COOPERATIVE EQUIPMENT PROGRAM</t>
  </si>
  <si>
    <t>PROJECT KNOW</t>
  </si>
  <si>
    <t>ACADEMIC &amp; TECHNICAL SERVICE</t>
  </si>
  <si>
    <t>INSTRUCTIONAL MEDIA</t>
  </si>
  <si>
    <t>BUS DRIVER TRAINING</t>
  </si>
  <si>
    <t>Boces</t>
  </si>
  <si>
    <t>Special Education</t>
  </si>
  <si>
    <t>The Achievement Center</t>
  </si>
  <si>
    <t>REVENUES</t>
  </si>
  <si>
    <t>Fund Balance</t>
  </si>
  <si>
    <t>ADDITIONAL REGIONAL WORKSHOPS</t>
  </si>
  <si>
    <t>Salaries</t>
  </si>
  <si>
    <t>LOCAL REVENUES</t>
  </si>
  <si>
    <t>Revenue Code</t>
  </si>
  <si>
    <t>Payment in Lieu of Taxes</t>
  </si>
  <si>
    <t>Interest/Penalties on Taxes</t>
  </si>
  <si>
    <t>Tuition - Day School</t>
  </si>
  <si>
    <t>Continuing Education</t>
  </si>
  <si>
    <t>Summer School</t>
  </si>
  <si>
    <t>Student Fees</t>
  </si>
  <si>
    <t>Admissions</t>
  </si>
  <si>
    <t>Charges for Services - Ind</t>
  </si>
  <si>
    <t>Charges for Services - Other School Districts</t>
  </si>
  <si>
    <t>Charges for Services - BOCES</t>
  </si>
  <si>
    <t>Other State Aid / E-Rate - Misc.</t>
  </si>
  <si>
    <t>Interest (24011 &amp; 2401UR)</t>
  </si>
  <si>
    <t>Building Rental - Use of Facilities</t>
  </si>
  <si>
    <t>Sale of Scrap</t>
  </si>
  <si>
    <t>Minor Sales</t>
  </si>
  <si>
    <t>Sale of Equipment</t>
  </si>
  <si>
    <t>Sale of Transportation Equipment</t>
  </si>
  <si>
    <t>Sale of Instructional Supplies</t>
  </si>
  <si>
    <t>Insurance Recoveries</t>
  </si>
  <si>
    <t>Compensation for Loss</t>
  </si>
  <si>
    <t>Prior Year Refund - BOCES</t>
  </si>
  <si>
    <t>Prior Year Refund - Transportation</t>
  </si>
  <si>
    <t>Prior Year Refund - Other</t>
  </si>
  <si>
    <t>Gifts &amp; Donations</t>
  </si>
  <si>
    <t>Other - Unclassified</t>
  </si>
  <si>
    <t>Interfund Revenue</t>
  </si>
  <si>
    <t>TOTAL LOCAL REVENUES</t>
  </si>
  <si>
    <t>Retirement Reserve</t>
  </si>
  <si>
    <t>COMPUTER TECHNICAL ASSISTANCE</t>
  </si>
  <si>
    <t>Family Services</t>
  </si>
  <si>
    <t>Turning Point Behavioral</t>
  </si>
  <si>
    <t>Unemployment Reserve</t>
  </si>
  <si>
    <t>DASA TRAINING</t>
  </si>
  <si>
    <t>Change</t>
  </si>
  <si>
    <t>GA Home,</t>
  </si>
  <si>
    <t>NYS Dormitory</t>
  </si>
  <si>
    <t>Other</t>
  </si>
  <si>
    <t>Revenues</t>
  </si>
  <si>
    <t>Rate of 7.65%</t>
  </si>
  <si>
    <t>Total Increase/(Decrease) in State Pension Costs</t>
  </si>
  <si>
    <t>Change in salary base &amp; premium</t>
  </si>
  <si>
    <t>2.</t>
  </si>
  <si>
    <t>Draft Budget Scenarios</t>
  </si>
  <si>
    <t>Budget Presentations</t>
  </si>
  <si>
    <t>Salary Worksheet Summary</t>
  </si>
  <si>
    <t>Proposal</t>
  </si>
  <si>
    <t>Superintendent</t>
  </si>
  <si>
    <t>Superintendent Secretary</t>
  </si>
  <si>
    <t>Business Office</t>
  </si>
  <si>
    <t>Treasurer</t>
  </si>
  <si>
    <t>Tax Collector</t>
  </si>
  <si>
    <t>Cleaning &amp; Custodial</t>
  </si>
  <si>
    <t>Lifeguards</t>
  </si>
  <si>
    <t>Maintenance</t>
  </si>
  <si>
    <t>Curriculum</t>
  </si>
  <si>
    <t>Computer Education</t>
  </si>
  <si>
    <t>Guidance - Secretaries</t>
  </si>
  <si>
    <t>Counseling</t>
  </si>
  <si>
    <t>Athletics</t>
  </si>
  <si>
    <t>Transportation</t>
  </si>
  <si>
    <t>Transportation - Extra Trips</t>
  </si>
  <si>
    <t>LENDING LOCKER MAINTENANCE</t>
  </si>
  <si>
    <t>REGISTRATION FEE</t>
  </si>
  <si>
    <t>ACTUAL</t>
  </si>
  <si>
    <t>ST-3 Code</t>
  </si>
  <si>
    <t>BOCES</t>
  </si>
  <si>
    <t>Service Name</t>
  </si>
  <si>
    <t>Allowance</t>
  </si>
  <si>
    <t>Total Budget</t>
  </si>
  <si>
    <t>A1310.49</t>
  </si>
  <si>
    <t>ER 2 BOCES</t>
  </si>
  <si>
    <t>PER DISTRICT</t>
  </si>
  <si>
    <t>A1430.49</t>
  </si>
  <si>
    <t>NEGOTIATIONS/BASIC</t>
  </si>
  <si>
    <t>EXTENDED (NEGOTIATIONS)</t>
  </si>
  <si>
    <t>PER ACTUSL USAGE</t>
  </si>
  <si>
    <t>GRANTS WRITING BASE FEE</t>
  </si>
  <si>
    <t>AS BILLED</t>
  </si>
  <si>
    <t>A1680.49</t>
  </si>
  <si>
    <t>ER 1 BOCES</t>
  </si>
  <si>
    <t>SOFTWARE MAINTENANCE</t>
  </si>
  <si>
    <t>EACH</t>
  </si>
  <si>
    <t>GURU BOARDS LICENSING</t>
  </si>
  <si>
    <t>HOSTING/TRAINING/SUPPORT</t>
  </si>
  <si>
    <t>RWADA</t>
  </si>
  <si>
    <t>NYS DATA SUPPORT</t>
  </si>
  <si>
    <t>AUTOMATED DATA EXTRACT</t>
  </si>
  <si>
    <t>ELA/MATH GR. 3-8, FULL SERVICE</t>
  </si>
  <si>
    <t>NYS REGENTS EXAM DATA COLLECTION</t>
  </si>
  <si>
    <t>SCIENCE, NYSESLAT, FULL SERVICE</t>
  </si>
  <si>
    <t>COMPUTER BASED TESTING</t>
  </si>
  <si>
    <t>NYSAA REPORT PRINTING/ADD PRINT</t>
  </si>
  <si>
    <t>JUST-IN-TIME-SCANNING</t>
  </si>
  <si>
    <t>PREPRINTING AT RIC - REGENTS</t>
  </si>
  <si>
    <t>BASE SERVICE - DISTRICT MANDATORY</t>
  </si>
  <si>
    <t>DISTRICT</t>
  </si>
  <si>
    <t>BASE SERVICE - BUILDING MANDATORY</t>
  </si>
  <si>
    <t>PER BUILDING</t>
  </si>
  <si>
    <t>REPORTS 3-8 &amp; ELA</t>
  </si>
  <si>
    <t>SCI PDF ISRs FTP SITE</t>
  </si>
  <si>
    <t>DAT MENTOR LICENSE FEE</t>
  </si>
  <si>
    <t>NYS DATA COLLECTION &amp; REPORTS</t>
  </si>
  <si>
    <t>NATIONAL STUDENT CLEARINGHOUSE</t>
  </si>
  <si>
    <t>VENDOR LICENSE FEE</t>
  </si>
  <si>
    <t>ANNUAL SUPPORT AND TRAINING</t>
  </si>
  <si>
    <t>AT COST</t>
  </si>
  <si>
    <t>SUPPORT/TRAINING - SUBS YEAR</t>
  </si>
  <si>
    <t>MANDATORY TECH SUPPORT</t>
  </si>
  <si>
    <t>LICENSED SITE</t>
  </si>
  <si>
    <t>HOSTING, TRAINING &amp; SUPPORT</t>
  </si>
  <si>
    <t>ENHANCED DATA SUPPORT - TIER 1</t>
  </si>
  <si>
    <t>YEAR</t>
  </si>
  <si>
    <t>QUARTERLY BILLING SUPPORT</t>
  </si>
  <si>
    <t>CENTRAL SITE SUPPORT - LEVEL 2</t>
  </si>
  <si>
    <t>PER DIEM TRAINING</t>
  </si>
  <si>
    <t>RIC HOSTING ANNUAL FEE</t>
  </si>
  <si>
    <t>APPR &amp; STAFF SNAPSHOT EXPORT/IMPORT</t>
  </si>
  <si>
    <t>ANNUAL SOFTWARE MAINTENANCE</t>
  </si>
  <si>
    <t>SITE</t>
  </si>
  <si>
    <t>JOINT MARKETING FEE</t>
  </si>
  <si>
    <t>SOFTWARE SUBSCRIPTION</t>
  </si>
  <si>
    <t>HOUR</t>
  </si>
  <si>
    <t>SERVER LICENSE FEE ( ZIS )</t>
  </si>
  <si>
    <t>XD DIRECTORY AGENT MAINTENANCE</t>
  </si>
  <si>
    <t>DATA INTEGRATION BUNDLE</t>
  </si>
  <si>
    <t>MAILING SERVICE</t>
  </si>
  <si>
    <t>LICENSE MAINTENANCE</t>
  </si>
  <si>
    <t>DISTRICT HARDWARE,SOFTWARE</t>
  </si>
  <si>
    <t>SHARED TELECOM-BROADBAND</t>
  </si>
  <si>
    <t>WAN SUPPORT &amp; DIAGNOSTICS</t>
  </si>
  <si>
    <t>WAN TECH SUPPORT/INSTALLATION</t>
  </si>
  <si>
    <t>MANDATORY NETWORK EQUIP SUPPORT</t>
  </si>
  <si>
    <t>NETWORK MAINTENANCE</t>
  </si>
  <si>
    <t>GIGABIT ETHERNET TELECOM MANDATORY</t>
  </si>
  <si>
    <t>INTERNET ACCESS &amp; INFRASTRUCTURE</t>
  </si>
  <si>
    <t>INTERNET ACCESS AND INFRA BASE FEE</t>
  </si>
  <si>
    <t>ANNUAL</t>
  </si>
  <si>
    <t>BASIC SERVICE</t>
  </si>
  <si>
    <t>BASE RWADA SERVICE</t>
  </si>
  <si>
    <t>MAINTENANCE &amp; SUPPORT</t>
  </si>
  <si>
    <t>PRI &amp; POTS LINES, AIDABLE</t>
  </si>
  <si>
    <t>SHARED SIP TRUNKING SERVICE</t>
  </si>
  <si>
    <t>CONTENT FILTERING BASE FEE</t>
  </si>
  <si>
    <t>FILTERING PER STUDENT IBOSS LICE</t>
  </si>
  <si>
    <t>STUDENT</t>
  </si>
  <si>
    <t>ANNUAL MAINTENANCE</t>
  </si>
  <si>
    <t>ANNUAL  MAINTENANCE - 5% FEE</t>
  </si>
  <si>
    <t>MAINTENANCE - TOUCHSCREEN</t>
  </si>
  <si>
    <t>PRINTER COUPONS</t>
  </si>
  <si>
    <t>COUPON</t>
  </si>
  <si>
    <t>SERVERS AND MISC. EQUIPMENT</t>
  </si>
  <si>
    <t>WILDCARD SSL CERTIFICATE</t>
  </si>
  <si>
    <t>PROJECT PLANNING/COORDINATION</t>
  </si>
  <si>
    <t>BASE LAN TECH SUPPORT - LEVEL 1</t>
  </si>
  <si>
    <t>0.2 FTE</t>
  </si>
  <si>
    <t>VMWARE REGISTRATION FEE</t>
  </si>
  <si>
    <t>8% OR MAX</t>
  </si>
  <si>
    <t>A1680.50</t>
  </si>
  <si>
    <t>TECHNICAL TRAINING FOR DISTRICT STAFF</t>
  </si>
  <si>
    <t>NETWORK CONSULTING AND PLANNING</t>
  </si>
  <si>
    <t>HARDWARE PURCHASE</t>
  </si>
  <si>
    <t>CAMERA</t>
  </si>
  <si>
    <t>IP CAMERA LICENSE</t>
  </si>
  <si>
    <t>PER CAMERA SUPPORT FEE (100-199)</t>
  </si>
  <si>
    <t>BASE FEE</t>
  </si>
  <si>
    <t>CENTRALIZED MONITORING</t>
  </si>
  <si>
    <t>PASSWORD MANAGEMENT BASE</t>
  </si>
  <si>
    <t>RWADA CHARGE</t>
  </si>
  <si>
    <t>CYBER INSURANCE - MANDATORY</t>
  </si>
  <si>
    <t>TECHNOLOGY SPECIAL EQUIPMENT BILLING</t>
  </si>
  <si>
    <t>A1981.49</t>
  </si>
  <si>
    <t>Per RWADA</t>
  </si>
  <si>
    <t>A1983.49</t>
  </si>
  <si>
    <t>CAPITAL - EXPENDITURES-RENT</t>
  </si>
  <si>
    <t>CAPITAL - EXPENDITURES</t>
  </si>
  <si>
    <t>A2010.49</t>
  </si>
  <si>
    <t>BOARD OF EDUCATION DEVELOPMENT</t>
  </si>
  <si>
    <t>PER PARTICIPANT</t>
  </si>
  <si>
    <t>ACTUAL USE + 3%</t>
  </si>
  <si>
    <t>PER DAY/+3% FEE</t>
  </si>
  <si>
    <t>A2020.49</t>
  </si>
  <si>
    <t>A2060.49</t>
  </si>
  <si>
    <t>GASB 75 (FORMERLY GASB 45)</t>
  </si>
  <si>
    <t>FINANCE &amp; LEGISLATIVE-LEVEL 1</t>
  </si>
  <si>
    <t>BOARD DOCS LT</t>
  </si>
  <si>
    <t>MNTHLY &amp; QRTLY POLICY REVISIONS</t>
  </si>
  <si>
    <t>MNTHLY &amp; QRTLY ADMIN REVISIONS</t>
  </si>
  <si>
    <t>A2070.49</t>
  </si>
  <si>
    <t>MNR2 BOCES</t>
  </si>
  <si>
    <t>ELEARNING - MONROE 2 BOCES</t>
  </si>
  <si>
    <t>X-CONTRACT</t>
  </si>
  <si>
    <t>AUDUBON SOCIETY PROGRAMS</t>
  </si>
  <si>
    <t>PER PROG.BLOCK</t>
  </si>
  <si>
    <t>ROGER TORY PETERSON INSTITUTE</t>
  </si>
  <si>
    <t>PER UNIT</t>
  </si>
  <si>
    <t>STAFF DEV.-INTERSCOLASTIC COACHING</t>
  </si>
  <si>
    <t>ONLINE ATHLETIC - HUDL</t>
  </si>
  <si>
    <t>SCHOOL AND SOCIETAL COORDINATION</t>
  </si>
  <si>
    <t>DIGNITY FOR ALL STUDENTS PROF. DEVELOPMENT</t>
  </si>
  <si>
    <t>CUSTOMIZED SERVICE DAYS</t>
  </si>
  <si>
    <t>PER DAY</t>
  </si>
  <si>
    <t>PNW BOCES</t>
  </si>
  <si>
    <t>SCHOOL/CURR PLANNING - PUTNAM BOCES</t>
  </si>
  <si>
    <t>SCHOOL/CURRICULUM IMPROVE./SUPPORT</t>
  </si>
  <si>
    <t>A2110.49</t>
  </si>
  <si>
    <t>REGIONAL SUMMER SCHOOL</t>
  </si>
  <si>
    <t>@ STUD./COURSE</t>
  </si>
  <si>
    <t>REGIONAL SMMR SCHL-EXAM</t>
  </si>
  <si>
    <t>PER EXAM</t>
  </si>
  <si>
    <t>REGIONAL SUM. REVIEW COURSES</t>
  </si>
  <si>
    <t>PER STUDENT</t>
  </si>
  <si>
    <t>CATT BOCES</t>
  </si>
  <si>
    <t>EXPLORATORY ENRICHMENT - CA BOCES</t>
  </si>
  <si>
    <t>ALT. ED. - REMOTE</t>
  </si>
  <si>
    <t>@ STUDENT/SLOT</t>
  </si>
  <si>
    <t>ALT. ED. - CENTRAL CONSOLIDATED</t>
  </si>
  <si>
    <t>DISTANCE LEARNING BASE FEE</t>
  </si>
  <si>
    <t>DISTANCE LEARNING - COORDINATION</t>
  </si>
  <si>
    <t>PER ROOM</t>
  </si>
  <si>
    <t>DISTANCE LEARNING - NETWORK MAINT.</t>
  </si>
  <si>
    <t>VIDEO CONFERNECING/ONLINE LEARNING</t>
  </si>
  <si>
    <t>DL - CUSTOM VIDEO MGMT</t>
  </si>
  <si>
    <t>DL - ONLINE COURSEWARE APEX</t>
  </si>
  <si>
    <t>CLOUD BASED VIDEO CONFERENCING</t>
  </si>
  <si>
    <t>CLOUD BASED VIDEO CONF LICENSE</t>
  </si>
  <si>
    <t>DISTANCE LEARNING COURSE FEES</t>
  </si>
  <si>
    <t>PER COURSE</t>
  </si>
  <si>
    <t>ELEM. SCIENCE - K-6 BASE FEE</t>
  </si>
  <si>
    <t>ELEM. SCIENCE - K-6</t>
  </si>
  <si>
    <t>PER STUDENT K-6</t>
  </si>
  <si>
    <t>MYSTERY SCIENCE</t>
  </si>
  <si>
    <t>COORDINATION OF SERVICES</t>
  </si>
  <si>
    <t>COORDINATED HEALTH SPEC. BUNDLE</t>
  </si>
  <si>
    <t>PER CLASS</t>
  </si>
  <si>
    <t>SPECIALIZED HEALTH EDUCATION WORKSHOP</t>
  </si>
  <si>
    <t>ACTUAL USAGE</t>
  </si>
  <si>
    <t>SECOND STEP MS</t>
  </si>
  <si>
    <t>TEST SCORING</t>
  </si>
  <si>
    <t>PER TEST</t>
  </si>
  <si>
    <t>ODYSSEY OF THE MIND - CATT-ALLEGANY BOCES</t>
  </si>
  <si>
    <t>COMMUNITY SCHOOL RESOURCES BASE FEE</t>
  </si>
  <si>
    <t>COMM. SCHOOLS - PARENTS AS TEACHERS</t>
  </si>
  <si>
    <t>PER STUDENT/FAM</t>
  </si>
  <si>
    <t>COMM. SCHOOLS - SCHOOL PHYSICIAN</t>
  </si>
  <si>
    <t>ACT. COST + 5%</t>
  </si>
  <si>
    <t>COMM. SCHOOLS - CROSS TRAINING ATHLETICS</t>
  </si>
  <si>
    <t>PRINT, DESIGN &amp; COPY SERVICES</t>
  </si>
  <si>
    <t>SUPPORT FOR CSLO  ON SITE MANDATORY</t>
  </si>
  <si>
    <t>A2250.49</t>
  </si>
  <si>
    <t>OPTION 3:  6:1:1</t>
  </si>
  <si>
    <t>ONE ON ONE AIDE</t>
  </si>
  <si>
    <t>A2250.50</t>
  </si>
  <si>
    <t>OPTION 5:  8:1:1</t>
  </si>
  <si>
    <t>INDIVIDUAL SPE/LAN.BOCES SELF CONT.</t>
  </si>
  <si>
    <t>1SES/30MN/WK/YR</t>
  </si>
  <si>
    <t>GROUP SPEECH/LANG.BOCES SELF CONT.</t>
  </si>
  <si>
    <t>SCHOOL COUNS/INDIV.BOCES SELF CONT.</t>
  </si>
  <si>
    <t>SCHOOL COUNS/GROUP BOCES SELF CONT.</t>
  </si>
  <si>
    <t>OCC.THERAPY BOCES SELF CONTAINED</t>
  </si>
  <si>
    <t>OCC.THERAPY GROUP BOCES SELF CONT.</t>
  </si>
  <si>
    <t>INDIVIDUAL PT-BOCES SELF CONTAINED</t>
  </si>
  <si>
    <t>CONSULT.TEACHER-CTE</t>
  </si>
  <si>
    <t>@120 MIN/WK</t>
  </si>
  <si>
    <t>BEHAVIOR SUPPORT SPECIALIST</t>
  </si>
  <si>
    <t>PER HOUR</t>
  </si>
  <si>
    <t>BEHAVIOR SPECIALIST</t>
  </si>
  <si>
    <t>A2280.49</t>
  </si>
  <si>
    <t>CAREER &amp; TECHNICAL EDUCATION</t>
  </si>
  <si>
    <t>PR YR AVE ENRLL</t>
  </si>
  <si>
    <t>ALT. EDUCATION - VOCATIONAL SERCICES</t>
  </si>
  <si>
    <t>A2610.49</t>
  </si>
  <si>
    <t>ACTUAL + 5%</t>
  </si>
  <si>
    <t>COOPERATIVE ONLINE INFO.RESOURCES</t>
  </si>
  <si>
    <t>INSTRUCTIONAL MEDIA BASE SERVICE</t>
  </si>
  <si>
    <t>A2610.50</t>
  </si>
  <si>
    <t>AV REPIAR PARTS</t>
  </si>
  <si>
    <t>A2610.51</t>
  </si>
  <si>
    <t>AV SERVCE-REPAIR LABOR</t>
  </si>
  <si>
    <t>TECHNICAL REPAIR SERVICES</t>
  </si>
  <si>
    <t>TECHNICAL REPAIR SERVICES BASE FEE</t>
  </si>
  <si>
    <t>PRINTING-PRODUCTION SERVICE</t>
  </si>
  <si>
    <t>TECHNOLOGY CONSORTIUM</t>
  </si>
  <si>
    <t>AUTOMATION SOFTWARE SUPPORT</t>
  </si>
  <si>
    <t>LIBRARY</t>
  </si>
  <si>
    <t>REGIONAL CATALOG</t>
  </si>
  <si>
    <t>SOFTWARE MAINT - FOLLETT</t>
  </si>
  <si>
    <t>MANDATORY TECHNICAL SUPPORT</t>
  </si>
  <si>
    <t>A2630.49</t>
  </si>
  <si>
    <t>BASIC LEARNING SUPPORT MANDATORY</t>
  </si>
  <si>
    <t>ITS RWADA CHARGES MANDATORY</t>
  </si>
  <si>
    <t>ONLINE RESOURCES - REGISTRATION FEE</t>
  </si>
  <si>
    <t>NEWSELA</t>
  </si>
  <si>
    <t>GIZMOS</t>
  </si>
  <si>
    <t>LEARNING ALLY</t>
  </si>
  <si>
    <t>IXL</t>
  </si>
  <si>
    <t>NEARPOD</t>
  </si>
  <si>
    <t>FLOCABULARY</t>
  </si>
  <si>
    <t>KAMI</t>
  </si>
  <si>
    <t>LEXIA</t>
  </si>
  <si>
    <t>EDPUZZLE</t>
  </si>
  <si>
    <t>MOBY MAX</t>
  </si>
  <si>
    <t>XELLO</t>
  </si>
  <si>
    <t>SUBSEQUENT YEARS</t>
  </si>
  <si>
    <t>APPLICATION</t>
  </si>
  <si>
    <t>NWEA MAPS</t>
  </si>
  <si>
    <t>CSLO BASE FEE MANDATORY</t>
  </si>
  <si>
    <t>8% OR MAX $200/</t>
  </si>
  <si>
    <t>WEVIDEO</t>
  </si>
  <si>
    <t>BRAINPOP</t>
  </si>
  <si>
    <t>CASTLE LEARNING</t>
  </si>
  <si>
    <t>ADDITIONAL BANDWIDTH - KAJEET</t>
  </si>
  <si>
    <t>INSTRUCTIONAL LAN FOR TECHNOLOGY PROJECTS</t>
  </si>
  <si>
    <t>3.25% OR MAX $12,750</t>
  </si>
  <si>
    <t>TECHNOLOGY EQUIPMENT SPECIAL BILLING</t>
  </si>
  <si>
    <t>VIDEO STREAMING-EXTENDED</t>
  </si>
  <si>
    <t>ACTUAL + 3%</t>
  </si>
  <si>
    <t>@ 1DAY/WK/12M0</t>
  </si>
  <si>
    <t>TECHNOLOGY SUPPORT DATA MANAGEMENT</t>
  </si>
  <si>
    <t>A2855.49</t>
  </si>
  <si>
    <t>SHARED ATHLETIC TRAINER BASE FEE</t>
  </si>
  <si>
    <t>SHARED ATHLETIC TRAINER PER HOUR</t>
  </si>
  <si>
    <t>NYSPHAA - SECTION VI - COORDINATION</t>
  </si>
  <si>
    <t>NYSPHAA-SECTION VI-ARBITERGAME</t>
  </si>
  <si>
    <t>CCAA LEAGUE DUES</t>
  </si>
  <si>
    <t>A5510.49</t>
  </si>
  <si>
    <t>REFRESHER COURSE</t>
  </si>
  <si>
    <t>PER PERTICIPANT</t>
  </si>
  <si>
    <t>Erie 1 BOCES</t>
  </si>
  <si>
    <t>Erie 2 BOCES</t>
  </si>
  <si>
    <t>Cattaraugus Allegany BOCES</t>
  </si>
  <si>
    <t>Monroe BOCES</t>
  </si>
  <si>
    <t>Total BOCES</t>
  </si>
  <si>
    <t>DIGITAL EQUITY SERVICE BASE FEE</t>
  </si>
  <si>
    <t>INTEGRATION SUPPORT</t>
  </si>
  <si>
    <t>WORK ORDER ANNUAL SUPPORT &amp; TRAINING</t>
  </si>
  <si>
    <t>ANNUAL SITE LICENSE</t>
  </si>
  <si>
    <t>ROSTER SERVER HOSTING</t>
  </si>
  <si>
    <t>ANALYTICS PLUS</t>
  </si>
  <si>
    <t>SUPPRT FEE - SUBSEQUEST YEARS</t>
  </si>
  <si>
    <t>TIER 1 ANNUAL WEBSITE SUPPORT &amp; TRAINING</t>
  </si>
  <si>
    <t>UPS COUPONS</t>
  </si>
  <si>
    <t>ENHANCED CYBERSECURITY SERVICE</t>
  </si>
  <si>
    <t>WNYRIC COORDINATION FEE</t>
  </si>
  <si>
    <t>CYBER INSURANCE - COORDINATION FEE</t>
  </si>
  <si>
    <t>QUESTAR III</t>
  </si>
  <si>
    <t>FIXED ASSETS</t>
  </si>
  <si>
    <t>ALT. ED. - MIDDLE LEVEL</t>
  </si>
  <si>
    <t>OHM BOCES</t>
  </si>
  <si>
    <t>WORLD LANGUAGES</t>
  </si>
  <si>
    <t>CTE EXPLORATION-CDOS</t>
  </si>
  <si>
    <t>ADOBE LICENSES</t>
  </si>
  <si>
    <t>BOOK CREATOR</t>
  </si>
  <si>
    <t>SECTION VI - ARBITER PAY</t>
  </si>
  <si>
    <t>Questar BOCES</t>
  </si>
  <si>
    <t>Supplies &amp; Materials</t>
  </si>
  <si>
    <t>FREWSBURG CSD</t>
  </si>
  <si>
    <t>Account</t>
  </si>
  <si>
    <t>Local Revenues</t>
  </si>
  <si>
    <t>A 1001.000</t>
  </si>
  <si>
    <t>REAL PROPERTY TAXES</t>
  </si>
  <si>
    <t>A 1085.000</t>
  </si>
  <si>
    <t>SCHOOL TAX RELIEF REIMBURSEMENT</t>
  </si>
  <si>
    <t>A 1090.000</t>
  </si>
  <si>
    <t>REAL PROPERTY TAX INTEREST</t>
  </si>
  <si>
    <t>A 1310.000</t>
  </si>
  <si>
    <t>DAY SCHOOL TUITION</t>
  </si>
  <si>
    <t>A 1315.000</t>
  </si>
  <si>
    <t>CONTINUING EDUCATION TUITION</t>
  </si>
  <si>
    <t>A 1320.000</t>
  </si>
  <si>
    <t>SUMMER SCHOOL TUITION</t>
  </si>
  <si>
    <t>A 1335.000</t>
  </si>
  <si>
    <t>OTHER STUDENT FEES &amp; CHARGES</t>
  </si>
  <si>
    <t>A 1410.000</t>
  </si>
  <si>
    <t>SWIMMING</t>
  </si>
  <si>
    <t>A 1489.000</t>
  </si>
  <si>
    <t>OTHER CHARGES FOR SERVICES</t>
  </si>
  <si>
    <t>A 2235.000</t>
  </si>
  <si>
    <t>SERVICES PROVIDED FOR BOCES</t>
  </si>
  <si>
    <t>A 2389.000</t>
  </si>
  <si>
    <t>Other State Aid</t>
  </si>
  <si>
    <t>A 2401.000</t>
  </si>
  <si>
    <t>INTEREST - GENERAL FUND</t>
  </si>
  <si>
    <t xml:space="preserve">A 2401.100 </t>
  </si>
  <si>
    <t>INTEREST - GENERAL INVESTMENT</t>
  </si>
  <si>
    <t>A 2402.000</t>
  </si>
  <si>
    <t>INTEREST - TRUST &amp; AGENCY</t>
  </si>
  <si>
    <t>A 2410.000</t>
  </si>
  <si>
    <t>RENTAL OF REAL PROPERTY</t>
  </si>
  <si>
    <t>A 2440.000</t>
  </si>
  <si>
    <t>RENTAL OF DISTRICT BUSES</t>
  </si>
  <si>
    <t>A 2650.000</t>
  </si>
  <si>
    <t>SALE OF SCRAP</t>
  </si>
  <si>
    <t>A 2665.000</t>
  </si>
  <si>
    <t>SALE OF EQUIPMENT</t>
  </si>
  <si>
    <t>A 2680.000</t>
  </si>
  <si>
    <t>INSURANCE RECOVERIES</t>
  </si>
  <si>
    <t>A 2701.000</t>
  </si>
  <si>
    <t>REFUND FOR BOCES SERV.APPR.FOR AID</t>
  </si>
  <si>
    <t>A 2703.000</t>
  </si>
  <si>
    <t>REFUND PRIOR YEAR'S EXPENDITURE</t>
  </si>
  <si>
    <t>A 2770.000</t>
  </si>
  <si>
    <t>MISCELLANEOUS</t>
  </si>
  <si>
    <t>State Aid</t>
  </si>
  <si>
    <t>A 3101.000</t>
  </si>
  <si>
    <t>STATE AID BASIC FORMULA</t>
  </si>
  <si>
    <t>A 3101.100</t>
  </si>
  <si>
    <t>EXCESS COST AID</t>
  </si>
  <si>
    <t>A 3102.000</t>
  </si>
  <si>
    <t>LOTTERY AID</t>
  </si>
  <si>
    <t>A 3102.100</t>
  </si>
  <si>
    <t>LOTTERY GRANT</t>
  </si>
  <si>
    <t>A 3102.200</t>
  </si>
  <si>
    <t>COMMERCIAL GAMING GRANT</t>
  </si>
  <si>
    <t>A 3103.000</t>
  </si>
  <si>
    <t>BOCES AID</t>
  </si>
  <si>
    <t>A 3260.000</t>
  </si>
  <si>
    <t>TEXTBOOK AID</t>
  </si>
  <si>
    <t>A 3262.000</t>
  </si>
  <si>
    <t>SOFTWARE</t>
  </si>
  <si>
    <t xml:space="preserve">A 3262.100 </t>
  </si>
  <si>
    <t>HARDWARE</t>
  </si>
  <si>
    <t>A 3263.000</t>
  </si>
  <si>
    <t>LIBRARY AID</t>
  </si>
  <si>
    <t>Medicaid</t>
  </si>
  <si>
    <t>A 4601.000</t>
  </si>
  <si>
    <t>MEDICAID ASSISTANCE</t>
  </si>
  <si>
    <t>Appropriated</t>
  </si>
  <si>
    <t>Debt Service Reserve</t>
  </si>
  <si>
    <t>TOTAL REVENUE BUDGET</t>
  </si>
  <si>
    <t>Taxes</t>
  </si>
  <si>
    <t>TAXES</t>
  </si>
  <si>
    <t>FUND BALANCE</t>
  </si>
  <si>
    <t>2024-25</t>
  </si>
  <si>
    <t>2024-25 Proposal</t>
  </si>
  <si>
    <t>APPLICATION SUPPORT</t>
  </si>
  <si>
    <t>STANDARD LICENSE</t>
  </si>
  <si>
    <t>UNIT</t>
  </si>
  <si>
    <t>IMPLEMENTATION AND SETUP</t>
  </si>
  <si>
    <t>SCHEDULE ANNUAL TRAINING &amp; SUPPORT</t>
  </si>
  <si>
    <t>TECHNICAL SUPPORT</t>
  </si>
  <si>
    <t>BILLABLE HOURS</t>
  </si>
  <si>
    <t>VIDEO REDACTION SERVICE</t>
  </si>
  <si>
    <t>ARTS IN EDUCATION</t>
  </si>
  <si>
    <t>EVENT+7%FEE</t>
  </si>
  <si>
    <t>DL - EDGENUITY</t>
  </si>
  <si>
    <t>INDIVIDUAL EVAL S&amp;H SELF CONT</t>
  </si>
  <si>
    <t>PER EVALUATION</t>
  </si>
  <si>
    <t>OCC.THERAPY BOCES IND CONSULTATION</t>
  </si>
  <si>
    <t>INDIVIDUAL EVALUATION PHYS THER</t>
  </si>
  <si>
    <t>GROUP PT-BOCES SELF CONTAINED</t>
  </si>
  <si>
    <t>SOC. WKR - IND. COUNSEL BOCES SELF CONT</t>
  </si>
  <si>
    <t>SOC. WKR - GROUP. COUNSEL BOCES SELF CONT</t>
  </si>
  <si>
    <t>CONSULT. TEACHER - ALT.ED ANY REGION</t>
  </si>
  <si>
    <t>@240 MIN/WK</t>
  </si>
  <si>
    <t>P-TECH CENTRAL</t>
  </si>
  <si>
    <t>Comment</t>
  </si>
  <si>
    <t>Tax Levy</t>
  </si>
  <si>
    <t>Total</t>
  </si>
  <si>
    <t>$</t>
  </si>
  <si>
    <t>%</t>
  </si>
  <si>
    <t>CATEGORY</t>
  </si>
  <si>
    <t>09-10</t>
  </si>
  <si>
    <t>10-11</t>
  </si>
  <si>
    <t>11-12</t>
  </si>
  <si>
    <t>12-13</t>
  </si>
  <si>
    <t xml:space="preserve">13-14 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</si>
  <si>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</si>
  <si>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</si>
  <si>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</si>
  <si>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</si>
  <si>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</si>
  <si>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</si>
  <si>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</si>
  <si>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</si>
  <si>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</si>
  <si>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</si>
  <si>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24-25</t>
  </si>
  <si>
    <t>Difference</t>
  </si>
  <si>
    <t>Amt</t>
  </si>
  <si>
    <t>Jr./ Sr. High School</t>
  </si>
  <si>
    <t>Elementary</t>
  </si>
  <si>
    <t>K-12 General</t>
  </si>
  <si>
    <t>Admin/Misc</t>
  </si>
  <si>
    <t>Buildings &amp; Grounds</t>
  </si>
  <si>
    <t>Debt Service</t>
  </si>
  <si>
    <t>Subtotal</t>
  </si>
  <si>
    <t/>
  </si>
  <si>
    <t>SALARIES</t>
  </si>
  <si>
    <t>Instructional</t>
  </si>
  <si>
    <t>Non-Instuctional</t>
  </si>
  <si>
    <t>Administrators</t>
  </si>
  <si>
    <t>BENEFITS</t>
  </si>
  <si>
    <t>ERS</t>
  </si>
  <si>
    <t>TRS</t>
  </si>
  <si>
    <t>FICA</t>
  </si>
  <si>
    <t>Unemployment Ins.</t>
  </si>
  <si>
    <t>Worker's Comp</t>
  </si>
  <si>
    <t>TOTAL</t>
  </si>
  <si>
    <t>Expenditures</t>
  </si>
  <si>
    <t>Appropriation</t>
  </si>
  <si>
    <t>Jr/Sr High</t>
  </si>
  <si>
    <t>Capital Outlay Building Aid</t>
  </si>
  <si>
    <t>Admin/Misc.</t>
  </si>
  <si>
    <t>Trans. From Unemployment Reserve</t>
  </si>
  <si>
    <t>Trans. Retirement Contribution Reserve</t>
  </si>
  <si>
    <t>Trans. From Debt Service</t>
  </si>
  <si>
    <t>Possible Additional Revenue</t>
  </si>
  <si>
    <t>Benefits</t>
  </si>
  <si>
    <t>Reviewed in Budget Workshop # 1</t>
  </si>
  <si>
    <t>Reviewed in Budget Workshop # 2</t>
  </si>
  <si>
    <t>$ Increase/(Decrease)</t>
  </si>
  <si>
    <t>% Increase/(Decrease)</t>
  </si>
  <si>
    <t xml:space="preserve">Cuts needed to meet Tax Levy Cap </t>
  </si>
  <si>
    <t xml:space="preserve">1% rate increase plus </t>
  </si>
  <si>
    <t>2025-26</t>
  </si>
  <si>
    <t>Account Code</t>
  </si>
  <si>
    <t>Actual</t>
  </si>
  <si>
    <t>Jan Est</t>
  </si>
  <si>
    <t>COSER</t>
  </si>
  <si>
    <t>'</t>
  </si>
  <si>
    <t>A1480.49</t>
  </si>
  <si>
    <t>PUB DEVELOPMENT - CATT ALLEG BOCES</t>
  </si>
  <si>
    <t>ESCHOOL DATA</t>
  </si>
  <si>
    <t>'650.100.22</t>
  </si>
  <si>
    <t>'650.100.24</t>
  </si>
  <si>
    <t>'650.100.30</t>
  </si>
  <si>
    <t>650.100.32</t>
  </si>
  <si>
    <t>650.100.35</t>
  </si>
  <si>
    <t>650.100.71</t>
  </si>
  <si>
    <t>ONLINE REGISTRATION ANNUAL COST</t>
  </si>
  <si>
    <t>650.100.73</t>
  </si>
  <si>
    <t>ONLINE REGISTRATION SUPPORT</t>
  </si>
  <si>
    <t>650.300.01</t>
  </si>
  <si>
    <t>650.300.02</t>
  </si>
  <si>
    <t>650.300.03</t>
  </si>
  <si>
    <t>650.300.04</t>
  </si>
  <si>
    <t>650.300.06</t>
  </si>
  <si>
    <t>NYS TESTING</t>
  </si>
  <si>
    <t>650.300.07</t>
  </si>
  <si>
    <t>IN-DISTRICT SCANNING</t>
  </si>
  <si>
    <t>650.305.33</t>
  </si>
  <si>
    <t>650.305.61</t>
  </si>
  <si>
    <t>DATA WAREHOUSE</t>
  </si>
  <si>
    <t>'650.330.01</t>
  </si>
  <si>
    <t>'650.330.02</t>
  </si>
  <si>
    <t>650.330.05</t>
  </si>
  <si>
    <t>650.330.06</t>
  </si>
  <si>
    <t>650.330.29</t>
  </si>
  <si>
    <t>650.330.30</t>
  </si>
  <si>
    <t>650.330.42</t>
  </si>
  <si>
    <t>ONSITE TRAINING</t>
  </si>
  <si>
    <t>650.330.49</t>
  </si>
  <si>
    <t>650.330.60</t>
  </si>
  <si>
    <t>ARBITER REGISTRATION</t>
  </si>
  <si>
    <t>650.350.20</t>
  </si>
  <si>
    <t>650.350.31</t>
  </si>
  <si>
    <t>MOSAIC CLOUD POS (POINT OF SALE)</t>
  </si>
  <si>
    <t>650.657.22</t>
  </si>
  <si>
    <t>650.657.31</t>
  </si>
  <si>
    <t>650.657.40</t>
  </si>
  <si>
    <t>SNAP</t>
  </si>
  <si>
    <t>650.662.30</t>
  </si>
  <si>
    <t>CLEAR TRACK 200</t>
  </si>
  <si>
    <t>650.680.22</t>
  </si>
  <si>
    <t>ANNUAL BASE FEE (1-999 STUDENTS)</t>
  </si>
  <si>
    <t>650.680.26</t>
  </si>
  <si>
    <t>PER STUDENT FEE</t>
  </si>
  <si>
    <t>650.680.32</t>
  </si>
  <si>
    <t>AIS EDGE</t>
  </si>
  <si>
    <t>650.680.35</t>
  </si>
  <si>
    <t>650.680.38</t>
  </si>
  <si>
    <t>MEDICAID PLUS FOR CLEARTRACK 200</t>
  </si>
  <si>
    <t>'650.682.32</t>
  </si>
  <si>
    <t>FINANCE MANAGER - NVISION</t>
  </si>
  <si>
    <t>'650.683.22</t>
  </si>
  <si>
    <t>'650.683.31</t>
  </si>
  <si>
    <t>650.683.36</t>
  </si>
  <si>
    <t>'650.683.42</t>
  </si>
  <si>
    <t>'650.683.47</t>
  </si>
  <si>
    <t>650.683.60</t>
  </si>
  <si>
    <t>SUPPLIES</t>
  </si>
  <si>
    <t>650.683.61</t>
  </si>
  <si>
    <t>SUPPLIES COORDINATION</t>
  </si>
  <si>
    <t>SCHOOLSPRING APPLICANT TRACKING</t>
  </si>
  <si>
    <t>650.685.22</t>
  </si>
  <si>
    <t>650.685.30</t>
  </si>
  <si>
    <t xml:space="preserve">CENTRAL SITE SUPPORT </t>
  </si>
  <si>
    <t>650.685.31</t>
  </si>
  <si>
    <t>SETUP &amp; IMPLEMENTATION</t>
  </si>
  <si>
    <t>650.685.32</t>
  </si>
  <si>
    <t>650.685.55</t>
  </si>
  <si>
    <t>MASTER LIBRARY FACILITY SERVICES</t>
  </si>
  <si>
    <t>650.695.20</t>
  </si>
  <si>
    <t>650.695.22</t>
  </si>
  <si>
    <t>650.695.30</t>
  </si>
  <si>
    <t>650.695.31</t>
  </si>
  <si>
    <t>650.695.38</t>
  </si>
  <si>
    <t>'650.695.41</t>
  </si>
  <si>
    <t>650.695.42</t>
  </si>
  <si>
    <t>650.695.45</t>
  </si>
  <si>
    <t>WO INV SUPPORT AND TRAINING</t>
  </si>
  <si>
    <t>CLASSLINK</t>
  </si>
  <si>
    <t>650.696.20</t>
  </si>
  <si>
    <t>650.696.21</t>
  </si>
  <si>
    <t>650.696.22</t>
  </si>
  <si>
    <t>650.696.31</t>
  </si>
  <si>
    <t>SIF SERVICES</t>
  </si>
  <si>
    <t>'650.697.46</t>
  </si>
  <si>
    <t>'650.697.47</t>
  </si>
  <si>
    <t>650.697.49</t>
  </si>
  <si>
    <t>CONECTOR FEE</t>
  </si>
  <si>
    <t>DATA INTEGRATION SERVICE</t>
  </si>
  <si>
    <t>650.790</t>
  </si>
  <si>
    <t>GOOGLE GMAIL</t>
  </si>
  <si>
    <t>650.814.30</t>
  </si>
  <si>
    <t>ANNUAL SUPPORT &amp; TRAINING BASE FEE</t>
  </si>
  <si>
    <t>650.814.31</t>
  </si>
  <si>
    <t>ANNUAL SUPPORT &amp; TRAINING PER STAFF</t>
  </si>
  <si>
    <t>650.814.32</t>
  </si>
  <si>
    <t>ANNUAL SUPPRT &amp; TRAINING/STUDENT</t>
  </si>
  <si>
    <t>FINALSITE</t>
  </si>
  <si>
    <t>650.823.22</t>
  </si>
  <si>
    <t>650.823.40</t>
  </si>
  <si>
    <t>WEBSITE ANNUAL SUPPORT BASE FEE</t>
  </si>
  <si>
    <t>650.823.41</t>
  </si>
  <si>
    <t>WEBSITE ANNUAL SUPPORT/SCHOOL FEE</t>
  </si>
  <si>
    <t>BUILDING BEDS</t>
  </si>
  <si>
    <t>650.823.42</t>
  </si>
  <si>
    <t>MASS NOTIFICATION SUPPORT BASE FEE</t>
  </si>
  <si>
    <t>650.823.43</t>
  </si>
  <si>
    <t>MASS NOTIFICATION SUPPORT/SCHOOL</t>
  </si>
  <si>
    <t>MANAGED PRINT AS A SERVICE (MPAAS)</t>
  </si>
  <si>
    <t>650.835.01</t>
  </si>
  <si>
    <t>5% COORDINATION FEE</t>
  </si>
  <si>
    <t>650.835.02</t>
  </si>
  <si>
    <t>PRINT MONTHLY CHARGES</t>
  </si>
  <si>
    <t>650.835.03</t>
  </si>
  <si>
    <t>PRINT OVERAGES</t>
  </si>
  <si>
    <t>DISTRICT HARDWARE/SOFTWARE</t>
  </si>
  <si>
    <t>650.839</t>
  </si>
  <si>
    <t>NETWORK SERVICES</t>
  </si>
  <si>
    <t>'650.840.02</t>
  </si>
  <si>
    <t>650.840.41</t>
  </si>
  <si>
    <t>650.840.47</t>
  </si>
  <si>
    <t>'650.840.51</t>
  </si>
  <si>
    <t>'650.840.52</t>
  </si>
  <si>
    <t>'650.840.80</t>
  </si>
  <si>
    <t>'650.840.83</t>
  </si>
  <si>
    <t>'650.840.84</t>
  </si>
  <si>
    <t>VOIP</t>
  </si>
  <si>
    <t>'650.842.30</t>
  </si>
  <si>
    <t>'650.842.31</t>
  </si>
  <si>
    <t>'650.842.32</t>
  </si>
  <si>
    <t>'650.842.37</t>
  </si>
  <si>
    <t>'650.842.40</t>
  </si>
  <si>
    <t>NETWORK SECURITY</t>
  </si>
  <si>
    <t>'650.845.01</t>
  </si>
  <si>
    <t>'650.845.21</t>
  </si>
  <si>
    <t>HIGHSPEED NETWORK PRINTER MAINTENANCE</t>
  </si>
  <si>
    <t>'650.860.11</t>
  </si>
  <si>
    <t>'650.860.12</t>
  </si>
  <si>
    <t>HARDWARE MAINTENANCE/REPAIR</t>
  </si>
  <si>
    <t>650.870.10</t>
  </si>
  <si>
    <t>'650.870.12</t>
  </si>
  <si>
    <t>650.870.11</t>
  </si>
  <si>
    <t>WORKSTATION COUPONS</t>
  </si>
  <si>
    <t>650.870.15</t>
  </si>
  <si>
    <t>650.870.16</t>
  </si>
  <si>
    <t>'650.870.22</t>
  </si>
  <si>
    <t>SECURED SOCKET LAYER CERTIFICATE</t>
  </si>
  <si>
    <t>'650.871.32</t>
  </si>
  <si>
    <t>LAN PLANNING AND INSTALL SERVICES</t>
  </si>
  <si>
    <t>650.880</t>
  </si>
  <si>
    <t>LAN TECHNICAL SUPPORT</t>
  </si>
  <si>
    <t>'650.882.01</t>
  </si>
  <si>
    <t>650.882.43</t>
  </si>
  <si>
    <t>NETWORK OPERATIONS SOFTWARE</t>
  </si>
  <si>
    <t>'650.884.01</t>
  </si>
  <si>
    <t>650.884.02</t>
  </si>
  <si>
    <t>NETWORK OPERATIONS REGISTRATION FEE</t>
  </si>
  <si>
    <t>650.884.40</t>
  </si>
  <si>
    <t>PAPERCUT</t>
  </si>
  <si>
    <t>TECHNICAL TRAINING</t>
  </si>
  <si>
    <t>650.887</t>
  </si>
  <si>
    <t>NETWORK CONSULTING MGMT/PLANNING</t>
  </si>
  <si>
    <t>'650.889.20</t>
  </si>
  <si>
    <t>IP SURVEILLANCE</t>
  </si>
  <si>
    <t>650.896.10</t>
  </si>
  <si>
    <t>'650.896.21</t>
  </si>
  <si>
    <t>'650.896.24</t>
  </si>
  <si>
    <t>650.896.28</t>
  </si>
  <si>
    <t>SURVELLANCE LICENSING FEE</t>
  </si>
  <si>
    <t>'650.896.40</t>
  </si>
  <si>
    <t>'650.896.41</t>
  </si>
  <si>
    <t>650.896.60</t>
  </si>
  <si>
    <t>ACTIVE DIRECTORY MANAGED PASSWORDS</t>
  </si>
  <si>
    <t>'650.902.03</t>
  </si>
  <si>
    <t>ENHANCED CYBER SECURITY</t>
  </si>
  <si>
    <t>650.945.01</t>
  </si>
  <si>
    <t>650.945.02</t>
  </si>
  <si>
    <t>DATA PROTECTION OFFICER (DPO)</t>
  </si>
  <si>
    <t>650.947.01</t>
  </si>
  <si>
    <t>CENTRAL SITE INFRASTRUCTURE FEE</t>
  </si>
  <si>
    <t>'650.950.01</t>
  </si>
  <si>
    <t>'650.950.02</t>
  </si>
  <si>
    <t>'650.950.03</t>
  </si>
  <si>
    <t>650.950.04</t>
  </si>
  <si>
    <t>TECHNOLGY EQUIPMENT SPECIAL BILLING</t>
  </si>
  <si>
    <t>650.989</t>
  </si>
  <si>
    <t>CALL TO LEADERSHIP</t>
  </si>
  <si>
    <t>'658.100</t>
  </si>
  <si>
    <t>'659.000</t>
  </si>
  <si>
    <t>'659.401</t>
  </si>
  <si>
    <t>'659.430</t>
  </si>
  <si>
    <t>'659.435</t>
  </si>
  <si>
    <t>679.000</t>
  </si>
  <si>
    <t>PLANNING - FRONTLINE</t>
  </si>
  <si>
    <t>680.490</t>
  </si>
  <si>
    <t>CHILD ABUSE PREVENTION IS &amp; REPORT</t>
  </si>
  <si>
    <t>A2110.480</t>
  </si>
  <si>
    <t>A2110.50</t>
  </si>
  <si>
    <t>ALT. ED. - VOCATIONAL SERVICES</t>
  </si>
  <si>
    <t>SUPPLEMENTAL KITS</t>
  </si>
  <si>
    <t>PRINT, GRAPHICS &amp; COPY SERVICES</t>
  </si>
  <si>
    <t>'522.000</t>
  </si>
  <si>
    <t>'555.067.30</t>
  </si>
  <si>
    <t>SUBSTITUTES FOR IT PD ACTIVITIES</t>
  </si>
  <si>
    <t>555.090.00</t>
  </si>
  <si>
    <t>ADMINISTRATION COORDINATION FEE</t>
  </si>
  <si>
    <t>INDIVIDIAL CONST. SPEECH &amp; LAN</t>
  </si>
  <si>
    <t>OCC. THERAPY - INDIVIDUAL CONSULTATION</t>
  </si>
  <si>
    <t>CONSULTATION - PHY. THER.</t>
  </si>
  <si>
    <t xml:space="preserve">PRINTING </t>
  </si>
  <si>
    <t>'552.105.02</t>
  </si>
  <si>
    <t>'552.105.03</t>
  </si>
  <si>
    <t>'552.105.20</t>
  </si>
  <si>
    <t>'552.105.40</t>
  </si>
  <si>
    <t>'550.010.01</t>
  </si>
  <si>
    <t>'550.010.02</t>
  </si>
  <si>
    <t>'550.061.01</t>
  </si>
  <si>
    <t>'550.061.07</t>
  </si>
  <si>
    <t>'550.061.08</t>
  </si>
  <si>
    <t>550.061.14</t>
  </si>
  <si>
    <t>LEARNING A-Z</t>
  </si>
  <si>
    <t>'550.061.16</t>
  </si>
  <si>
    <t>550.061.18</t>
  </si>
  <si>
    <t>DELTA</t>
  </si>
  <si>
    <t>'550.061.31</t>
  </si>
  <si>
    <t>'550.061.33</t>
  </si>
  <si>
    <t>550.061.37</t>
  </si>
  <si>
    <t>'550.061.39</t>
  </si>
  <si>
    <t>'550.061.43</t>
  </si>
  <si>
    <t>550.061.45</t>
  </si>
  <si>
    <t>550.061.51</t>
  </si>
  <si>
    <t>550.061.67</t>
  </si>
  <si>
    <t>550.062.01</t>
  </si>
  <si>
    <t>'550.064.31</t>
  </si>
  <si>
    <t>'550.064.34</t>
  </si>
  <si>
    <t>'550.067.01</t>
  </si>
  <si>
    <t>'550.100.01</t>
  </si>
  <si>
    <t>550.100.03</t>
  </si>
  <si>
    <t>'550.100.15</t>
  </si>
  <si>
    <t>'550.100.26</t>
  </si>
  <si>
    <t>550.100.32</t>
  </si>
  <si>
    <t>550.100.35</t>
  </si>
  <si>
    <t>QUIZZIZZ</t>
  </si>
  <si>
    <t>550.100.39</t>
  </si>
  <si>
    <t>'550.100.52</t>
  </si>
  <si>
    <t>550.100.55</t>
  </si>
  <si>
    <t>'550.120.01</t>
  </si>
  <si>
    <t>'550.120.20</t>
  </si>
  <si>
    <t>550.200.01</t>
  </si>
  <si>
    <t>TECH PLAN REVIEW</t>
  </si>
  <si>
    <t>550.839.60</t>
  </si>
  <si>
    <t>550.880.71</t>
  </si>
  <si>
    <t>550.989</t>
  </si>
  <si>
    <t>'548.000</t>
  </si>
  <si>
    <t>'548.005</t>
  </si>
  <si>
    <t>'548.018</t>
  </si>
  <si>
    <t>Final 2024-25</t>
  </si>
  <si>
    <t>2025-26 Proposal</t>
  </si>
  <si>
    <t>2024-25 Budget</t>
  </si>
  <si>
    <t>Proposed 2025-26</t>
  </si>
  <si>
    <t>Possible Cuts</t>
  </si>
  <si>
    <t>Boces and Public Excess</t>
  </si>
  <si>
    <t>25-26</t>
  </si>
  <si>
    <t>MARCH 12th, 2026</t>
  </si>
  <si>
    <t>Budget Draft # 2 - Overview</t>
  </si>
  <si>
    <t>Lynda Quick</t>
  </si>
  <si>
    <t>2026-27</t>
  </si>
  <si>
    <t>Cuts</t>
  </si>
  <si>
    <t xml:space="preserve">A 1240.150-00-0000 </t>
  </si>
  <si>
    <t xml:space="preserve">A 1240.160-00-0000 </t>
  </si>
  <si>
    <t xml:space="preserve">A 1310.160-00-0000 </t>
  </si>
  <si>
    <t xml:space="preserve">A 1325.160-00-0000 </t>
  </si>
  <si>
    <t xml:space="preserve">A 1330.160-00-0000 </t>
  </si>
  <si>
    <t xml:space="preserve">A 1620.160-00-0000 </t>
  </si>
  <si>
    <t>A 1620.170-00-0000</t>
  </si>
  <si>
    <t xml:space="preserve">A 1621.160-00-0000 </t>
  </si>
  <si>
    <t xml:space="preserve">A 2010.150-00-0000 </t>
  </si>
  <si>
    <t>A 2020.150-10-0000</t>
  </si>
  <si>
    <t>Principals - MSHS</t>
  </si>
  <si>
    <t>A 2020.150-20-0000</t>
  </si>
  <si>
    <t>Principals - RHJ</t>
  </si>
  <si>
    <t>A 2020.160-10-0000</t>
  </si>
  <si>
    <t>Principal Secretaries - MSHS</t>
  </si>
  <si>
    <t>A 2020.160-20-0000</t>
  </si>
  <si>
    <t>Principal Secretaries - RHJ</t>
  </si>
  <si>
    <t>A 2110.120-20-0000</t>
  </si>
  <si>
    <t>Teachers K - 3</t>
  </si>
  <si>
    <t>A 2110.121-20-0000</t>
  </si>
  <si>
    <t>Teachers 4 - 6</t>
  </si>
  <si>
    <t>A 2110.130-10-0000</t>
  </si>
  <si>
    <t>Teachers 7 - 12</t>
  </si>
  <si>
    <t>A 2110.140-10-0000</t>
  </si>
  <si>
    <t>Sub Teachers - MSHS</t>
  </si>
  <si>
    <t>A 2110.140-20-0000</t>
  </si>
  <si>
    <t>Sub Teachers - RHJ</t>
  </si>
  <si>
    <t>A 2110.150-10-0000</t>
  </si>
  <si>
    <t>Mentoring - MSHS</t>
  </si>
  <si>
    <t>A 2110.150-20-0000</t>
  </si>
  <si>
    <t>Mentoring - RHJ</t>
  </si>
  <si>
    <t>A 2110.160-10-0000</t>
  </si>
  <si>
    <t>Teacher Aides - MSHS</t>
  </si>
  <si>
    <t>A 2110.160-20-0000</t>
  </si>
  <si>
    <t>Teacher Aides - RHJ</t>
  </si>
  <si>
    <t>A 2110.170-10-0000</t>
  </si>
  <si>
    <t>Monitors -MSHS</t>
  </si>
  <si>
    <t>A 2110.170-20-0000</t>
  </si>
  <si>
    <t>Monitors - RHJ</t>
  </si>
  <si>
    <t>A 2110.180-10-0000</t>
  </si>
  <si>
    <t>Detention &amp; Supervision - MSHS</t>
  </si>
  <si>
    <t>A 2110.180-20-0000</t>
  </si>
  <si>
    <t>Detention &amp; Supervision - RHJ</t>
  </si>
  <si>
    <t>A 2250.150-10-0000</t>
  </si>
  <si>
    <t>Teachers - Sp. Ed - MSHS</t>
  </si>
  <si>
    <t>A 2250.150-20-0000</t>
  </si>
  <si>
    <t>Teachers - Sp. Ed - RHJ</t>
  </si>
  <si>
    <t>A 2250.160-10-0000</t>
  </si>
  <si>
    <t>Sp. Ed. Aides - MSHS</t>
  </si>
  <si>
    <t>A 2250.160-20-0000</t>
  </si>
  <si>
    <t>Sp. Ed. Aides - RHJ</t>
  </si>
  <si>
    <t>A 2330.150-10-0000</t>
  </si>
  <si>
    <t>Special Schools - Driver Ed</t>
  </si>
  <si>
    <t>A 2610.150-10-0000</t>
  </si>
  <si>
    <t>Library - MSHS</t>
  </si>
  <si>
    <t>A 2610.150-20-0000</t>
  </si>
  <si>
    <t>Library - RHJ</t>
  </si>
  <si>
    <t xml:space="preserve">A 2630.160-00-0000 </t>
  </si>
  <si>
    <t>A 2810.150-10-0000</t>
  </si>
  <si>
    <t>Guidance - MSHS</t>
  </si>
  <si>
    <t>A 2810.150-20-0000</t>
  </si>
  <si>
    <t>Guidance - RHJ</t>
  </si>
  <si>
    <t>A 2810.160-10-0000</t>
  </si>
  <si>
    <t>A 2815.160-10-0000</t>
  </si>
  <si>
    <t>Nurses- MSHS</t>
  </si>
  <si>
    <t>A 2815.160-20-0000</t>
  </si>
  <si>
    <t>Nurses- RHJ</t>
  </si>
  <si>
    <t xml:space="preserve">A 2820.150-00-0000 </t>
  </si>
  <si>
    <t>A 2850.150-10-0000</t>
  </si>
  <si>
    <t>Co-Curricular Activities MSHS</t>
  </si>
  <si>
    <t>A 2850.150-20-0000</t>
  </si>
  <si>
    <t>Co-Curricular Activities RHJ</t>
  </si>
  <si>
    <t>A 2855.150-10-0000</t>
  </si>
  <si>
    <t>A 5510.160-00-0000</t>
  </si>
  <si>
    <t>A 5510.161-00-0000</t>
  </si>
  <si>
    <t>15% rate increase</t>
  </si>
  <si>
    <t>2026-27 Proposal</t>
  </si>
  <si>
    <t>2025-26 Budget</t>
  </si>
  <si>
    <t>Possible Additions</t>
  </si>
  <si>
    <t>Final 2025-26</t>
  </si>
  <si>
    <t>Proposed 2026-27</t>
  </si>
  <si>
    <t>State Aid - Governor Budget - 01/20/2026</t>
  </si>
  <si>
    <t>2025 Tax Levy</t>
  </si>
  <si>
    <t>Additional Tax Levy (2.00%)</t>
  </si>
  <si>
    <t>Total 2026-27 Revenues</t>
  </si>
  <si>
    <t>Total 2026-27 Expenditures</t>
  </si>
  <si>
    <t>2026-27 Proposed Budget</t>
  </si>
  <si>
    <t>2026-27 Budget 
Proposed Budget
Tax Levy     0.00%</t>
  </si>
  <si>
    <t>2026-27 Budget 
Proposed Budget
Tax Levy     2.00%</t>
  </si>
  <si>
    <t>Every $63,698 change in the budget will result in a 1% change in the Tax Levy</t>
  </si>
  <si>
    <t>2026-27 Proposed Budget  - Draft # 2</t>
  </si>
  <si>
    <t>0.41% Increase in Salaries</t>
  </si>
  <si>
    <t>0.5% Salary Increase</t>
  </si>
  <si>
    <t>0.44% Salary increase</t>
  </si>
  <si>
    <t xml:space="preserve">Cantribution Rate of 8.24% </t>
  </si>
  <si>
    <t>Contribution Rate of 19.00%</t>
  </si>
  <si>
    <t>'609.000</t>
  </si>
  <si>
    <t>'607.000</t>
  </si>
  <si>
    <t>607.020</t>
  </si>
  <si>
    <t>662.490</t>
  </si>
  <si>
    <t>'601.490</t>
  </si>
  <si>
    <t>650.100.23</t>
  </si>
  <si>
    <t>VENDOR HOSTING</t>
  </si>
  <si>
    <t>650.100.42</t>
  </si>
  <si>
    <t>UPLOAD DISTRICT SCANNED SCORES</t>
  </si>
  <si>
    <t>650.662.54</t>
  </si>
  <si>
    <t>650.662.80</t>
  </si>
  <si>
    <t>DATA INTEGRATION</t>
  </si>
  <si>
    <t>650.680.54</t>
  </si>
  <si>
    <t>SMS INTEGRATION - SEBS YEAR</t>
  </si>
  <si>
    <t>650.697.28</t>
  </si>
  <si>
    <t>ACTIVE DIRECT INSTALL, MAINT &amp; SUPP</t>
  </si>
  <si>
    <t>650.698.34</t>
  </si>
  <si>
    <t>INTEGRATION</t>
  </si>
  <si>
    <t>650.819.81</t>
  </si>
  <si>
    <t>A1580.49</t>
  </si>
  <si>
    <t>FINANCE SYSTEM INTEGRATION</t>
  </si>
  <si>
    <t>PARENTSQUARE ENGAGE</t>
  </si>
  <si>
    <t>601.490</t>
  </si>
  <si>
    <t>650.820.20</t>
  </si>
  <si>
    <t>PARENTSQUARE ENGAGE LICENSE PURCHASE</t>
  </si>
  <si>
    <t>650.820.21</t>
  </si>
  <si>
    <t>650.820.41</t>
  </si>
  <si>
    <t>PARENTSQUARE ANNUAL SUPPORT - PREMIUM</t>
  </si>
  <si>
    <t>'601.492</t>
  </si>
  <si>
    <t>650.870.25</t>
  </si>
  <si>
    <t>SERVERS AND MISC. EQUIPMENT (VITEC)</t>
  </si>
  <si>
    <t>650.884.30</t>
  </si>
  <si>
    <t>VEEAM</t>
  </si>
  <si>
    <t>'001.000</t>
  </si>
  <si>
    <t>'002.060</t>
  </si>
  <si>
    <t>'002.910</t>
  </si>
  <si>
    <t>527.490</t>
  </si>
  <si>
    <t>HOME SCHOOL MONITOR - INITIAL SETUP</t>
  </si>
  <si>
    <t>HOME SCHOOL MONITORING - LEVEL 2</t>
  </si>
  <si>
    <t>'565.240</t>
  </si>
  <si>
    <t>565.243</t>
  </si>
  <si>
    <t>'565.254</t>
  </si>
  <si>
    <t>'565.260</t>
  </si>
  <si>
    <t>596.000</t>
  </si>
  <si>
    <t>DEI/CRSE RESOURCES</t>
  </si>
  <si>
    <t>'606.000</t>
  </si>
  <si>
    <t>'645.020</t>
  </si>
  <si>
    <t>'668.490</t>
  </si>
  <si>
    <t>'659.490</t>
  </si>
  <si>
    <t>'430.490</t>
  </si>
  <si>
    <t>'438.010</t>
  </si>
  <si>
    <t>'438.020</t>
  </si>
  <si>
    <t>501.050</t>
  </si>
  <si>
    <t>'528.000</t>
  </si>
  <si>
    <t>528.070</t>
  </si>
  <si>
    <t>'541.000</t>
  </si>
  <si>
    <t>541.060</t>
  </si>
  <si>
    <t>541.065</t>
  </si>
  <si>
    <t>541.080</t>
  </si>
  <si>
    <t>541.100</t>
  </si>
  <si>
    <t>'544.490</t>
  </si>
  <si>
    <t>'565.200</t>
  </si>
  <si>
    <t>565.250</t>
  </si>
  <si>
    <t>'402.000</t>
  </si>
  <si>
    <t>'402.500</t>
  </si>
  <si>
    <t>'402.505</t>
  </si>
  <si>
    <t>403.000</t>
  </si>
  <si>
    <t>408.010</t>
  </si>
  <si>
    <t>'408.600</t>
  </si>
  <si>
    <t>408.603</t>
  </si>
  <si>
    <t>408.650</t>
  </si>
  <si>
    <t>440.001</t>
  </si>
  <si>
    <t>'440.010</t>
  </si>
  <si>
    <t>'440.011</t>
  </si>
  <si>
    <t>440.012</t>
  </si>
  <si>
    <t>'440.013</t>
  </si>
  <si>
    <t>'440.014</t>
  </si>
  <si>
    <t>440.015</t>
  </si>
  <si>
    <t>440.021</t>
  </si>
  <si>
    <t>440.022</t>
  </si>
  <si>
    <t>'440.040</t>
  </si>
  <si>
    <t>457.490</t>
  </si>
  <si>
    <t>470.000</t>
  </si>
  <si>
    <t>EARLY COLLEGE ACCESS</t>
  </si>
  <si>
    <t>ACTUAL + 7%</t>
  </si>
  <si>
    <t>'510.000</t>
  </si>
  <si>
    <t>'510.010</t>
  </si>
  <si>
    <t>510.016</t>
  </si>
  <si>
    <t>NYS INVESTIGATION KITS - INTERMED</t>
  </si>
  <si>
    <t>PER KIT</t>
  </si>
  <si>
    <t>510.040</t>
  </si>
  <si>
    <t>'510.050</t>
  </si>
  <si>
    <t>510.075</t>
  </si>
  <si>
    <t>INNER ORBIT</t>
  </si>
  <si>
    <t>'516.020</t>
  </si>
  <si>
    <t>'516.030</t>
  </si>
  <si>
    <t>'516.045</t>
  </si>
  <si>
    <t>516.060</t>
  </si>
  <si>
    <t>PLAT4M</t>
  </si>
  <si>
    <t>516.097</t>
  </si>
  <si>
    <t>'516.115</t>
  </si>
  <si>
    <t>'516.120</t>
  </si>
  <si>
    <t>565.206</t>
  </si>
  <si>
    <t>566.000</t>
  </si>
  <si>
    <t>MODEL SCHOOLS</t>
  </si>
  <si>
    <t>'586.490</t>
  </si>
  <si>
    <t>'590.000</t>
  </si>
  <si>
    <t>'590.010</t>
  </si>
  <si>
    <t>'590.020</t>
  </si>
  <si>
    <t>590.040</t>
  </si>
  <si>
    <t>'524.490</t>
  </si>
  <si>
    <t>'567.490</t>
  </si>
  <si>
    <t>'203.000</t>
  </si>
  <si>
    <t>'203.010</t>
  </si>
  <si>
    <t>218.000</t>
  </si>
  <si>
    <t>'301.010</t>
  </si>
  <si>
    <t>'301.021</t>
  </si>
  <si>
    <t>'301.031</t>
  </si>
  <si>
    <t>'301.041</t>
  </si>
  <si>
    <t>'304.031</t>
  </si>
  <si>
    <t>'304.041</t>
  </si>
  <si>
    <t>315.010</t>
  </si>
  <si>
    <t>315.021</t>
  </si>
  <si>
    <t>'315.031</t>
  </si>
  <si>
    <t>'315.041</t>
  </si>
  <si>
    <t>316.010</t>
  </si>
  <si>
    <t>316.021</t>
  </si>
  <si>
    <t>'316.031</t>
  </si>
  <si>
    <t>316.041</t>
  </si>
  <si>
    <t>'319.031</t>
  </si>
  <si>
    <t>319.041</t>
  </si>
  <si>
    <t>'328.040</t>
  </si>
  <si>
    <t>'328.060</t>
  </si>
  <si>
    <t>328.337</t>
  </si>
  <si>
    <t>'328.339</t>
  </si>
  <si>
    <t>'101.000</t>
  </si>
  <si>
    <t>101.020</t>
  </si>
  <si>
    <t>460.300</t>
  </si>
  <si>
    <t>432.000</t>
  </si>
  <si>
    <t>514.515</t>
  </si>
  <si>
    <t>'514.516</t>
  </si>
  <si>
    <t>'501.000</t>
  </si>
  <si>
    <t>501.001</t>
  </si>
  <si>
    <t>502.002</t>
  </si>
  <si>
    <t>'501.010</t>
  </si>
  <si>
    <t>'502.000</t>
  </si>
  <si>
    <t>502.001</t>
  </si>
  <si>
    <t>AV REPAIR PARTS</t>
  </si>
  <si>
    <t>'502.010</t>
  </si>
  <si>
    <t>503.001</t>
  </si>
  <si>
    <t>'560.533</t>
  </si>
  <si>
    <t>581.490</t>
  </si>
  <si>
    <t>582.490</t>
  </si>
  <si>
    <t>LIBRARY AUTOMATION</t>
  </si>
  <si>
    <t>'552.490</t>
  </si>
  <si>
    <t>552.105.80</t>
  </si>
  <si>
    <t xml:space="preserve">SMS INTEGRATION   </t>
  </si>
  <si>
    <t>INSTRUCTIONAL TECHNOLOGY SERVICES</t>
  </si>
  <si>
    <t>'509.490</t>
  </si>
  <si>
    <t>ONLINE RESOURCES</t>
  </si>
  <si>
    <t>550.061.11</t>
  </si>
  <si>
    <t>CODEMONKEY</t>
  </si>
  <si>
    <t>509.490</t>
  </si>
  <si>
    <t>550.061.49</t>
  </si>
  <si>
    <t>MATHSEEDS</t>
  </si>
  <si>
    <t>READING EGGS</t>
  </si>
  <si>
    <t>GUIDANCE ONLINE RESOURCES</t>
  </si>
  <si>
    <t>550.062.14</t>
  </si>
  <si>
    <t>LOCAL ASSESSMENTS</t>
  </si>
  <si>
    <t>COMMON SET OF LEARNING OBJECT</t>
  </si>
  <si>
    <t>EES PROGRAM</t>
  </si>
  <si>
    <t>550.090.01</t>
  </si>
  <si>
    <t>550.090.02</t>
  </si>
  <si>
    <t xml:space="preserve">LICENSING AGREEMENT </t>
  </si>
  <si>
    <t>GOOGLE WORKSPCE &amp; GEMINI</t>
  </si>
  <si>
    <t>550.091.01</t>
  </si>
  <si>
    <t>550.091.02</t>
  </si>
  <si>
    <t>LICENSING GOOGLE WORKSPCE &amp; GEMINI</t>
  </si>
  <si>
    <t>CSLO - SOFTWARE LICENSES</t>
  </si>
  <si>
    <t>'509.492</t>
  </si>
  <si>
    <t>550.100.22</t>
  </si>
  <si>
    <t>TYPESY</t>
  </si>
  <si>
    <t>SMART NOTEBOOK</t>
  </si>
  <si>
    <t xml:space="preserve">AVIVON/IMPERO </t>
  </si>
  <si>
    <t>EXTENDED CLASSROOM SERVICE (ECS)</t>
  </si>
  <si>
    <t>509.491</t>
  </si>
  <si>
    <t>TECHNOLOGY PLAN CERTIFICATION</t>
  </si>
  <si>
    <t>'509.491</t>
  </si>
  <si>
    <t>INSTRUCIONAL LAN PLANNING</t>
  </si>
  <si>
    <t>404.000</t>
  </si>
  <si>
    <t xml:space="preserve">EXPLORATORY ENRICHMENT  </t>
  </si>
  <si>
    <t>'501.070</t>
  </si>
  <si>
    <t>560.030</t>
  </si>
  <si>
    <t>560.060</t>
  </si>
  <si>
    <t>562.000</t>
  </si>
  <si>
    <t>CSLO/INSTR. TECHNOLOGY BASE FEE</t>
  </si>
  <si>
    <t>562.001</t>
  </si>
  <si>
    <t>CSLO/INSTR. TECHNOLOGY SOFTWARE</t>
  </si>
  <si>
    <t>'585.000</t>
  </si>
  <si>
    <t>'585.010</t>
  </si>
  <si>
    <t>'572.490</t>
  </si>
  <si>
    <t>'603.000</t>
  </si>
  <si>
    <t>603.020</t>
  </si>
  <si>
    <t>BOCES CODE</t>
  </si>
  <si>
    <t>2026-27 Unit Basis</t>
  </si>
  <si>
    <t>2026-27 Request</t>
  </si>
  <si>
    <t>We have 57,975 unemployment reserve for major claims</t>
  </si>
  <si>
    <t>Projected rate increase of 15.00% plus new employees &amp; retiress</t>
  </si>
  <si>
    <t>Special Education (Excluding BOCES)</t>
  </si>
  <si>
    <t>26-27</t>
  </si>
  <si>
    <t>Lynda/Jerome</t>
  </si>
  <si>
    <t xml:space="preserve">Proposed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</si>
</sst>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0.000_);\(0.000\)"/>
    <numFmt numFmtId="166" formatCode="&quot;$&quot;#,##0;[Red]&quot;$&quot;#,##0"/>
  </numFmts>
  <fonts count="38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10"/>
      <name val="Helvetica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  <font>
      <sz val="14"/>
      <name val="Arial"/>
      <family val="2"/>
    </font>
    <font>
      <b/>
      <sz val="12"/>
      <color rgb="FF000000"/>
      <name val="Calibri"/>
      <family val="2"/>
    </font>
    <font>
      <sz val="16"/>
      <name val="Arial"/>
      <family val="2"/>
    </font>
    <font>
      <b/>
      <sz val="11"/>
      <name val="Geneva"/>
    </font>
    <font>
      <sz val="11"/>
      <name val="Geneva"/>
    </font>
    <font>
      <b/>
      <sz val="11"/>
      <color rgb="FFFF0000"/>
      <name val="Geneva"/>
    </font>
    <font>
      <b/>
      <sz val="10"/>
      <name val="Geneva"/>
    </font>
    <font>
      <sz val="9"/>
      <name val="Geneva"/>
    </font>
    <font>
      <b/>
      <sz val="9"/>
      <color rgb="FFFF0000"/>
      <name val="Geneva"/>
    </font>
    <font>
      <b/>
      <sz val="9"/>
      <name val="Geneva"/>
    </font>
    <font>
      <sz val="12"/>
      <name val="Geneva"/>
    </font>
    <font>
      <b/>
      <sz val="12"/>
      <color rgb="FFFF0000"/>
      <name val="Geneva"/>
    </font>
    <font>
      <sz val="10"/>
      <name val="Geneva"/>
    </font>
    <font>
      <sz val="9"/>
      <color rgb="FFFF0000"/>
      <name val="Geneva"/>
    </font>
    <font>
      <sz val="10"/>
      <color rgb="FFFF0000"/>
      <name val="Arial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6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00B0F0"/>
        <bgColor indexed="64"/>
      </patternFill>
    </fill>
  </fills>
  <borders count="9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96">
    <xf numFmtId="0" fontId="0" fillId="0" borderId="0" xfId="0"/>
    <xf numFmtId="164" fontId="0" fillId="0" borderId="0" xfId="1" applyNumberFormat="1" applyFont="1"/>
    <xf numFmtId="164" fontId="3" fillId="0" borderId="0" xfId="1" applyNumberFormat="1" applyFont="1"/>
    <xf numFmtId="10" fontId="0" fillId="0" borderId="0" xfId="2" applyNumberFormat="1" applyFont="1"/>
    <xf numFmtId="164" fontId="3" fillId="0" borderId="6" xfId="1" applyNumberFormat="1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1" applyNumberFormat="1" applyFont="1" applyBorder="1"/>
    <xf numFmtId="164" fontId="5" fillId="0" borderId="0" xfId="1" applyNumberFormat="1" applyFont="1"/>
    <xf numFmtId="164" fontId="0" fillId="0" borderId="0" xfId="0" applyNumberFormat="1"/>
    <xf numFmtId="43" fontId="0" fillId="0" borderId="0" xfId="1" applyFont="1"/>
    <xf numFmtId="0" fontId="8" fillId="0" borderId="0" xfId="0" applyFont="1"/>
    <xf numFmtId="0" fontId="3" fillId="0" borderId="0" xfId="0" applyFont="1" applyBorder="1"/>
    <xf numFmtId="0" fontId="0" fillId="0" borderId="0" xfId="0" applyBorder="1"/>
    <xf numFmtId="165" fontId="0" fillId="0" borderId="0" xfId="1" applyNumberFormat="1" applyFont="1" applyBorder="1"/>
    <xf numFmtId="164" fontId="5" fillId="0" borderId="0" xfId="1" applyNumberFormat="1" applyFont="1" applyFill="1" applyBorder="1"/>
    <xf numFmtId="164" fontId="5" fillId="0" borderId="0" xfId="1" applyNumberFormat="1" applyFont="1" applyBorder="1"/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5" fontId="3" fillId="0" borderId="24" xfId="1" applyNumberFormat="1" applyFont="1" applyBorder="1" applyAlignment="1">
      <alignment horizontal="center"/>
    </xf>
    <xf numFmtId="164" fontId="3" fillId="0" borderId="25" xfId="1" applyNumberFormat="1" applyFont="1" applyFill="1" applyBorder="1" applyAlignment="1">
      <alignment horizontal="center"/>
    </xf>
    <xf numFmtId="164" fontId="3" fillId="0" borderId="25" xfId="1" applyNumberFormat="1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65" fontId="3" fillId="0" borderId="27" xfId="1" applyNumberFormat="1" applyFont="1" applyBorder="1" applyAlignment="1">
      <alignment horizontal="center"/>
    </xf>
    <xf numFmtId="164" fontId="3" fillId="0" borderId="28" xfId="1" applyNumberFormat="1" applyFont="1" applyFill="1" applyBorder="1" applyAlignment="1">
      <alignment horizontal="center"/>
    </xf>
    <xf numFmtId="164" fontId="3" fillId="0" borderId="28" xfId="1" applyNumberFormat="1" applyFont="1" applyBorder="1" applyAlignment="1">
      <alignment horizontal="center"/>
    </xf>
    <xf numFmtId="0" fontId="3" fillId="0" borderId="29" xfId="0" applyFont="1" applyBorder="1"/>
    <xf numFmtId="0" fontId="6" fillId="0" borderId="0" xfId="0" applyFont="1" applyBorder="1"/>
    <xf numFmtId="165" fontId="0" fillId="0" borderId="23" xfId="1" applyNumberFormat="1" applyFont="1" applyBorder="1"/>
    <xf numFmtId="164" fontId="5" fillId="0" borderId="25" xfId="1" applyNumberFormat="1" applyFont="1" applyFill="1" applyBorder="1"/>
    <xf numFmtId="164" fontId="5" fillId="0" borderId="25" xfId="1" applyNumberFormat="1" applyFont="1" applyBorder="1"/>
    <xf numFmtId="0" fontId="3" fillId="0" borderId="22" xfId="0" applyFont="1" applyBorder="1"/>
    <xf numFmtId="164" fontId="5" fillId="0" borderId="30" xfId="1" applyNumberFormat="1" applyFont="1" applyFill="1" applyBorder="1"/>
    <xf numFmtId="164" fontId="5" fillId="0" borderId="30" xfId="1" applyNumberFormat="1" applyFont="1" applyBorder="1"/>
    <xf numFmtId="0" fontId="0" fillId="0" borderId="22" xfId="0" applyBorder="1"/>
    <xf numFmtId="164" fontId="5" fillId="0" borderId="31" xfId="1" applyNumberFormat="1" applyFont="1" applyFill="1" applyBorder="1"/>
    <xf numFmtId="164" fontId="5" fillId="0" borderId="31" xfId="1" applyNumberFormat="1" applyFont="1" applyBorder="1"/>
    <xf numFmtId="165" fontId="0" fillId="0" borderId="0" xfId="1" applyNumberFormat="1" applyFont="1" applyFill="1" applyBorder="1"/>
    <xf numFmtId="0" fontId="4" fillId="0" borderId="22" xfId="0" applyFont="1" applyBorder="1"/>
    <xf numFmtId="0" fontId="3" fillId="0" borderId="26" xfId="0" applyFont="1" applyBorder="1"/>
    <xf numFmtId="0" fontId="0" fillId="0" borderId="21" xfId="0" applyBorder="1"/>
    <xf numFmtId="165" fontId="0" fillId="0" borderId="21" xfId="1" applyNumberFormat="1" applyFont="1" applyBorder="1"/>
    <xf numFmtId="164" fontId="3" fillId="0" borderId="32" xfId="1" applyNumberFormat="1" applyFont="1" applyBorder="1"/>
    <xf numFmtId="165" fontId="0" fillId="0" borderId="0" xfId="1" applyNumberFormat="1" applyFont="1"/>
    <xf numFmtId="164" fontId="5" fillId="0" borderId="0" xfId="1" applyNumberFormat="1" applyFont="1" applyFill="1"/>
    <xf numFmtId="0" fontId="7" fillId="0" borderId="0" xfId="0" applyFont="1" applyAlignment="1">
      <alignment horizontal="centerContinuous"/>
    </xf>
    <xf numFmtId="0" fontId="7" fillId="0" borderId="0" xfId="0" applyFont="1"/>
    <xf numFmtId="0" fontId="8" fillId="0" borderId="16" xfId="0" applyFont="1" applyBorder="1"/>
    <xf numFmtId="0" fontId="8" fillId="0" borderId="7" xfId="0" applyFont="1" applyBorder="1"/>
    <xf numFmtId="0" fontId="8" fillId="0" borderId="1" xfId="0" applyFont="1" applyBorder="1"/>
    <xf numFmtId="0" fontId="8" fillId="0" borderId="3" xfId="0" applyFont="1" applyBorder="1"/>
    <xf numFmtId="164" fontId="8" fillId="0" borderId="1" xfId="1" applyNumberFormat="1" applyFont="1" applyBorder="1"/>
    <xf numFmtId="0" fontId="8" fillId="0" borderId="5" xfId="0" applyFont="1" applyBorder="1"/>
    <xf numFmtId="164" fontId="8" fillId="0" borderId="2" xfId="1" applyNumberFormat="1" applyFont="1" applyFill="1" applyBorder="1"/>
    <xf numFmtId="0" fontId="7" fillId="0" borderId="4" xfId="0" applyFont="1" applyBorder="1"/>
    <xf numFmtId="0" fontId="8" fillId="0" borderId="0" xfId="0" applyFont="1" applyAlignment="1">
      <alignment horizontal="centerContinuous"/>
    </xf>
    <xf numFmtId="164" fontId="8" fillId="0" borderId="0" xfId="1" applyNumberFormat="1" applyFont="1" applyFill="1"/>
    <xf numFmtId="0" fontId="7" fillId="0" borderId="7" xfId="0" applyFont="1" applyBorder="1" applyAlignment="1">
      <alignment horizontal="center"/>
    </xf>
    <xf numFmtId="164" fontId="7" fillId="0" borderId="8" xfId="1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0" borderId="2" xfId="1" applyNumberFormat="1" applyFont="1" applyFill="1" applyBorder="1" applyAlignment="1">
      <alignment horizontal="center"/>
    </xf>
    <xf numFmtId="9" fontId="8" fillId="0" borderId="0" xfId="2" applyFont="1"/>
    <xf numFmtId="10" fontId="8" fillId="0" borderId="0" xfId="2" applyNumberFormat="1" applyFont="1"/>
    <xf numFmtId="0" fontId="7" fillId="0" borderId="3" xfId="0" applyFont="1" applyBorder="1"/>
    <xf numFmtId="164" fontId="8" fillId="0" borderId="17" xfId="1" applyNumberFormat="1" applyFont="1" applyFill="1" applyBorder="1"/>
    <xf numFmtId="164" fontId="8" fillId="0" borderId="10" xfId="1" applyNumberFormat="1" applyFont="1" applyFill="1" applyBorder="1"/>
    <xf numFmtId="164" fontId="7" fillId="0" borderId="15" xfId="1" applyNumberFormat="1" applyFont="1" applyFill="1" applyBorder="1"/>
    <xf numFmtId="164" fontId="7" fillId="0" borderId="19" xfId="1" applyNumberFormat="1" applyFont="1" applyFill="1" applyBorder="1"/>
    <xf numFmtId="0" fontId="8" fillId="0" borderId="0" xfId="0" quotePrefix="1" applyFont="1"/>
    <xf numFmtId="164" fontId="4" fillId="0" borderId="0" xfId="1" applyNumberFormat="1" applyFont="1" applyFill="1"/>
    <xf numFmtId="0" fontId="7" fillId="0" borderId="0" xfId="0" applyFont="1" applyAlignment="1"/>
    <xf numFmtId="0" fontId="8" fillId="0" borderId="0" xfId="0" applyFont="1" applyAlignment="1">
      <alignment wrapText="1"/>
    </xf>
    <xf numFmtId="164" fontId="8" fillId="0" borderId="0" xfId="1" applyNumberFormat="1" applyFont="1" applyAlignment="1">
      <alignment wrapText="1"/>
    </xf>
    <xf numFmtId="0" fontId="7" fillId="0" borderId="35" xfId="0" applyFont="1" applyBorder="1" applyAlignment="1">
      <alignment wrapText="1"/>
    </xf>
    <xf numFmtId="0" fontId="7" fillId="0" borderId="36" xfId="0" applyFont="1" applyBorder="1" applyAlignment="1">
      <alignment wrapText="1"/>
    </xf>
    <xf numFmtId="164" fontId="7" fillId="0" borderId="41" xfId="1" applyNumberFormat="1" applyFont="1" applyBorder="1" applyAlignment="1">
      <alignment horizontal="center" wrapText="1"/>
    </xf>
    <xf numFmtId="164" fontId="7" fillId="0" borderId="42" xfId="1" applyNumberFormat="1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8" fillId="0" borderId="34" xfId="0" applyFont="1" applyBorder="1" applyAlignment="1">
      <alignment wrapText="1"/>
    </xf>
    <xf numFmtId="0" fontId="8" fillId="0" borderId="13" xfId="0" applyFont="1" applyBorder="1" applyAlignment="1">
      <alignment wrapText="1"/>
    </xf>
    <xf numFmtId="164" fontId="8" fillId="0" borderId="11" xfId="1" applyNumberFormat="1" applyFont="1" applyBorder="1" applyAlignment="1">
      <alignment wrapText="1"/>
    </xf>
    <xf numFmtId="164" fontId="8" fillId="0" borderId="12" xfId="1" applyNumberFormat="1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1" xfId="0" applyFont="1" applyBorder="1" applyAlignment="1">
      <alignment wrapText="1"/>
    </xf>
    <xf numFmtId="164" fontId="8" fillId="0" borderId="9" xfId="1" applyNumberFormat="1" applyFont="1" applyBorder="1" applyAlignment="1">
      <alignment wrapText="1"/>
    </xf>
    <xf numFmtId="164" fontId="9" fillId="0" borderId="2" xfId="1" applyNumberFormat="1" applyFont="1" applyBorder="1" applyAlignment="1">
      <alignment wrapText="1"/>
    </xf>
    <xf numFmtId="164" fontId="9" fillId="0" borderId="2" xfId="1" applyNumberFormat="1" applyFont="1" applyFill="1" applyBorder="1" applyAlignment="1">
      <alignment wrapText="1"/>
    </xf>
    <xf numFmtId="164" fontId="8" fillId="0" borderId="2" xfId="1" applyNumberFormat="1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7" fillId="0" borderId="18" xfId="0" applyFont="1" applyBorder="1" applyAlignment="1">
      <alignment wrapText="1"/>
    </xf>
    <xf numFmtId="164" fontId="7" fillId="0" borderId="15" xfId="1" applyNumberFormat="1" applyFont="1" applyBorder="1" applyAlignment="1">
      <alignment wrapText="1"/>
    </xf>
    <xf numFmtId="164" fontId="7" fillId="0" borderId="19" xfId="1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11" fillId="0" borderId="0" xfId="0" applyFont="1"/>
    <xf numFmtId="0" fontId="11" fillId="5" borderId="0" xfId="0" applyFont="1" applyFill="1"/>
    <xf numFmtId="43" fontId="11" fillId="5" borderId="0" xfId="1" applyFont="1" applyFill="1"/>
    <xf numFmtId="4" fontId="11" fillId="6" borderId="0" xfId="0" applyNumberFormat="1" applyFont="1" applyFill="1"/>
    <xf numFmtId="43" fontId="11" fillId="2" borderId="0" xfId="1" applyFont="1" applyFill="1"/>
    <xf numFmtId="43" fontId="11" fillId="6" borderId="0" xfId="1" applyFont="1" applyFill="1"/>
    <xf numFmtId="0" fontId="11" fillId="7" borderId="0" xfId="0" applyFont="1" applyFill="1"/>
    <xf numFmtId="43" fontId="11" fillId="7" borderId="0" xfId="1" applyFont="1" applyFill="1"/>
    <xf numFmtId="0" fontId="11" fillId="8" borderId="0" xfId="0" applyFont="1" applyFill="1"/>
    <xf numFmtId="43" fontId="11" fillId="8" borderId="0" xfId="1" applyFont="1" applyFill="1"/>
    <xf numFmtId="0" fontId="11" fillId="9" borderId="0" xfId="0" applyFont="1" applyFill="1"/>
    <xf numFmtId="43" fontId="11" fillId="9" borderId="0" xfId="1" applyFont="1" applyFill="1"/>
    <xf numFmtId="9" fontId="11" fillId="6" borderId="0" xfId="2" applyFont="1" applyFill="1" applyAlignment="1">
      <alignment horizontal="left"/>
    </xf>
    <xf numFmtId="4" fontId="11" fillId="5" borderId="0" xfId="0" quotePrefix="1" applyNumberFormat="1" applyFont="1" applyFill="1"/>
    <xf numFmtId="4" fontId="11" fillId="5" borderId="0" xfId="0" applyNumberFormat="1" applyFont="1" applyFill="1"/>
    <xf numFmtId="43" fontId="10" fillId="4" borderId="6" xfId="1" applyFont="1" applyFill="1" applyBorder="1"/>
    <xf numFmtId="43" fontId="11" fillId="0" borderId="0" xfId="1" applyFont="1"/>
    <xf numFmtId="43" fontId="11" fillId="4" borderId="0" xfId="1" applyFont="1" applyFill="1"/>
    <xf numFmtId="0" fontId="11" fillId="6" borderId="0" xfId="0" applyFont="1" applyFill="1"/>
    <xf numFmtId="0" fontId="10" fillId="3" borderId="6" xfId="0" applyFont="1" applyFill="1" applyBorder="1"/>
    <xf numFmtId="43" fontId="10" fillId="3" borderId="6" xfId="1" applyFont="1" applyFill="1" applyBorder="1"/>
    <xf numFmtId="4" fontId="11" fillId="2" borderId="0" xfId="0" applyNumberFormat="1" applyFont="1" applyFill="1"/>
    <xf numFmtId="0" fontId="11" fillId="10" borderId="0" xfId="0" applyFont="1" applyFill="1"/>
    <xf numFmtId="43" fontId="11" fillId="10" borderId="0" xfId="1" applyFont="1" applyFill="1"/>
    <xf numFmtId="0" fontId="11" fillId="2" borderId="0" xfId="0" applyFont="1" applyFill="1"/>
    <xf numFmtId="43" fontId="11" fillId="2" borderId="0" xfId="0" applyNumberFormat="1" applyFont="1" applyFill="1"/>
    <xf numFmtId="0" fontId="1" fillId="0" borderId="22" xfId="0" applyFont="1" applyBorder="1"/>
    <xf numFmtId="0" fontId="12" fillId="0" borderId="0" xfId="0" applyFont="1" applyAlignment="1">
      <alignment horizontal="left"/>
    </xf>
    <xf numFmtId="0" fontId="13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8" fillId="2" borderId="3" xfId="0" applyFont="1" applyFill="1" applyBorder="1"/>
    <xf numFmtId="0" fontId="8" fillId="2" borderId="1" xfId="0" applyFont="1" applyFill="1" applyBorder="1"/>
    <xf numFmtId="164" fontId="8" fillId="2" borderId="1" xfId="1" applyNumberFormat="1" applyFont="1" applyFill="1" applyBorder="1"/>
    <xf numFmtId="164" fontId="8" fillId="2" borderId="2" xfId="1" applyNumberFormat="1" applyFont="1" applyFill="1" applyBorder="1"/>
    <xf numFmtId="0" fontId="0" fillId="0" borderId="0" xfId="0" applyFill="1"/>
    <xf numFmtId="9" fontId="0" fillId="0" borderId="0" xfId="2" applyFont="1"/>
    <xf numFmtId="4" fontId="0" fillId="0" borderId="0" xfId="0" applyNumberFormat="1"/>
    <xf numFmtId="3" fontId="0" fillId="0" borderId="0" xfId="0" applyNumberFormat="1"/>
    <xf numFmtId="0" fontId="11" fillId="5" borderId="0" xfId="0" quotePrefix="1" applyFont="1" applyFill="1"/>
    <xf numFmtId="38" fontId="8" fillId="0" borderId="0" xfId="1" applyNumberFormat="1" applyFont="1" applyFill="1"/>
    <xf numFmtId="164" fontId="8" fillId="0" borderId="0" xfId="1" applyNumberFormat="1" applyFont="1"/>
    <xf numFmtId="43" fontId="8" fillId="0" borderId="0" xfId="1" applyFont="1"/>
    <xf numFmtId="0" fontId="8" fillId="0" borderId="0" xfId="0" applyFont="1" applyFill="1"/>
    <xf numFmtId="0" fontId="8" fillId="2" borderId="0" xfId="0" applyFont="1" applyFill="1"/>
    <xf numFmtId="10" fontId="8" fillId="0" borderId="0" xfId="2" applyNumberFormat="1" applyFont="1" applyFill="1"/>
    <xf numFmtId="9" fontId="8" fillId="2" borderId="0" xfId="2" applyFont="1" applyFill="1"/>
    <xf numFmtId="0" fontId="16" fillId="0" borderId="0" xfId="0" applyFont="1"/>
    <xf numFmtId="9" fontId="16" fillId="0" borderId="0" xfId="0" applyNumberFormat="1" applyFont="1"/>
    <xf numFmtId="0" fontId="17" fillId="0" borderId="0" xfId="0" applyFont="1"/>
    <xf numFmtId="0" fontId="16" fillId="0" borderId="31" xfId="0" applyFont="1" applyBorder="1"/>
    <xf numFmtId="0" fontId="18" fillId="0" borderId="31" xfId="0" applyFont="1" applyBorder="1"/>
    <xf numFmtId="0" fontId="15" fillId="0" borderId="0" xfId="0" applyFont="1" applyAlignment="1">
      <alignment horizontal="centerContinuous"/>
    </xf>
    <xf numFmtId="166" fontId="8" fillId="0" borderId="31" xfId="0" applyNumberFormat="1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20" fillId="0" borderId="46" xfId="0" applyFont="1" applyBorder="1"/>
    <xf numFmtId="38" fontId="21" fillId="0" borderId="47" xfId="0" applyNumberFormat="1" applyFont="1" applyBorder="1"/>
    <xf numFmtId="38" fontId="21" fillId="0" borderId="47" xfId="0" applyNumberFormat="1" applyFont="1" applyFill="1" applyBorder="1"/>
    <xf numFmtId="38" fontId="21" fillId="11" borderId="47" xfId="0" applyNumberFormat="1" applyFont="1" applyFill="1" applyBorder="1"/>
    <xf numFmtId="38" fontId="20" fillId="0" borderId="47" xfId="0" applyNumberFormat="1" applyFont="1" applyFill="1" applyBorder="1"/>
    <xf numFmtId="38" fontId="21" fillId="0" borderId="48" xfId="0" applyNumberFormat="1" applyFont="1" applyFill="1" applyBorder="1"/>
    <xf numFmtId="38" fontId="21" fillId="0" borderId="49" xfId="0" applyNumberFormat="1" applyFont="1" applyFill="1" applyBorder="1"/>
    <xf numFmtId="38" fontId="21" fillId="12" borderId="48" xfId="0" applyNumberFormat="1" applyFont="1" applyFill="1" applyBorder="1"/>
    <xf numFmtId="38" fontId="21" fillId="12" borderId="47" xfId="0" applyNumberFormat="1" applyFont="1" applyFill="1" applyBorder="1"/>
    <xf numFmtId="38" fontId="22" fillId="12" borderId="50" xfId="0" applyNumberFormat="1" applyFont="1" applyFill="1" applyBorder="1"/>
    <xf numFmtId="38" fontId="20" fillId="12" borderId="51" xfId="0" applyNumberFormat="1" applyFont="1" applyFill="1" applyBorder="1" applyAlignment="1" applyProtection="1">
      <alignment horizontal="center"/>
      <protection locked="0"/>
    </xf>
    <xf numFmtId="14" fontId="20" fillId="12" borderId="52" xfId="0" applyNumberFormat="1" applyFont="1" applyFill="1" applyBorder="1" applyAlignment="1" applyProtection="1">
      <alignment horizontal="center"/>
      <protection locked="0"/>
    </xf>
    <xf numFmtId="9" fontId="20" fillId="0" borderId="53" xfId="0" applyNumberFormat="1" applyFont="1" applyBorder="1" applyAlignment="1">
      <alignment horizontal="center"/>
    </xf>
    <xf numFmtId="164" fontId="20" fillId="0" borderId="0" xfId="1" applyNumberFormat="1" applyFont="1" applyBorder="1"/>
    <xf numFmtId="0" fontId="20" fillId="0" borderId="0" xfId="0" applyFont="1" applyBorder="1"/>
    <xf numFmtId="0" fontId="20" fillId="0" borderId="0" xfId="0" applyFont="1"/>
    <xf numFmtId="14" fontId="20" fillId="0" borderId="54" xfId="0" applyNumberFormat="1" applyFont="1" applyBorder="1" applyAlignment="1" applyProtection="1">
      <alignment horizontal="left"/>
      <protection locked="0"/>
    </xf>
    <xf numFmtId="38" fontId="20" fillId="0" borderId="55" xfId="0" quotePrefix="1" applyNumberFormat="1" applyFont="1" applyBorder="1" applyAlignment="1">
      <alignment horizontal="center"/>
    </xf>
    <xf numFmtId="38" fontId="20" fillId="0" borderId="55" xfId="0" quotePrefix="1" applyNumberFormat="1" applyFont="1" applyFill="1" applyBorder="1" applyAlignment="1">
      <alignment horizontal="center"/>
    </xf>
    <xf numFmtId="38" fontId="20" fillId="0" borderId="55" xfId="0" applyNumberFormat="1" applyFont="1" applyFill="1" applyBorder="1" applyAlignment="1">
      <alignment horizontal="center"/>
    </xf>
    <xf numFmtId="38" fontId="20" fillId="0" borderId="56" xfId="0" applyNumberFormat="1" applyFont="1" applyFill="1" applyBorder="1" applyAlignment="1">
      <alignment horizontal="center"/>
    </xf>
    <xf numFmtId="38" fontId="20" fillId="12" borderId="56" xfId="0" applyNumberFormat="1" applyFont="1" applyFill="1" applyBorder="1" applyAlignment="1">
      <alignment horizontal="center"/>
    </xf>
    <xf numFmtId="38" fontId="20" fillId="12" borderId="55" xfId="0" applyNumberFormat="1" applyFont="1" applyFill="1" applyBorder="1" applyAlignment="1">
      <alignment horizontal="center"/>
    </xf>
    <xf numFmtId="38" fontId="20" fillId="12" borderId="58" xfId="0" applyNumberFormat="1" applyFont="1" applyFill="1" applyBorder="1" applyAlignment="1">
      <alignment horizontal="center"/>
    </xf>
    <xf numFmtId="38" fontId="22" fillId="12" borderId="58" xfId="0" applyNumberFormat="1" applyFont="1" applyFill="1" applyBorder="1" applyAlignment="1">
      <alignment horizontal="center"/>
    </xf>
    <xf numFmtId="38" fontId="20" fillId="12" borderId="55" xfId="0" applyNumberFormat="1" applyFont="1" applyFill="1" applyBorder="1" applyAlignment="1" applyProtection="1">
      <alignment horizontal="center"/>
      <protection locked="0"/>
    </xf>
    <xf numFmtId="14" fontId="20" fillId="12" borderId="57" xfId="0" applyNumberFormat="1" applyFont="1" applyFill="1" applyBorder="1" applyAlignment="1" applyProtection="1">
      <alignment horizontal="center"/>
      <protection locked="0"/>
    </xf>
    <xf numFmtId="0" fontId="20" fillId="0" borderId="59" xfId="0" applyFont="1" applyBorder="1" applyAlignment="1">
      <alignment horizontal="center"/>
    </xf>
    <xf numFmtId="3" fontId="24" fillId="0" borderId="60" xfId="0" applyNumberFormat="1" applyFont="1" applyBorder="1" applyAlignment="1" applyProtection="1">
      <alignment horizontal="left"/>
      <protection locked="0"/>
    </xf>
    <xf numFmtId="38" fontId="24" fillId="0" borderId="61" xfId="0" applyNumberFormat="1" applyFont="1" applyFill="1" applyBorder="1"/>
    <xf numFmtId="38" fontId="24" fillId="0" borderId="62" xfId="0" applyNumberFormat="1" applyFont="1" applyFill="1" applyBorder="1"/>
    <xf numFmtId="38" fontId="24" fillId="12" borderId="61" xfId="0" applyNumberFormat="1" applyFont="1" applyFill="1" applyBorder="1"/>
    <xf numFmtId="38" fontId="24" fillId="12" borderId="27" xfId="0" applyNumberFormat="1" applyFont="1" applyFill="1" applyBorder="1"/>
    <xf numFmtId="38" fontId="25" fillId="12" borderId="27" xfId="0" applyNumberFormat="1" applyFont="1" applyFill="1" applyBorder="1"/>
    <xf numFmtId="38" fontId="24" fillId="12" borderId="28" xfId="0" applyNumberFormat="1" applyFont="1" applyFill="1" applyBorder="1" applyAlignment="1" applyProtection="1">
      <alignment horizontal="right"/>
      <protection locked="0"/>
    </xf>
    <xf numFmtId="10" fontId="24" fillId="12" borderId="63" xfId="0" applyNumberFormat="1" applyFont="1" applyFill="1" applyBorder="1" applyAlignment="1" applyProtection="1">
      <alignment horizontal="right"/>
      <protection locked="0"/>
    </xf>
    <xf numFmtId="3" fontId="0" fillId="0" borderId="20" xfId="0" applyNumberFormat="1" applyBorder="1" applyAlignment="1">
      <alignment horizontal="center"/>
    </xf>
    <xf numFmtId="164" fontId="0" fillId="0" borderId="0" xfId="1" applyNumberFormat="1" applyFont="1" applyBorder="1"/>
    <xf numFmtId="3" fontId="24" fillId="0" borderId="64" xfId="0" applyNumberFormat="1" applyFont="1" applyBorder="1" applyAlignment="1" applyProtection="1">
      <alignment horizontal="left"/>
      <protection locked="0"/>
    </xf>
    <xf numFmtId="38" fontId="24" fillId="0" borderId="31" xfId="0" applyNumberFormat="1" applyFont="1" applyFill="1" applyBorder="1"/>
    <xf numFmtId="38" fontId="24" fillId="0" borderId="45" xfId="0" applyNumberFormat="1" applyFont="1" applyFill="1" applyBorder="1"/>
    <xf numFmtId="38" fontId="24" fillId="12" borderId="31" xfId="0" applyNumberFormat="1" applyFont="1" applyFill="1" applyBorder="1"/>
    <xf numFmtId="38" fontId="24" fillId="12" borderId="44" xfId="0" applyNumberFormat="1" applyFont="1" applyFill="1" applyBorder="1"/>
    <xf numFmtId="38" fontId="25" fillId="12" borderId="44" xfId="0" applyNumberFormat="1" applyFont="1" applyFill="1" applyBorder="1"/>
    <xf numFmtId="38" fontId="24" fillId="12" borderId="31" xfId="0" applyNumberFormat="1" applyFont="1" applyFill="1" applyBorder="1" applyAlignment="1" applyProtection="1">
      <alignment horizontal="right"/>
      <protection locked="0"/>
    </xf>
    <xf numFmtId="10" fontId="24" fillId="12" borderId="65" xfId="0" applyNumberFormat="1" applyFont="1" applyFill="1" applyBorder="1" applyAlignment="1" applyProtection="1">
      <alignment horizontal="right"/>
      <protection locked="0"/>
    </xf>
    <xf numFmtId="3" fontId="0" fillId="0" borderId="66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8" fontId="24" fillId="0" borderId="31" xfId="0" applyNumberFormat="1" applyFont="1" applyFill="1" applyBorder="1" applyAlignment="1" applyProtection="1">
      <alignment horizontal="right"/>
      <protection locked="0"/>
    </xf>
    <xf numFmtId="38" fontId="24" fillId="0" borderId="45" xfId="0" applyNumberFormat="1" applyFont="1" applyFill="1" applyBorder="1" applyAlignment="1" applyProtection="1">
      <alignment horizontal="right"/>
      <protection locked="0"/>
    </xf>
    <xf numFmtId="38" fontId="24" fillId="12" borderId="44" xfId="0" applyNumberFormat="1" applyFont="1" applyFill="1" applyBorder="1" applyAlignment="1" applyProtection="1">
      <alignment horizontal="right"/>
      <protection locked="0"/>
    </xf>
    <xf numFmtId="38" fontId="25" fillId="12" borderId="44" xfId="0" applyNumberFormat="1" applyFont="1" applyFill="1" applyBorder="1" applyAlignment="1" applyProtection="1">
      <alignment horizontal="right"/>
      <protection locked="0"/>
    </xf>
    <xf numFmtId="3" fontId="24" fillId="0" borderId="64" xfId="0" applyNumberFormat="1" applyFont="1" applyFill="1" applyBorder="1" applyAlignment="1" applyProtection="1">
      <alignment horizontal="left"/>
      <protection locked="0"/>
    </xf>
    <xf numFmtId="38" fontId="24" fillId="12" borderId="20" xfId="0" applyNumberFormat="1" applyFont="1" applyFill="1" applyBorder="1"/>
    <xf numFmtId="3" fontId="24" fillId="0" borderId="67" xfId="0" applyNumberFormat="1" applyFont="1" applyBorder="1" applyAlignment="1" applyProtection="1">
      <alignment horizontal="right"/>
      <protection locked="0"/>
    </xf>
    <xf numFmtId="38" fontId="24" fillId="0" borderId="68" xfId="0" applyNumberFormat="1" applyFont="1" applyFill="1" applyBorder="1"/>
    <xf numFmtId="38" fontId="26" fillId="0" borderId="69" xfId="0" applyNumberFormat="1" applyFont="1" applyFill="1" applyBorder="1"/>
    <xf numFmtId="38" fontId="26" fillId="12" borderId="68" xfId="0" applyNumberFormat="1" applyFont="1" applyFill="1" applyBorder="1"/>
    <xf numFmtId="38" fontId="26" fillId="12" borderId="70" xfId="0" applyNumberFormat="1" applyFont="1" applyFill="1" applyBorder="1"/>
    <xf numFmtId="38" fontId="22" fillId="12" borderId="71" xfId="0" applyNumberFormat="1" applyFont="1" applyFill="1" applyBorder="1"/>
    <xf numFmtId="38" fontId="26" fillId="12" borderId="72" xfId="0" applyNumberFormat="1" applyFont="1" applyFill="1" applyBorder="1" applyAlignment="1" applyProtection="1">
      <alignment horizontal="right"/>
      <protection locked="0"/>
    </xf>
    <xf numFmtId="10" fontId="26" fillId="12" borderId="73" xfId="0" applyNumberFormat="1" applyFont="1" applyFill="1" applyBorder="1" applyAlignment="1" applyProtection="1">
      <alignment horizontal="right"/>
      <protection locked="0"/>
    </xf>
    <xf numFmtId="3" fontId="0" fillId="0" borderId="59" xfId="0" applyNumberFormat="1" applyBorder="1" applyAlignment="1">
      <alignment horizontal="center"/>
    </xf>
    <xf numFmtId="3" fontId="24" fillId="0" borderId="0" xfId="0" applyNumberFormat="1" applyFont="1" applyAlignment="1" applyProtection="1">
      <alignment horizontal="left"/>
      <protection locked="0"/>
    </xf>
    <xf numFmtId="38" fontId="24" fillId="0" borderId="0" xfId="0" applyNumberFormat="1" applyFont="1" applyFill="1"/>
    <xf numFmtId="38" fontId="25" fillId="0" borderId="0" xfId="0" applyNumberFormat="1" applyFont="1" applyFill="1"/>
    <xf numFmtId="38" fontId="24" fillId="0" borderId="0" xfId="0" applyNumberFormat="1" applyFont="1" applyAlignment="1" applyProtection="1">
      <alignment horizontal="right"/>
      <protection locked="0"/>
    </xf>
    <xf numFmtId="10" fontId="24" fillId="0" borderId="0" xfId="0" applyNumberFormat="1" applyFont="1" applyAlignment="1" applyProtection="1">
      <alignment horizontal="right"/>
      <protection locked="0"/>
    </xf>
    <xf numFmtId="3" fontId="20" fillId="0" borderId="0" xfId="0" applyNumberFormat="1" applyFont="1" applyAlignment="1" applyProtection="1">
      <alignment horizontal="left"/>
      <protection locked="0"/>
    </xf>
    <xf numFmtId="38" fontId="27" fillId="0" borderId="0" xfId="0" applyNumberFormat="1" applyFont="1" applyFill="1"/>
    <xf numFmtId="38" fontId="28" fillId="0" borderId="0" xfId="0" applyNumberFormat="1" applyFont="1" applyFill="1"/>
    <xf numFmtId="38" fontId="27" fillId="0" borderId="0" xfId="0" applyNumberFormat="1" applyFont="1" applyAlignment="1" applyProtection="1">
      <alignment horizontal="right"/>
      <protection locked="0"/>
    </xf>
    <xf numFmtId="0" fontId="27" fillId="0" borderId="0" xfId="0" applyFont="1" applyAlignment="1">
      <alignment horizontal="center"/>
    </xf>
    <xf numFmtId="164" fontId="27" fillId="0" borderId="0" xfId="1" applyNumberFormat="1" applyFont="1"/>
    <xf numFmtId="0" fontId="27" fillId="0" borderId="0" xfId="0" applyFont="1"/>
    <xf numFmtId="38" fontId="24" fillId="12" borderId="62" xfId="0" applyNumberFormat="1" applyFont="1" applyFill="1" applyBorder="1"/>
    <xf numFmtId="38" fontId="24" fillId="12" borderId="74" xfId="0" applyNumberFormat="1" applyFont="1" applyFill="1" applyBorder="1"/>
    <xf numFmtId="38" fontId="25" fillId="12" borderId="74" xfId="0" applyNumberFormat="1" applyFont="1" applyFill="1" applyBorder="1"/>
    <xf numFmtId="38" fontId="24" fillId="12" borderId="75" xfId="0" applyNumberFormat="1" applyFont="1" applyFill="1" applyBorder="1" applyAlignment="1" applyProtection="1">
      <alignment horizontal="right"/>
      <protection locked="0"/>
    </xf>
    <xf numFmtId="10" fontId="24" fillId="12" borderId="76" xfId="0" applyNumberFormat="1" applyFont="1" applyFill="1" applyBorder="1" applyAlignment="1" applyProtection="1">
      <alignment horizontal="right"/>
      <protection locked="0"/>
    </xf>
    <xf numFmtId="38" fontId="26" fillId="12" borderId="77" xfId="0" applyNumberFormat="1" applyFont="1" applyFill="1" applyBorder="1"/>
    <xf numFmtId="38" fontId="0" fillId="0" borderId="0" xfId="0" applyNumberFormat="1"/>
    <xf numFmtId="38" fontId="24" fillId="12" borderId="66" xfId="0" applyNumberFormat="1" applyFont="1" applyFill="1" applyBorder="1"/>
    <xf numFmtId="164" fontId="29" fillId="0" borderId="0" xfId="1" applyNumberFormat="1" applyFont="1"/>
    <xf numFmtId="38" fontId="24" fillId="0" borderId="68" xfId="0" applyNumberFormat="1" applyFont="1" applyBorder="1"/>
    <xf numFmtId="38" fontId="24" fillId="0" borderId="0" xfId="0" applyNumberFormat="1" applyFont="1"/>
    <xf numFmtId="38" fontId="30" fillId="0" borderId="0" xfId="0" applyNumberFormat="1" applyFont="1" applyFill="1"/>
    <xf numFmtId="38" fontId="24" fillId="0" borderId="78" xfId="0" applyNumberFormat="1" applyFont="1" applyBorder="1"/>
    <xf numFmtId="3" fontId="20" fillId="0" borderId="79" xfId="0" applyNumberFormat="1" applyFont="1" applyBorder="1" applyAlignment="1" applyProtection="1">
      <alignment horizontal="left"/>
      <protection locked="0"/>
    </xf>
    <xf numFmtId="38" fontId="20" fillId="0" borderId="80" xfId="0" applyNumberFormat="1" applyFont="1" applyBorder="1" applyAlignment="1" applyProtection="1">
      <alignment horizontal="right"/>
      <protection locked="0"/>
    </xf>
    <xf numFmtId="38" fontId="20" fillId="0" borderId="80" xfId="0" applyNumberFormat="1" applyFont="1" applyFill="1" applyBorder="1" applyAlignment="1" applyProtection="1">
      <alignment horizontal="right"/>
      <protection locked="0"/>
    </xf>
    <xf numFmtId="38" fontId="20" fillId="0" borderId="81" xfId="0" applyNumberFormat="1" applyFont="1" applyFill="1" applyBorder="1" applyAlignment="1" applyProtection="1">
      <alignment horizontal="right"/>
      <protection locked="0"/>
    </xf>
    <xf numFmtId="38" fontId="20" fillId="12" borderId="82" xfId="0" applyNumberFormat="1" applyFont="1" applyFill="1" applyBorder="1" applyAlignment="1" applyProtection="1">
      <alignment horizontal="right"/>
      <protection locked="0"/>
    </xf>
    <xf numFmtId="38" fontId="28" fillId="12" borderId="82" xfId="0" applyNumberFormat="1" applyFont="1" applyFill="1" applyBorder="1" applyAlignment="1" applyProtection="1">
      <alignment horizontal="right"/>
      <protection locked="0"/>
    </xf>
    <xf numFmtId="38" fontId="20" fillId="12" borderId="83" xfId="0" applyNumberFormat="1" applyFont="1" applyFill="1" applyBorder="1" applyAlignment="1" applyProtection="1">
      <alignment horizontal="right"/>
      <protection locked="0"/>
    </xf>
    <xf numFmtId="10" fontId="26" fillId="12" borderId="84" xfId="0" applyNumberFormat="1" applyFont="1" applyFill="1" applyBorder="1" applyAlignment="1" applyProtection="1">
      <alignment horizontal="right"/>
      <protection locked="0"/>
    </xf>
    <xf numFmtId="0" fontId="23" fillId="0" borderId="0" xfId="0" applyFont="1" applyAlignment="1">
      <alignment horizontal="center"/>
    </xf>
    <xf numFmtId="164" fontId="26" fillId="0" borderId="0" xfId="1" applyNumberFormat="1" applyFont="1" applyBorder="1" applyAlignment="1" applyProtection="1">
      <alignment horizontal="right"/>
      <protection locked="0"/>
    </xf>
    <xf numFmtId="0" fontId="23" fillId="0" borderId="0" xfId="0" applyFont="1"/>
    <xf numFmtId="38" fontId="24" fillId="11" borderId="0" xfId="0" applyNumberFormat="1" applyFont="1" applyFill="1"/>
    <xf numFmtId="38" fontId="26" fillId="0" borderId="0" xfId="0" applyNumberFormat="1" applyFont="1" applyFill="1"/>
    <xf numFmtId="2" fontId="24" fillId="0" borderId="0" xfId="0" applyNumberFormat="1" applyFont="1" applyAlignment="1" applyProtection="1">
      <alignment horizontal="right"/>
      <protection locked="0"/>
    </xf>
    <xf numFmtId="10" fontId="26" fillId="0" borderId="0" xfId="2" applyNumberFormat="1" applyFont="1" applyFill="1"/>
    <xf numFmtId="10" fontId="24" fillId="0" borderId="0" xfId="2" applyNumberFormat="1" applyFont="1" applyFill="1"/>
    <xf numFmtId="38" fontId="24" fillId="0" borderId="0" xfId="2" applyNumberFormat="1" applyFont="1" applyFill="1"/>
    <xf numFmtId="38" fontId="25" fillId="0" borderId="0" xfId="2" applyNumberFormat="1" applyFont="1" applyFill="1"/>
    <xf numFmtId="38" fontId="24" fillId="0" borderId="0" xfId="0" applyNumberFormat="1" applyFont="1" applyAlignment="1" applyProtection="1">
      <alignment horizontal="center"/>
      <protection locked="0"/>
    </xf>
    <xf numFmtId="10" fontId="24" fillId="0" borderId="0" xfId="0" applyNumberFormat="1" applyFont="1" applyAlignment="1" applyProtection="1">
      <alignment horizontal="left"/>
      <protection locked="0"/>
    </xf>
    <xf numFmtId="164" fontId="3" fillId="0" borderId="0" xfId="1" applyNumberFormat="1" applyFont="1" applyAlignment="1">
      <alignment horizontal="centerContinuous"/>
    </xf>
    <xf numFmtId="164" fontId="1" fillId="0" borderId="0" xfId="1" applyNumberFormat="1" applyAlignment="1">
      <alignment horizontal="centerContinuous"/>
    </xf>
    <xf numFmtId="10" fontId="1" fillId="0" borderId="0" xfId="2" applyNumberFormat="1" applyAlignment="1">
      <alignment horizontal="centerContinuous"/>
    </xf>
    <xf numFmtId="164" fontId="1" fillId="0" borderId="0" xfId="1" applyNumberFormat="1"/>
    <xf numFmtId="10" fontId="1" fillId="0" borderId="0" xfId="2" applyNumberFormat="1"/>
    <xf numFmtId="164" fontId="1" fillId="0" borderId="0" xfId="1" applyNumberFormat="1" applyFont="1"/>
    <xf numFmtId="164" fontId="1" fillId="0" borderId="0" xfId="1" applyNumberFormat="1" applyFont="1" applyAlignment="1">
      <alignment horizontal="center"/>
    </xf>
    <xf numFmtId="164" fontId="3" fillId="0" borderId="20" xfId="1" applyNumberFormat="1" applyFont="1" applyBorder="1"/>
    <xf numFmtId="164" fontId="1" fillId="0" borderId="0" xfId="1" applyNumberFormat="1" applyFont="1" applyBorder="1"/>
    <xf numFmtId="164" fontId="1" fillId="0" borderId="0" xfId="1" applyNumberFormat="1" applyBorder="1"/>
    <xf numFmtId="164" fontId="3" fillId="0" borderId="0" xfId="1" applyNumberFormat="1" applyFont="1" applyAlignment="1">
      <alignment horizontal="right"/>
    </xf>
    <xf numFmtId="164" fontId="32" fillId="0" borderId="0" xfId="1" applyNumberFormat="1" applyFont="1" applyAlignment="1">
      <alignment horizontal="right"/>
    </xf>
    <xf numFmtId="164" fontId="33" fillId="0" borderId="0" xfId="1" applyNumberFormat="1" applyFont="1"/>
    <xf numFmtId="164" fontId="3" fillId="0" borderId="0" xfId="1" applyNumberFormat="1" applyFont="1" applyBorder="1" applyAlignment="1">
      <alignment horizontal="centerContinuous"/>
    </xf>
    <xf numFmtId="164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164" fontId="1" fillId="0" borderId="0" xfId="1" applyNumberFormat="1" applyFill="1"/>
    <xf numFmtId="164" fontId="1" fillId="0" borderId="0" xfId="1" applyNumberFormat="1" applyFont="1" applyFill="1"/>
    <xf numFmtId="164" fontId="1" fillId="0" borderId="0" xfId="1" applyNumberFormat="1" applyFont="1" applyFill="1" applyAlignment="1">
      <alignment horizontal="right"/>
    </xf>
    <xf numFmtId="3" fontId="1" fillId="0" borderId="0" xfId="1" applyNumberFormat="1" applyAlignment="1">
      <alignment horizontal="center"/>
    </xf>
    <xf numFmtId="164" fontId="1" fillId="0" borderId="0" xfId="1" applyNumberFormat="1" applyAlignment="1">
      <alignment horizontal="right"/>
    </xf>
    <xf numFmtId="164" fontId="1" fillId="0" borderId="0" xfId="1" applyNumberFormat="1" applyFont="1" applyAlignment="1">
      <alignment horizontal="left"/>
    </xf>
    <xf numFmtId="164" fontId="1" fillId="0" borderId="0" xfId="1" applyNumberFormat="1" applyFont="1" applyAlignment="1">
      <alignment horizontal="right"/>
    </xf>
    <xf numFmtId="10" fontId="1" fillId="0" borderId="0" xfId="2" applyNumberFormat="1" applyAlignment="1">
      <alignment horizontal="right"/>
    </xf>
    <xf numFmtId="164" fontId="34" fillId="0" borderId="0" xfId="1" applyNumberFormat="1" applyFont="1"/>
    <xf numFmtId="164" fontId="3" fillId="0" borderId="0" xfId="2" applyNumberFormat="1" applyFont="1"/>
    <xf numFmtId="164" fontId="1" fillId="0" borderId="0" xfId="2" applyNumberFormat="1"/>
    <xf numFmtId="164" fontId="3" fillId="0" borderId="0" xfId="2" applyNumberFormat="1" applyFont="1" applyBorder="1"/>
    <xf numFmtId="10" fontId="1" fillId="0" borderId="0" xfId="2" applyNumberFormat="1" applyAlignment="1">
      <alignment horizontal="center"/>
    </xf>
    <xf numFmtId="0" fontId="17" fillId="0" borderId="0" xfId="0" applyFont="1" applyBorder="1"/>
    <xf numFmtId="0" fontId="17" fillId="0" borderId="0" xfId="0" applyFont="1" applyBorder="1" applyAlignment="1">
      <alignment horizontal="centerContinuous"/>
    </xf>
    <xf numFmtId="0" fontId="8" fillId="0" borderId="21" xfId="0" applyFont="1" applyBorder="1"/>
    <xf numFmtId="0" fontId="16" fillId="0" borderId="28" xfId="0" applyFont="1" applyBorder="1"/>
    <xf numFmtId="0" fontId="19" fillId="0" borderId="0" xfId="0" applyFont="1" applyBorder="1" applyAlignment="1">
      <alignment horizontal="centerContinuous"/>
    </xf>
    <xf numFmtId="0" fontId="16" fillId="0" borderId="21" xfId="0" applyFont="1" applyBorder="1"/>
    <xf numFmtId="6" fontId="8" fillId="0" borderId="31" xfId="0" applyNumberFormat="1" applyFont="1" applyBorder="1" applyAlignment="1">
      <alignment horizontal="center"/>
    </xf>
    <xf numFmtId="0" fontId="1" fillId="0" borderId="0" xfId="0" applyFont="1" applyFill="1"/>
    <xf numFmtId="0" fontId="3" fillId="0" borderId="0" xfId="0" applyFont="1"/>
    <xf numFmtId="38" fontId="0" fillId="0" borderId="0" xfId="1" applyNumberFormat="1" applyFont="1"/>
    <xf numFmtId="0" fontId="0" fillId="0" borderId="35" xfId="0" applyBorder="1"/>
    <xf numFmtId="0" fontId="0" fillId="0" borderId="36" xfId="0" applyBorder="1"/>
    <xf numFmtId="0" fontId="3" fillId="0" borderId="37" xfId="0" applyFont="1" applyBorder="1"/>
    <xf numFmtId="0" fontId="3" fillId="0" borderId="18" xfId="0" applyFont="1" applyBorder="1"/>
    <xf numFmtId="0" fontId="0" fillId="0" borderId="33" xfId="0" applyBorder="1"/>
    <xf numFmtId="0" fontId="0" fillId="0" borderId="14" xfId="0" applyBorder="1"/>
    <xf numFmtId="38" fontId="0" fillId="3" borderId="43" xfId="1" applyNumberFormat="1" applyFont="1" applyFill="1" applyBorder="1"/>
    <xf numFmtId="38" fontId="1" fillId="3" borderId="18" xfId="1" applyNumberFormat="1" applyFont="1" applyFill="1" applyBorder="1"/>
    <xf numFmtId="38" fontId="1" fillId="2" borderId="18" xfId="1" applyNumberFormat="1" applyFont="1" applyFill="1" applyBorder="1"/>
    <xf numFmtId="38" fontId="1" fillId="13" borderId="18" xfId="1" applyNumberFormat="1" applyFont="1" applyFill="1" applyBorder="1"/>
    <xf numFmtId="0" fontId="0" fillId="0" borderId="38" xfId="0" applyBorder="1"/>
    <xf numFmtId="0" fontId="0" fillId="0" borderId="39" xfId="0" applyBorder="1"/>
    <xf numFmtId="38" fontId="3" fillId="0" borderId="40" xfId="1" applyNumberFormat="1" applyFont="1" applyBorder="1"/>
    <xf numFmtId="38" fontId="3" fillId="0" borderId="15" xfId="1" applyNumberFormat="1" applyFont="1" applyBorder="1"/>
    <xf numFmtId="4" fontId="10" fillId="6" borderId="0" xfId="0" applyNumberFormat="1" applyFont="1" applyFill="1"/>
    <xf numFmtId="4" fontId="11" fillId="6" borderId="0" xfId="0" quotePrefix="1" applyNumberFormat="1" applyFont="1" applyFill="1"/>
    <xf numFmtId="4" fontId="10" fillId="6" borderId="0" xfId="0" quotePrefix="1" applyNumberFormat="1" applyFont="1" applyFill="1"/>
    <xf numFmtId="4" fontId="11" fillId="2" borderId="0" xfId="0" quotePrefix="1" applyNumberFormat="1" applyFont="1" applyFill="1"/>
    <xf numFmtId="43" fontId="11" fillId="14" borderId="0" xfId="1" applyFont="1" applyFill="1"/>
    <xf numFmtId="43" fontId="11" fillId="5" borderId="0" xfId="1" applyNumberFormat="1" applyFont="1" applyFill="1"/>
    <xf numFmtId="164" fontId="8" fillId="0" borderId="2" xfId="1" applyNumberFormat="1" applyFont="1" applyFill="1" applyBorder="1" applyAlignment="1">
      <alignment wrapText="1"/>
    </xf>
    <xf numFmtId="164" fontId="8" fillId="0" borderId="85" xfId="1" applyNumberFormat="1" applyFont="1" applyBorder="1" applyAlignment="1">
      <alignment wrapText="1"/>
    </xf>
    <xf numFmtId="3" fontId="13" fillId="0" borderId="0" xfId="0" applyNumberFormat="1" applyFont="1"/>
    <xf numFmtId="3" fontId="12" fillId="0" borderId="0" xfId="0" applyNumberFormat="1" applyFont="1" applyAlignment="1">
      <alignment horizontal="center"/>
    </xf>
    <xf numFmtId="3" fontId="12" fillId="0" borderId="0" xfId="0" applyNumberFormat="1" applyFont="1" applyAlignment="1">
      <alignment horizontal="right"/>
    </xf>
    <xf numFmtId="3" fontId="12" fillId="0" borderId="20" xfId="0" applyNumberFormat="1" applyFont="1" applyBorder="1"/>
    <xf numFmtId="3" fontId="12" fillId="0" borderId="0" xfId="0" applyNumberFormat="1" applyFont="1"/>
    <xf numFmtId="3" fontId="15" fillId="0" borderId="6" xfId="0" applyNumberFormat="1" applyFont="1" applyBorder="1" applyAlignment="1">
      <alignment horizontal="right"/>
    </xf>
    <xf numFmtId="0" fontId="1" fillId="0" borderId="0" xfId="0" applyFont="1"/>
    <xf numFmtId="38" fontId="1" fillId="0" borderId="0" xfId="1" applyNumberFormat="1" applyAlignment="1">
      <alignment horizontal="centerContinuous"/>
    </xf>
    <xf numFmtId="38" fontId="31" fillId="0" borderId="0" xfId="1" applyNumberFormat="1" applyFont="1"/>
    <xf numFmtId="38" fontId="1" fillId="0" borderId="0" xfId="1" applyNumberFormat="1"/>
    <xf numFmtId="164" fontId="31" fillId="0" borderId="0" xfId="1" applyNumberFormat="1" applyFont="1"/>
    <xf numFmtId="38" fontId="1" fillId="0" borderId="0" xfId="1" applyNumberFormat="1" applyFont="1" applyBorder="1"/>
    <xf numFmtId="38" fontId="1" fillId="0" borderId="0" xfId="1" applyNumberFormat="1" applyBorder="1"/>
    <xf numFmtId="38" fontId="3" fillId="0" borderId="6" xfId="1" applyNumberFormat="1" applyFont="1" applyBorder="1"/>
    <xf numFmtId="38" fontId="3" fillId="0" borderId="0" xfId="1" applyNumberFormat="1" applyFont="1" applyBorder="1"/>
    <xf numFmtId="38" fontId="1" fillId="0" borderId="0" xfId="2" applyNumberFormat="1" applyAlignment="1">
      <alignment horizontal="center"/>
    </xf>
    <xf numFmtId="38" fontId="22" fillId="12" borderId="47" xfId="0" applyNumberFormat="1" applyFont="1" applyFill="1" applyBorder="1"/>
    <xf numFmtId="38" fontId="24" fillId="12" borderId="75" xfId="0" applyNumberFormat="1" applyFont="1" applyFill="1" applyBorder="1"/>
    <xf numFmtId="38" fontId="24" fillId="12" borderId="86" xfId="0" applyNumberFormat="1" applyFont="1" applyFill="1" applyBorder="1"/>
    <xf numFmtId="38" fontId="24" fillId="12" borderId="45" xfId="0" applyNumberFormat="1" applyFont="1" applyFill="1" applyBorder="1"/>
    <xf numFmtId="38" fontId="26" fillId="12" borderId="69" xfId="0" applyNumberFormat="1" applyFont="1" applyFill="1" applyBorder="1"/>
    <xf numFmtId="0" fontId="3" fillId="0" borderId="0" xfId="0" applyFont="1" applyFill="1" applyAlignment="1">
      <alignment horizontal="center"/>
    </xf>
    <xf numFmtId="0" fontId="31" fillId="0" borderId="0" xfId="0" applyFont="1"/>
    <xf numFmtId="38" fontId="35" fillId="0" borderId="19" xfId="1" applyNumberFormat="1" applyFont="1" applyBorder="1"/>
    <xf numFmtId="43" fontId="8" fillId="0" borderId="0" xfId="0" applyNumberFormat="1" applyFont="1" applyFill="1"/>
    <xf numFmtId="3" fontId="13" fillId="2" borderId="0" xfId="0" applyNumberFormat="1" applyFont="1" applyFill="1"/>
    <xf numFmtId="4" fontId="13" fillId="0" borderId="0" xfId="0" applyNumberFormat="1" applyFont="1"/>
    <xf numFmtId="4" fontId="13" fillId="0" borderId="0" xfId="2" applyNumberFormat="1" applyFont="1"/>
    <xf numFmtId="4" fontId="12" fillId="0" borderId="20" xfId="0" applyNumberFormat="1" applyFont="1" applyBorder="1"/>
    <xf numFmtId="4" fontId="14" fillId="0" borderId="0" xfId="0" applyNumberFormat="1" applyFont="1"/>
    <xf numFmtId="43" fontId="0" fillId="0" borderId="0" xfId="0" applyNumberFormat="1"/>
    <xf numFmtId="38" fontId="31" fillId="0" borderId="0" xfId="1" applyNumberFormat="1" applyFont="1" applyAlignment="1">
      <alignment horizontal="center"/>
    </xf>
    <xf numFmtId="4" fontId="36" fillId="0" borderId="0" xfId="0" applyNumberFormat="1" applyFont="1"/>
    <xf numFmtId="164" fontId="31" fillId="0" borderId="0" xfId="1" applyNumberFormat="1" applyFont="1" applyFill="1" applyBorder="1"/>
    <xf numFmtId="38" fontId="3" fillId="0" borderId="36" xfId="1" applyNumberFormat="1" applyFont="1" applyBorder="1" applyAlignment="1">
      <alignment horizontal="center"/>
    </xf>
    <xf numFmtId="38" fontId="3" fillId="0" borderId="42" xfId="1" applyNumberFormat="1" applyFont="1" applyBorder="1" applyAlignment="1">
      <alignment horizontal="center"/>
    </xf>
    <xf numFmtId="38" fontId="3" fillId="0" borderId="18" xfId="1" applyNumberFormat="1" applyFont="1" applyBorder="1" applyAlignment="1">
      <alignment horizontal="center"/>
    </xf>
    <xf numFmtId="38" fontId="3" fillId="0" borderId="87" xfId="1" applyNumberFormat="1" applyFont="1" applyBorder="1" applyAlignment="1">
      <alignment horizontal="center"/>
    </xf>
    <xf numFmtId="38" fontId="31" fillId="0" borderId="18" xfId="0" applyNumberFormat="1" applyFont="1" applyBorder="1"/>
    <xf numFmtId="0" fontId="0" fillId="0" borderId="16" xfId="0" applyBorder="1"/>
    <xf numFmtId="0" fontId="0" fillId="0" borderId="7" xfId="0" applyBorder="1"/>
    <xf numFmtId="38" fontId="0" fillId="3" borderId="7" xfId="1" applyNumberFormat="1" applyFont="1" applyFill="1" applyBorder="1"/>
    <xf numFmtId="38" fontId="1" fillId="3" borderId="7" xfId="1" applyNumberFormat="1" applyFont="1" applyFill="1" applyBorder="1"/>
    <xf numFmtId="38" fontId="1" fillId="2" borderId="7" xfId="1" applyNumberFormat="1" applyFont="1" applyFill="1" applyBorder="1"/>
    <xf numFmtId="38" fontId="1" fillId="13" borderId="7" xfId="1" applyNumberFormat="1" applyFont="1" applyFill="1" applyBorder="1"/>
    <xf numFmtId="38" fontId="31" fillId="0" borderId="7" xfId="0" applyNumberFormat="1" applyFont="1" applyBorder="1"/>
    <xf numFmtId="0" fontId="0" fillId="0" borderId="3" xfId="0" applyBorder="1"/>
    <xf numFmtId="0" fontId="0" fillId="0" borderId="1" xfId="0" applyBorder="1"/>
    <xf numFmtId="38" fontId="0" fillId="3" borderId="9" xfId="1" applyNumberFormat="1" applyFont="1" applyFill="1" applyBorder="1"/>
    <xf numFmtId="38" fontId="1" fillId="3" borderId="1" xfId="1" applyNumberFormat="1" applyFont="1" applyFill="1" applyBorder="1"/>
    <xf numFmtId="38" fontId="1" fillId="2" borderId="1" xfId="1" applyNumberFormat="1" applyFont="1" applyFill="1" applyBorder="1"/>
    <xf numFmtId="38" fontId="1" fillId="13" borderId="1" xfId="1" applyNumberFormat="1" applyFont="1" applyFill="1" applyBorder="1"/>
    <xf numFmtId="38" fontId="31" fillId="0" borderId="1" xfId="0" applyNumberFormat="1" applyFont="1" applyBorder="1"/>
    <xf numFmtId="38" fontId="1" fillId="3" borderId="9" xfId="1" applyNumberFormat="1" applyFont="1" applyFill="1" applyBorder="1"/>
    <xf numFmtId="0" fontId="0" fillId="0" borderId="88" xfId="0" applyBorder="1"/>
    <xf numFmtId="0" fontId="0" fillId="0" borderId="17" xfId="0" applyBorder="1"/>
    <xf numFmtId="38" fontId="0" fillId="3" borderId="89" xfId="1" applyNumberFormat="1" applyFont="1" applyFill="1" applyBorder="1"/>
    <xf numFmtId="38" fontId="1" fillId="3" borderId="17" xfId="1" applyNumberFormat="1" applyFont="1" applyFill="1" applyBorder="1"/>
    <xf numFmtId="38" fontId="1" fillId="2" borderId="17" xfId="1" applyNumberFormat="1" applyFont="1" applyFill="1" applyBorder="1"/>
    <xf numFmtId="38" fontId="1" fillId="13" borderId="17" xfId="1" applyNumberFormat="1" applyFont="1" applyFill="1" applyBorder="1"/>
    <xf numFmtId="38" fontId="31" fillId="0" borderId="17" xfId="0" applyNumberFormat="1" applyFont="1" applyBorder="1"/>
    <xf numFmtId="0" fontId="11" fillId="9" borderId="0" xfId="0" quotePrefix="1" applyFont="1" applyFill="1"/>
    <xf numFmtId="0" fontId="11" fillId="10" borderId="0" xfId="0" quotePrefix="1" applyFont="1" applyFill="1"/>
    <xf numFmtId="43" fontId="10" fillId="6" borderId="0" xfId="1" applyFont="1" applyFill="1"/>
    <xf numFmtId="0" fontId="37" fillId="0" borderId="0" xfId="0" applyFont="1"/>
    <xf numFmtId="43" fontId="37" fillId="4" borderId="0" xfId="1" applyFont="1" applyFill="1"/>
    <xf numFmtId="43" fontId="37" fillId="0" borderId="0" xfId="1" applyFont="1"/>
    <xf numFmtId="10" fontId="20" fillId="0" borderId="0" xfId="2" applyNumberFormat="1" applyFont="1" applyBorder="1"/>
    <xf numFmtId="10" fontId="27" fillId="0" borderId="0" xfId="2" applyNumberFormat="1" applyFont="1"/>
    <xf numFmtId="10" fontId="23" fillId="0" borderId="0" xfId="2" applyNumberFormat="1" applyFont="1"/>
    <xf numFmtId="38" fontId="8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1762125</xdr:colOff>
      <xdr:row>3</xdr:row>
      <xdr:rowOff>185737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4CFF9BA9-4372-4D69-AD0A-A35DD6012C25}"/>
                </a:ext>
              </a:extLst>
            </xdr:cNvPr>
            <xdr:cNvSpPr txBox="1"/>
          </xdr:nvSpPr>
          <xdr:spPr>
            <a:xfrm>
              <a:off x="7048500" y="814387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4CFF9BA9-4372-4D69-AD0A-A35DD6012C25}"/>
                </a:ext>
              </a:extLst>
            </xdr:cNvPr>
            <xdr:cNvSpPr txBox="1"/>
          </xdr:nvSpPr>
          <xdr:spPr>
            <a:xfrm>
              <a:off x="7048500" y="814387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5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5EC08C3A-7C45-4C24-95AC-E4FD041F2365}"/>
                </a:ext>
              </a:extLst>
            </xdr:cNvPr>
            <xdr:cNvSpPr txBox="1"/>
          </xdr:nvSpPr>
          <xdr:spPr>
            <a:xfrm>
              <a:off x="7077075" y="10477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5EC08C3A-7C45-4C24-95AC-E4FD041F2365}"/>
                </a:ext>
              </a:extLst>
            </xdr:cNvPr>
            <xdr:cNvSpPr txBox="1"/>
          </xdr:nvSpPr>
          <xdr:spPr>
            <a:xfrm>
              <a:off x="7077075" y="10477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6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A174742F-CDA1-4B69-842F-2AD80490A9E0}"/>
                </a:ext>
              </a:extLst>
            </xdr:cNvPr>
            <xdr:cNvSpPr txBox="1"/>
          </xdr:nvSpPr>
          <xdr:spPr>
            <a:xfrm>
              <a:off x="7077075" y="12573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A174742F-CDA1-4B69-842F-2AD80490A9E0}"/>
                </a:ext>
              </a:extLst>
            </xdr:cNvPr>
            <xdr:cNvSpPr txBox="1"/>
          </xdr:nvSpPr>
          <xdr:spPr>
            <a:xfrm>
              <a:off x="7077075" y="12573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7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13CC464B-7DB0-4EA2-8663-1136CE445727}"/>
                </a:ext>
              </a:extLst>
            </xdr:cNvPr>
            <xdr:cNvSpPr txBox="1"/>
          </xdr:nvSpPr>
          <xdr:spPr>
            <a:xfrm>
              <a:off x="7077075" y="14668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13CC464B-7DB0-4EA2-8663-1136CE445727}"/>
                </a:ext>
              </a:extLst>
            </xdr:cNvPr>
            <xdr:cNvSpPr txBox="1"/>
          </xdr:nvSpPr>
          <xdr:spPr>
            <a:xfrm>
              <a:off x="7077075" y="14668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8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D89C7E58-28EC-40D0-B9C4-F376536F67AC}"/>
                </a:ext>
              </a:extLst>
            </xdr:cNvPr>
            <xdr:cNvSpPr txBox="1"/>
          </xdr:nvSpPr>
          <xdr:spPr>
            <a:xfrm>
              <a:off x="7077075" y="16764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D89C7E58-28EC-40D0-B9C4-F376536F67AC}"/>
                </a:ext>
              </a:extLst>
            </xdr:cNvPr>
            <xdr:cNvSpPr txBox="1"/>
          </xdr:nvSpPr>
          <xdr:spPr>
            <a:xfrm>
              <a:off x="7077075" y="16764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9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3A781795-A947-431F-9A6D-A1DA01B34BAC}"/>
                </a:ext>
              </a:extLst>
            </xdr:cNvPr>
            <xdr:cNvSpPr txBox="1"/>
          </xdr:nvSpPr>
          <xdr:spPr>
            <a:xfrm>
              <a:off x="7077075" y="18859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3A781795-A947-431F-9A6D-A1DA01B34BAC}"/>
                </a:ext>
              </a:extLst>
            </xdr:cNvPr>
            <xdr:cNvSpPr txBox="1"/>
          </xdr:nvSpPr>
          <xdr:spPr>
            <a:xfrm>
              <a:off x="7077075" y="18859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10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273A7A0A-710A-4CE8-8810-F9ECDBC565ED}"/>
                </a:ext>
              </a:extLst>
            </xdr:cNvPr>
            <xdr:cNvSpPr txBox="1"/>
          </xdr:nvSpPr>
          <xdr:spPr>
            <a:xfrm>
              <a:off x="7077075" y="20955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273A7A0A-710A-4CE8-8810-F9ECDBC565ED}"/>
                </a:ext>
              </a:extLst>
            </xdr:cNvPr>
            <xdr:cNvSpPr txBox="1"/>
          </xdr:nvSpPr>
          <xdr:spPr>
            <a:xfrm>
              <a:off x="7077075" y="20955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11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D2D126D3-5BBC-492E-9F6A-CBCE9A9554F6}"/>
                </a:ext>
              </a:extLst>
            </xdr:cNvPr>
            <xdr:cNvSpPr txBox="1"/>
          </xdr:nvSpPr>
          <xdr:spPr>
            <a:xfrm>
              <a:off x="7077075" y="23050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D2D126D3-5BBC-492E-9F6A-CBCE9A9554F6}"/>
                </a:ext>
              </a:extLst>
            </xdr:cNvPr>
            <xdr:cNvSpPr txBox="1"/>
          </xdr:nvSpPr>
          <xdr:spPr>
            <a:xfrm>
              <a:off x="7077075" y="23050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3</xdr:col>
      <xdr:colOff>1781175</xdr:colOff>
      <xdr:row>18</xdr:row>
      <xdr:rowOff>180975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5A7FF129-992B-4C52-8693-4E2B58833BE5}"/>
                </a:ext>
              </a:extLst>
            </xdr:cNvPr>
            <xdr:cNvSpPr txBox="1"/>
          </xdr:nvSpPr>
          <xdr:spPr>
            <a:xfrm>
              <a:off x="7067550" y="3952875"/>
              <a:ext cx="409575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endParaRPr lang="en-US" sz="1100"/>
            </a:p>
          </xdr:txBody>
        </xdr:sp>
      </mc:Choice>
      <mc:Fallback xmlns=""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5A7FF129-992B-4C52-8693-4E2B58833BE5}"/>
                </a:ext>
              </a:extLst>
            </xdr:cNvPr>
            <xdr:cNvSpPr txBox="1"/>
          </xdr:nvSpPr>
          <xdr:spPr>
            <a:xfrm>
              <a:off x="7067550" y="3952875"/>
              <a:ext cx="409575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13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DB13C54E-8DAA-44D5-9C31-D3113367D987}"/>
                </a:ext>
              </a:extLst>
            </xdr:cNvPr>
            <xdr:cNvSpPr txBox="1"/>
          </xdr:nvSpPr>
          <xdr:spPr>
            <a:xfrm>
              <a:off x="7077075" y="27241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DB13C54E-8DAA-44D5-9C31-D3113367D987}"/>
                </a:ext>
              </a:extLst>
            </xdr:cNvPr>
            <xdr:cNvSpPr txBox="1"/>
          </xdr:nvSpPr>
          <xdr:spPr>
            <a:xfrm>
              <a:off x="7077075" y="27241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15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8529EC92-846E-4973-A3EF-57CA87BB8667}"/>
                </a:ext>
              </a:extLst>
            </xdr:cNvPr>
            <xdr:cNvSpPr txBox="1"/>
          </xdr:nvSpPr>
          <xdr:spPr>
            <a:xfrm>
              <a:off x="7077075" y="31432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8529EC92-846E-4973-A3EF-57CA87BB8667}"/>
                </a:ext>
              </a:extLst>
            </xdr:cNvPr>
            <xdr:cNvSpPr txBox="1"/>
          </xdr:nvSpPr>
          <xdr:spPr>
            <a:xfrm>
              <a:off x="7077075" y="31432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12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DFB93019-6E08-4130-8412-6DB7FCFF8500}"/>
                </a:ext>
              </a:extLst>
            </xdr:cNvPr>
            <xdr:cNvSpPr txBox="1"/>
          </xdr:nvSpPr>
          <xdr:spPr>
            <a:xfrm>
              <a:off x="7077075" y="251460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DFB93019-6E08-4130-8412-6DB7FCFF8500}"/>
                </a:ext>
              </a:extLst>
            </xdr:cNvPr>
            <xdr:cNvSpPr txBox="1"/>
          </xdr:nvSpPr>
          <xdr:spPr>
            <a:xfrm>
              <a:off x="7077075" y="251460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14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21BB2576-BA39-43F0-A51F-3CBA68355CDE}"/>
                </a:ext>
              </a:extLst>
            </xdr:cNvPr>
            <xdr:cNvSpPr txBox="1"/>
          </xdr:nvSpPr>
          <xdr:spPr>
            <a:xfrm>
              <a:off x="7077075" y="2933700"/>
              <a:ext cx="476250" cy="24288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21BB2576-BA39-43F0-A51F-3CBA68355CDE}"/>
                </a:ext>
              </a:extLst>
            </xdr:cNvPr>
            <xdr:cNvSpPr txBox="1"/>
          </xdr:nvSpPr>
          <xdr:spPr>
            <a:xfrm>
              <a:off x="7077075" y="2933700"/>
              <a:ext cx="476250" cy="24288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20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A148C349-811B-4F30-881E-3C81B225F5CA}"/>
                </a:ext>
              </a:extLst>
            </xdr:cNvPr>
            <xdr:cNvSpPr txBox="1"/>
          </xdr:nvSpPr>
          <xdr:spPr>
            <a:xfrm>
              <a:off x="7077075" y="419100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A148C349-811B-4F30-881E-3C81B225F5CA}"/>
                </a:ext>
              </a:extLst>
            </xdr:cNvPr>
            <xdr:cNvSpPr txBox="1"/>
          </xdr:nvSpPr>
          <xdr:spPr>
            <a:xfrm>
              <a:off x="7077075" y="419100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  <xdr:twoCellAnchor>
    <xdr:from>
      <xdr:col>3</xdr:col>
      <xdr:colOff>1238250</xdr:colOff>
      <xdr:row>24</xdr:row>
      <xdr:rowOff>333375</xdr:rowOff>
    </xdr:from>
    <xdr:to>
      <xdr:col>3</xdr:col>
      <xdr:colOff>1333500</xdr:colOff>
      <xdr:row>24</xdr:row>
      <xdr:rowOff>438150</xdr:rowOff>
    </xdr:to>
    <xdr:sp macro="" textlink="">
      <xdr:nvSpPr>
        <xdr:cNvPr id="32" name="Isosceles Triangle 31">
          <a:extLst>
            <a:ext uri="{FF2B5EF4-FFF2-40B4-BE49-F238E27FC236}">
              <a16:creationId xmlns:a16="http://schemas.microsoft.com/office/drawing/2014/main" id="{681F9CF1-D414-4A14-9B12-EB629BA72B55}"/>
            </a:ext>
          </a:extLst>
        </xdr:cNvPr>
        <xdr:cNvSpPr/>
      </xdr:nvSpPr>
      <xdr:spPr>
        <a:xfrm>
          <a:off x="6419850" y="4286250"/>
          <a:ext cx="95250" cy="10477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oneCellAnchor>
    <xdr:from>
      <xdr:col>3</xdr:col>
      <xdr:colOff>1762125</xdr:colOff>
      <xdr:row>3</xdr:row>
      <xdr:rowOff>185737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60EBBEF5-E13D-4A19-B364-3ED5606FD49B}"/>
                </a:ext>
              </a:extLst>
            </xdr:cNvPr>
            <xdr:cNvSpPr txBox="1"/>
          </xdr:nvSpPr>
          <xdr:spPr>
            <a:xfrm>
              <a:off x="6924675" y="814387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4" name="TextBox 33">
              <a:extLst>
                <a:ext uri="{FF2B5EF4-FFF2-40B4-BE49-F238E27FC236}">
                  <a16:creationId xmlns:a16="http://schemas.microsoft.com/office/drawing/2014/main" id="{60EBBEF5-E13D-4A19-B364-3ED5606FD49B}"/>
                </a:ext>
              </a:extLst>
            </xdr:cNvPr>
            <xdr:cNvSpPr txBox="1"/>
          </xdr:nvSpPr>
          <xdr:spPr>
            <a:xfrm>
              <a:off x="6924675" y="814387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5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4B034384-4653-4D00-ABA5-2C1DEF241F62}"/>
                </a:ext>
              </a:extLst>
            </xdr:cNvPr>
            <xdr:cNvSpPr txBox="1"/>
          </xdr:nvSpPr>
          <xdr:spPr>
            <a:xfrm>
              <a:off x="6924675" y="10477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4B034384-4653-4D00-ABA5-2C1DEF241F62}"/>
                </a:ext>
              </a:extLst>
            </xdr:cNvPr>
            <xdr:cNvSpPr txBox="1"/>
          </xdr:nvSpPr>
          <xdr:spPr>
            <a:xfrm>
              <a:off x="6924675" y="10477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6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9E55C88B-CBE5-48FA-97F0-9EB196A6C6A3}"/>
                </a:ext>
              </a:extLst>
            </xdr:cNvPr>
            <xdr:cNvSpPr txBox="1"/>
          </xdr:nvSpPr>
          <xdr:spPr>
            <a:xfrm>
              <a:off x="6924675" y="12573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9E55C88B-CBE5-48FA-97F0-9EB196A6C6A3}"/>
                </a:ext>
              </a:extLst>
            </xdr:cNvPr>
            <xdr:cNvSpPr txBox="1"/>
          </xdr:nvSpPr>
          <xdr:spPr>
            <a:xfrm>
              <a:off x="6924675" y="12573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7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CE339516-88D0-4D4C-A853-12C32EF2B915}"/>
                </a:ext>
              </a:extLst>
            </xdr:cNvPr>
            <xdr:cNvSpPr txBox="1"/>
          </xdr:nvSpPr>
          <xdr:spPr>
            <a:xfrm>
              <a:off x="6924675" y="14668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CE339516-88D0-4D4C-A853-12C32EF2B915}"/>
                </a:ext>
              </a:extLst>
            </xdr:cNvPr>
            <xdr:cNvSpPr txBox="1"/>
          </xdr:nvSpPr>
          <xdr:spPr>
            <a:xfrm>
              <a:off x="6924675" y="14668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8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806DA5D1-38B8-4AB3-8020-E8025B78FF3A}"/>
                </a:ext>
              </a:extLst>
            </xdr:cNvPr>
            <xdr:cNvSpPr txBox="1"/>
          </xdr:nvSpPr>
          <xdr:spPr>
            <a:xfrm>
              <a:off x="6924675" y="16764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8" name="TextBox 37">
              <a:extLst>
                <a:ext uri="{FF2B5EF4-FFF2-40B4-BE49-F238E27FC236}">
                  <a16:creationId xmlns:a16="http://schemas.microsoft.com/office/drawing/2014/main" id="{806DA5D1-38B8-4AB3-8020-E8025B78FF3A}"/>
                </a:ext>
              </a:extLst>
            </xdr:cNvPr>
            <xdr:cNvSpPr txBox="1"/>
          </xdr:nvSpPr>
          <xdr:spPr>
            <a:xfrm>
              <a:off x="6924675" y="16764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9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9" name="TextBox 38">
              <a:extLst>
                <a:ext uri="{FF2B5EF4-FFF2-40B4-BE49-F238E27FC236}">
                  <a16:creationId xmlns:a16="http://schemas.microsoft.com/office/drawing/2014/main" id="{A800BD77-E391-4141-BED7-B155237FF1BE}"/>
                </a:ext>
              </a:extLst>
            </xdr:cNvPr>
            <xdr:cNvSpPr txBox="1"/>
          </xdr:nvSpPr>
          <xdr:spPr>
            <a:xfrm>
              <a:off x="6924675" y="18859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39" name="TextBox 38">
              <a:extLst>
                <a:ext uri="{FF2B5EF4-FFF2-40B4-BE49-F238E27FC236}">
                  <a16:creationId xmlns:a16="http://schemas.microsoft.com/office/drawing/2014/main" id="{A800BD77-E391-4141-BED7-B155237FF1BE}"/>
                </a:ext>
              </a:extLst>
            </xdr:cNvPr>
            <xdr:cNvSpPr txBox="1"/>
          </xdr:nvSpPr>
          <xdr:spPr>
            <a:xfrm>
              <a:off x="6924675" y="18859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10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61A7A64A-86BB-4B79-B800-965AECF1C000}"/>
                </a:ext>
              </a:extLst>
            </xdr:cNvPr>
            <xdr:cNvSpPr txBox="1"/>
          </xdr:nvSpPr>
          <xdr:spPr>
            <a:xfrm>
              <a:off x="6924675" y="20955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0" name="TextBox 39">
              <a:extLst>
                <a:ext uri="{FF2B5EF4-FFF2-40B4-BE49-F238E27FC236}">
                  <a16:creationId xmlns:a16="http://schemas.microsoft.com/office/drawing/2014/main" id="{61A7A64A-86BB-4B79-B800-965AECF1C000}"/>
                </a:ext>
              </a:extLst>
            </xdr:cNvPr>
            <xdr:cNvSpPr txBox="1"/>
          </xdr:nvSpPr>
          <xdr:spPr>
            <a:xfrm>
              <a:off x="6924675" y="20955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11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1" name="TextBox 40">
              <a:extLst>
                <a:ext uri="{FF2B5EF4-FFF2-40B4-BE49-F238E27FC236}">
                  <a16:creationId xmlns:a16="http://schemas.microsoft.com/office/drawing/2014/main" id="{A29D68E8-B37F-4CDE-9CCD-3849F4BAE9FC}"/>
                </a:ext>
              </a:extLst>
            </xdr:cNvPr>
            <xdr:cNvSpPr txBox="1"/>
          </xdr:nvSpPr>
          <xdr:spPr>
            <a:xfrm>
              <a:off x="6924675" y="23050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41" name="TextBox 40">
              <a:extLst>
                <a:ext uri="{FF2B5EF4-FFF2-40B4-BE49-F238E27FC236}">
                  <a16:creationId xmlns:a16="http://schemas.microsoft.com/office/drawing/2014/main" id="{A29D68E8-B37F-4CDE-9CCD-3849F4BAE9FC}"/>
                </a:ext>
              </a:extLst>
            </xdr:cNvPr>
            <xdr:cNvSpPr txBox="1"/>
          </xdr:nvSpPr>
          <xdr:spPr>
            <a:xfrm>
              <a:off x="6924675" y="23050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19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5946C70E-C957-49BA-B123-2C1C5C70F422}"/>
                </a:ext>
              </a:extLst>
            </xdr:cNvPr>
            <xdr:cNvSpPr txBox="1"/>
          </xdr:nvSpPr>
          <xdr:spPr>
            <a:xfrm>
              <a:off x="6924675" y="3143250"/>
              <a:ext cx="409575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endParaRPr lang="en-US" sz="1100"/>
            </a:p>
          </xdr:txBody>
        </xdr:sp>
      </mc:Choice>
      <mc:Fallback xmlns=""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5946C70E-C957-49BA-B123-2C1C5C70F422}"/>
                </a:ext>
              </a:extLst>
            </xdr:cNvPr>
            <xdr:cNvSpPr txBox="1"/>
          </xdr:nvSpPr>
          <xdr:spPr>
            <a:xfrm>
              <a:off x="6924675" y="3143250"/>
              <a:ext cx="409575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13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3" name="TextBox 42">
              <a:extLst>
                <a:ext uri="{FF2B5EF4-FFF2-40B4-BE49-F238E27FC236}">
                  <a16:creationId xmlns:a16="http://schemas.microsoft.com/office/drawing/2014/main" id="{BE24F537-8B94-4FDF-B717-1713DDF76584}"/>
                </a:ext>
              </a:extLst>
            </xdr:cNvPr>
            <xdr:cNvSpPr txBox="1"/>
          </xdr:nvSpPr>
          <xdr:spPr>
            <a:xfrm>
              <a:off x="6924675" y="27241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43" name="TextBox 42">
              <a:extLst>
                <a:ext uri="{FF2B5EF4-FFF2-40B4-BE49-F238E27FC236}">
                  <a16:creationId xmlns:a16="http://schemas.microsoft.com/office/drawing/2014/main" id="{BE24F537-8B94-4FDF-B717-1713DDF76584}"/>
                </a:ext>
              </a:extLst>
            </xdr:cNvPr>
            <xdr:cNvSpPr txBox="1"/>
          </xdr:nvSpPr>
          <xdr:spPr>
            <a:xfrm>
              <a:off x="6924675" y="27241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15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4" name="TextBox 43">
              <a:extLst>
                <a:ext uri="{FF2B5EF4-FFF2-40B4-BE49-F238E27FC236}">
                  <a16:creationId xmlns:a16="http://schemas.microsoft.com/office/drawing/2014/main" id="{7062EBA4-6A54-4A00-801D-0645F2893C3B}"/>
                </a:ext>
              </a:extLst>
            </xdr:cNvPr>
            <xdr:cNvSpPr txBox="1"/>
          </xdr:nvSpPr>
          <xdr:spPr>
            <a:xfrm>
              <a:off x="6924675" y="31432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44" name="TextBox 43">
              <a:extLst>
                <a:ext uri="{FF2B5EF4-FFF2-40B4-BE49-F238E27FC236}">
                  <a16:creationId xmlns:a16="http://schemas.microsoft.com/office/drawing/2014/main" id="{7062EBA4-6A54-4A00-801D-0645F2893C3B}"/>
                </a:ext>
              </a:extLst>
            </xdr:cNvPr>
            <xdr:cNvSpPr txBox="1"/>
          </xdr:nvSpPr>
          <xdr:spPr>
            <a:xfrm>
              <a:off x="6924675" y="31432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12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B44800DF-06C7-4395-B2E8-8C324ED82E14}"/>
                </a:ext>
              </a:extLst>
            </xdr:cNvPr>
            <xdr:cNvSpPr txBox="1"/>
          </xdr:nvSpPr>
          <xdr:spPr>
            <a:xfrm>
              <a:off x="6924675" y="251460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B44800DF-06C7-4395-B2E8-8C324ED82E14}"/>
                </a:ext>
              </a:extLst>
            </xdr:cNvPr>
            <xdr:cNvSpPr txBox="1"/>
          </xdr:nvSpPr>
          <xdr:spPr>
            <a:xfrm>
              <a:off x="6924675" y="251460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14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1D91F721-DC7D-40E7-86FD-B1C50A6B32D2}"/>
                </a:ext>
              </a:extLst>
            </xdr:cNvPr>
            <xdr:cNvSpPr txBox="1"/>
          </xdr:nvSpPr>
          <xdr:spPr>
            <a:xfrm>
              <a:off x="6924675" y="2933700"/>
              <a:ext cx="476250" cy="24288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1D91F721-DC7D-40E7-86FD-B1C50A6B32D2}"/>
                </a:ext>
              </a:extLst>
            </xdr:cNvPr>
            <xdr:cNvSpPr txBox="1"/>
          </xdr:nvSpPr>
          <xdr:spPr>
            <a:xfrm>
              <a:off x="6924675" y="2933700"/>
              <a:ext cx="476250" cy="24288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20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E20FB860-7BCD-4336-A360-BCF9BBD6930E}"/>
                </a:ext>
              </a:extLst>
            </xdr:cNvPr>
            <xdr:cNvSpPr txBox="1"/>
          </xdr:nvSpPr>
          <xdr:spPr>
            <a:xfrm>
              <a:off x="6924675" y="3305175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E20FB860-7BCD-4336-A360-BCF9BBD6930E}"/>
                </a:ext>
              </a:extLst>
            </xdr:cNvPr>
            <xdr:cNvSpPr txBox="1"/>
          </xdr:nvSpPr>
          <xdr:spPr>
            <a:xfrm>
              <a:off x="6924675" y="3305175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  <xdr:twoCellAnchor>
    <xdr:from>
      <xdr:col>2</xdr:col>
      <xdr:colOff>819150</xdr:colOff>
      <xdr:row>24</xdr:row>
      <xdr:rowOff>342900</xdr:rowOff>
    </xdr:from>
    <xdr:to>
      <xdr:col>2</xdr:col>
      <xdr:colOff>914400</xdr:colOff>
      <xdr:row>24</xdr:row>
      <xdr:rowOff>447675</xdr:rowOff>
    </xdr:to>
    <xdr:sp macro="" textlink="">
      <xdr:nvSpPr>
        <xdr:cNvPr id="49" name="Isosceles Triangle 48">
          <a:extLst>
            <a:ext uri="{FF2B5EF4-FFF2-40B4-BE49-F238E27FC236}">
              <a16:creationId xmlns:a16="http://schemas.microsoft.com/office/drawing/2014/main" id="{68D21EED-F79B-4DDA-8AF4-1D7AC41D2767}"/>
            </a:ext>
          </a:extLst>
        </xdr:cNvPr>
        <xdr:cNvSpPr/>
      </xdr:nvSpPr>
      <xdr:spPr>
        <a:xfrm>
          <a:off x="4676775" y="4295775"/>
          <a:ext cx="95250" cy="10477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oneCellAnchor>
    <xdr:from>
      <xdr:col>3</xdr:col>
      <xdr:colOff>1762125</xdr:colOff>
      <xdr:row>3</xdr:row>
      <xdr:rowOff>185737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4" name="TextBox 63">
              <a:extLst>
                <a:ext uri="{FF2B5EF4-FFF2-40B4-BE49-F238E27FC236}">
                  <a16:creationId xmlns:a16="http://schemas.microsoft.com/office/drawing/2014/main" id="{4E79429A-E448-48FD-99A7-2A29BCBE0579}"/>
                </a:ext>
              </a:extLst>
            </xdr:cNvPr>
            <xdr:cNvSpPr txBox="1"/>
          </xdr:nvSpPr>
          <xdr:spPr>
            <a:xfrm>
              <a:off x="6934200" y="814387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4" name="TextBox 63">
              <a:extLst>
                <a:ext uri="{FF2B5EF4-FFF2-40B4-BE49-F238E27FC236}">
                  <a16:creationId xmlns:a16="http://schemas.microsoft.com/office/drawing/2014/main" id="{4E79429A-E448-48FD-99A7-2A29BCBE0579}"/>
                </a:ext>
              </a:extLst>
            </xdr:cNvPr>
            <xdr:cNvSpPr txBox="1"/>
          </xdr:nvSpPr>
          <xdr:spPr>
            <a:xfrm>
              <a:off x="6934200" y="814387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5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5" name="TextBox 64">
              <a:extLst>
                <a:ext uri="{FF2B5EF4-FFF2-40B4-BE49-F238E27FC236}">
                  <a16:creationId xmlns:a16="http://schemas.microsoft.com/office/drawing/2014/main" id="{D7EA572C-2F07-4E68-8CD2-AD8C76A21606}"/>
                </a:ext>
              </a:extLst>
            </xdr:cNvPr>
            <xdr:cNvSpPr txBox="1"/>
          </xdr:nvSpPr>
          <xdr:spPr>
            <a:xfrm>
              <a:off x="6934200" y="10477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5" name="TextBox 64">
              <a:extLst>
                <a:ext uri="{FF2B5EF4-FFF2-40B4-BE49-F238E27FC236}">
                  <a16:creationId xmlns:a16="http://schemas.microsoft.com/office/drawing/2014/main" id="{D7EA572C-2F07-4E68-8CD2-AD8C76A21606}"/>
                </a:ext>
              </a:extLst>
            </xdr:cNvPr>
            <xdr:cNvSpPr txBox="1"/>
          </xdr:nvSpPr>
          <xdr:spPr>
            <a:xfrm>
              <a:off x="6934200" y="10477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6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0F82071E-4172-4872-ADFF-1EFAD4DF4F8E}"/>
                </a:ext>
              </a:extLst>
            </xdr:cNvPr>
            <xdr:cNvSpPr txBox="1"/>
          </xdr:nvSpPr>
          <xdr:spPr>
            <a:xfrm>
              <a:off x="6934200" y="12573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6" name="TextBox 65">
              <a:extLst>
                <a:ext uri="{FF2B5EF4-FFF2-40B4-BE49-F238E27FC236}">
                  <a16:creationId xmlns:a16="http://schemas.microsoft.com/office/drawing/2014/main" id="{0F82071E-4172-4872-ADFF-1EFAD4DF4F8E}"/>
                </a:ext>
              </a:extLst>
            </xdr:cNvPr>
            <xdr:cNvSpPr txBox="1"/>
          </xdr:nvSpPr>
          <xdr:spPr>
            <a:xfrm>
              <a:off x="6934200" y="12573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7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7" name="TextBox 66">
              <a:extLst>
                <a:ext uri="{FF2B5EF4-FFF2-40B4-BE49-F238E27FC236}">
                  <a16:creationId xmlns:a16="http://schemas.microsoft.com/office/drawing/2014/main" id="{2B115073-84E1-42F2-BEDD-A1DCB965D47D}"/>
                </a:ext>
              </a:extLst>
            </xdr:cNvPr>
            <xdr:cNvSpPr txBox="1"/>
          </xdr:nvSpPr>
          <xdr:spPr>
            <a:xfrm>
              <a:off x="6934200" y="14668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7" name="TextBox 66">
              <a:extLst>
                <a:ext uri="{FF2B5EF4-FFF2-40B4-BE49-F238E27FC236}">
                  <a16:creationId xmlns:a16="http://schemas.microsoft.com/office/drawing/2014/main" id="{2B115073-84E1-42F2-BEDD-A1DCB965D47D}"/>
                </a:ext>
              </a:extLst>
            </xdr:cNvPr>
            <xdr:cNvSpPr txBox="1"/>
          </xdr:nvSpPr>
          <xdr:spPr>
            <a:xfrm>
              <a:off x="6934200" y="14668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8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27EFAA0E-A61F-4F52-B588-FC4E60A8E87C}"/>
                </a:ext>
              </a:extLst>
            </xdr:cNvPr>
            <xdr:cNvSpPr txBox="1"/>
          </xdr:nvSpPr>
          <xdr:spPr>
            <a:xfrm>
              <a:off x="6934200" y="16764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8" name="TextBox 67">
              <a:extLst>
                <a:ext uri="{FF2B5EF4-FFF2-40B4-BE49-F238E27FC236}">
                  <a16:creationId xmlns:a16="http://schemas.microsoft.com/office/drawing/2014/main" id="{27EFAA0E-A61F-4F52-B588-FC4E60A8E87C}"/>
                </a:ext>
              </a:extLst>
            </xdr:cNvPr>
            <xdr:cNvSpPr txBox="1"/>
          </xdr:nvSpPr>
          <xdr:spPr>
            <a:xfrm>
              <a:off x="6934200" y="16764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9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9" name="TextBox 68">
              <a:extLst>
                <a:ext uri="{FF2B5EF4-FFF2-40B4-BE49-F238E27FC236}">
                  <a16:creationId xmlns:a16="http://schemas.microsoft.com/office/drawing/2014/main" id="{64ACA624-9CBF-4D8B-A6A0-82CDC38DBB7C}"/>
                </a:ext>
              </a:extLst>
            </xdr:cNvPr>
            <xdr:cNvSpPr txBox="1"/>
          </xdr:nvSpPr>
          <xdr:spPr>
            <a:xfrm>
              <a:off x="6934200" y="18859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69" name="TextBox 68">
              <a:extLst>
                <a:ext uri="{FF2B5EF4-FFF2-40B4-BE49-F238E27FC236}">
                  <a16:creationId xmlns:a16="http://schemas.microsoft.com/office/drawing/2014/main" id="{64ACA624-9CBF-4D8B-A6A0-82CDC38DBB7C}"/>
                </a:ext>
              </a:extLst>
            </xdr:cNvPr>
            <xdr:cNvSpPr txBox="1"/>
          </xdr:nvSpPr>
          <xdr:spPr>
            <a:xfrm>
              <a:off x="6934200" y="18859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10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0" name="TextBox 69">
              <a:extLst>
                <a:ext uri="{FF2B5EF4-FFF2-40B4-BE49-F238E27FC236}">
                  <a16:creationId xmlns:a16="http://schemas.microsoft.com/office/drawing/2014/main" id="{400B61C3-8F08-4927-8698-4CBBB21D473E}"/>
                </a:ext>
              </a:extLst>
            </xdr:cNvPr>
            <xdr:cNvSpPr txBox="1"/>
          </xdr:nvSpPr>
          <xdr:spPr>
            <a:xfrm>
              <a:off x="6934200" y="20955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0" name="TextBox 69">
              <a:extLst>
                <a:ext uri="{FF2B5EF4-FFF2-40B4-BE49-F238E27FC236}">
                  <a16:creationId xmlns:a16="http://schemas.microsoft.com/office/drawing/2014/main" id="{400B61C3-8F08-4927-8698-4CBBB21D473E}"/>
                </a:ext>
              </a:extLst>
            </xdr:cNvPr>
            <xdr:cNvSpPr txBox="1"/>
          </xdr:nvSpPr>
          <xdr:spPr>
            <a:xfrm>
              <a:off x="6934200" y="209550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11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1" name="TextBox 70">
              <a:extLst>
                <a:ext uri="{FF2B5EF4-FFF2-40B4-BE49-F238E27FC236}">
                  <a16:creationId xmlns:a16="http://schemas.microsoft.com/office/drawing/2014/main" id="{2028BDA5-EE69-4A64-9A5E-5F60D6A3CE76}"/>
                </a:ext>
              </a:extLst>
            </xdr:cNvPr>
            <xdr:cNvSpPr txBox="1"/>
          </xdr:nvSpPr>
          <xdr:spPr>
            <a:xfrm>
              <a:off x="6934200" y="23050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n-US" sz="1100" i="1">
                        <a:latin typeface="Cambria Math"/>
                        <a:ea typeface="Cambria Math"/>
                      </a:rPr>
                      <m:t>√</m:t>
                    </m:r>
                  </m:oMath>
                </m:oMathPara>
              </a14:m>
              <a:endParaRPr lang="en-US" sz="1100"/>
            </a:p>
          </xdr:txBody>
        </xdr:sp>
      </mc:Choice>
      <mc:Fallback xmlns="">
        <xdr:sp macro="" textlink="">
          <xdr:nvSpPr>
            <xdr:cNvPr id="71" name="TextBox 70">
              <a:extLst>
                <a:ext uri="{FF2B5EF4-FFF2-40B4-BE49-F238E27FC236}">
                  <a16:creationId xmlns:a16="http://schemas.microsoft.com/office/drawing/2014/main" id="{2028BDA5-EE69-4A64-9A5E-5F60D6A3CE76}"/>
                </a:ext>
              </a:extLst>
            </xdr:cNvPr>
            <xdr:cNvSpPr txBox="1"/>
          </xdr:nvSpPr>
          <xdr:spPr>
            <a:xfrm>
              <a:off x="6934200" y="2305050"/>
              <a:ext cx="476250" cy="242888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pPr/>
              <a:r>
                <a:rPr lang="en-US" sz="1100" i="0">
                  <a:latin typeface="Cambria Math"/>
                  <a:ea typeface="Cambria Math"/>
                </a:rPr>
                <a:t>√</a:t>
              </a:r>
              <a:endParaRPr lang="en-US" sz="1100"/>
            </a:p>
          </xdr:txBody>
        </xdr:sp>
      </mc:Fallback>
    </mc:AlternateContent>
    <xdr:clientData/>
  </xdr:oneCellAnchor>
  <xdr:oneCellAnchor>
    <xdr:from>
      <xdr:col>3</xdr:col>
      <xdr:colOff>1781175</xdr:colOff>
      <xdr:row>18</xdr:row>
      <xdr:rowOff>180975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2" name="TextBox 71">
              <a:extLst>
                <a:ext uri="{FF2B5EF4-FFF2-40B4-BE49-F238E27FC236}">
                  <a16:creationId xmlns:a16="http://schemas.microsoft.com/office/drawing/2014/main" id="{A5CBF604-FEE2-4AC2-A0D9-E873F62747A5}"/>
                </a:ext>
              </a:extLst>
            </xdr:cNvPr>
            <xdr:cNvSpPr txBox="1"/>
          </xdr:nvSpPr>
          <xdr:spPr>
            <a:xfrm>
              <a:off x="6934200" y="3952875"/>
              <a:ext cx="409575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endParaRPr lang="en-US" sz="1100"/>
            </a:p>
          </xdr:txBody>
        </xdr:sp>
      </mc:Choice>
      <mc:Fallback xmlns="">
        <xdr:sp macro="" textlink="">
          <xdr:nvSpPr>
            <xdr:cNvPr id="72" name="TextBox 71">
              <a:extLst>
                <a:ext uri="{FF2B5EF4-FFF2-40B4-BE49-F238E27FC236}">
                  <a16:creationId xmlns:a16="http://schemas.microsoft.com/office/drawing/2014/main" id="{A5CBF604-FEE2-4AC2-A0D9-E873F62747A5}"/>
                </a:ext>
              </a:extLst>
            </xdr:cNvPr>
            <xdr:cNvSpPr txBox="1"/>
          </xdr:nvSpPr>
          <xdr:spPr>
            <a:xfrm>
              <a:off x="6934200" y="3952875"/>
              <a:ext cx="409575" cy="2667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  <a:p>
              <a:endParaRPr lang="en-US" sz="1100"/>
            </a:p>
          </xdr:txBody>
        </xdr:sp>
      </mc:Fallback>
    </mc:AlternateContent>
    <xdr:clientData/>
  </xdr:oneCellAnchor>
  <xdr:oneCellAnchor>
    <xdr:from>
      <xdr:col>4</xdr:col>
      <xdr:colOff>0</xdr:colOff>
      <xdr:row>13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3" name="TextBox 72">
              <a:extLst>
                <a:ext uri="{FF2B5EF4-FFF2-40B4-BE49-F238E27FC236}">
                  <a16:creationId xmlns:a16="http://schemas.microsoft.com/office/drawing/2014/main" id="{29D0BD1C-78AC-4CAF-A456-78BCD1020BC6}"/>
                </a:ext>
              </a:extLst>
            </xdr:cNvPr>
            <xdr:cNvSpPr txBox="1"/>
          </xdr:nvSpPr>
          <xdr:spPr>
            <a:xfrm>
              <a:off x="6934200" y="27241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73" name="TextBox 72">
              <a:extLst>
                <a:ext uri="{FF2B5EF4-FFF2-40B4-BE49-F238E27FC236}">
                  <a16:creationId xmlns:a16="http://schemas.microsoft.com/office/drawing/2014/main" id="{29D0BD1C-78AC-4CAF-A456-78BCD1020BC6}"/>
                </a:ext>
              </a:extLst>
            </xdr:cNvPr>
            <xdr:cNvSpPr txBox="1"/>
          </xdr:nvSpPr>
          <xdr:spPr>
            <a:xfrm>
              <a:off x="6934200" y="27241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15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4" name="TextBox 73">
              <a:extLst>
                <a:ext uri="{FF2B5EF4-FFF2-40B4-BE49-F238E27FC236}">
                  <a16:creationId xmlns:a16="http://schemas.microsoft.com/office/drawing/2014/main" id="{B1A0A6AF-DE7F-4D77-B26E-12360DF43EDF}"/>
                </a:ext>
              </a:extLst>
            </xdr:cNvPr>
            <xdr:cNvSpPr txBox="1"/>
          </xdr:nvSpPr>
          <xdr:spPr>
            <a:xfrm>
              <a:off x="6934200" y="31432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74" name="TextBox 73">
              <a:extLst>
                <a:ext uri="{FF2B5EF4-FFF2-40B4-BE49-F238E27FC236}">
                  <a16:creationId xmlns:a16="http://schemas.microsoft.com/office/drawing/2014/main" id="{B1A0A6AF-DE7F-4D77-B26E-12360DF43EDF}"/>
                </a:ext>
              </a:extLst>
            </xdr:cNvPr>
            <xdr:cNvSpPr txBox="1"/>
          </xdr:nvSpPr>
          <xdr:spPr>
            <a:xfrm>
              <a:off x="6934200" y="314325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12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5" name="TextBox 74">
              <a:extLst>
                <a:ext uri="{FF2B5EF4-FFF2-40B4-BE49-F238E27FC236}">
                  <a16:creationId xmlns:a16="http://schemas.microsoft.com/office/drawing/2014/main" id="{C810D9A9-D992-4091-88F7-947E28DDF1F9}"/>
                </a:ext>
              </a:extLst>
            </xdr:cNvPr>
            <xdr:cNvSpPr txBox="1"/>
          </xdr:nvSpPr>
          <xdr:spPr>
            <a:xfrm>
              <a:off x="6934200" y="251460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75" name="TextBox 74">
              <a:extLst>
                <a:ext uri="{FF2B5EF4-FFF2-40B4-BE49-F238E27FC236}">
                  <a16:creationId xmlns:a16="http://schemas.microsoft.com/office/drawing/2014/main" id="{C810D9A9-D992-4091-88F7-947E28DDF1F9}"/>
                </a:ext>
              </a:extLst>
            </xdr:cNvPr>
            <xdr:cNvSpPr txBox="1"/>
          </xdr:nvSpPr>
          <xdr:spPr>
            <a:xfrm>
              <a:off x="6934200" y="2514600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14</xdr:row>
      <xdr:rowOff>0</xdr:rowOff>
    </xdr:from>
    <xdr:ext cx="476250" cy="242888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6" name="TextBox 75">
              <a:extLst>
                <a:ext uri="{FF2B5EF4-FFF2-40B4-BE49-F238E27FC236}">
                  <a16:creationId xmlns:a16="http://schemas.microsoft.com/office/drawing/2014/main" id="{4805CCF3-104A-4074-A027-C61CE5624559}"/>
                </a:ext>
              </a:extLst>
            </xdr:cNvPr>
            <xdr:cNvSpPr txBox="1"/>
          </xdr:nvSpPr>
          <xdr:spPr>
            <a:xfrm>
              <a:off x="6934200" y="2933700"/>
              <a:ext cx="476250" cy="24288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76" name="TextBox 75">
              <a:extLst>
                <a:ext uri="{FF2B5EF4-FFF2-40B4-BE49-F238E27FC236}">
                  <a16:creationId xmlns:a16="http://schemas.microsoft.com/office/drawing/2014/main" id="{4805CCF3-104A-4074-A027-C61CE5624559}"/>
                </a:ext>
              </a:extLst>
            </xdr:cNvPr>
            <xdr:cNvSpPr txBox="1"/>
          </xdr:nvSpPr>
          <xdr:spPr>
            <a:xfrm>
              <a:off x="6934200" y="2933700"/>
              <a:ext cx="476250" cy="242888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endParaRPr>
            </a:p>
          </xdr:txBody>
        </xdr:sp>
      </mc:Fallback>
    </mc:AlternateContent>
    <xdr:clientData/>
  </xdr:oneCellAnchor>
  <xdr:oneCellAnchor>
    <xdr:from>
      <xdr:col>4</xdr:col>
      <xdr:colOff>0</xdr:colOff>
      <xdr:row>20</xdr:row>
      <xdr:rowOff>0</xdr:rowOff>
    </xdr:from>
    <xdr:ext cx="409575" cy="2667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7" name="TextBox 76">
              <a:extLst>
                <a:ext uri="{FF2B5EF4-FFF2-40B4-BE49-F238E27FC236}">
                  <a16:creationId xmlns:a16="http://schemas.microsoft.com/office/drawing/2014/main" id="{5DE2ABC7-378A-4116-9A4D-1803E768DC2E}"/>
                </a:ext>
              </a:extLst>
            </xdr:cNvPr>
            <xdr:cNvSpPr txBox="1"/>
          </xdr:nvSpPr>
          <xdr:spPr>
            <a:xfrm>
              <a:off x="6924675" y="3305175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kumimoji="0" lang="en-US" sz="1100" b="0" i="1" u="none" strike="noStrike" kern="0" cap="none" spc="0" normalizeH="0" baseline="0" noProof="0">
                        <a:ln>
                          <a:noFill/>
                        </a:ln>
                        <a:solidFill>
                          <a:prstClr val="black"/>
                        </a:solidFill>
                        <a:effectLst/>
                        <a:uLnTx/>
                        <a:uFillTx/>
                        <a:latin typeface="Cambria Math"/>
                        <a:ea typeface="Cambria Math"/>
                        <a:cs typeface="+mn-cs"/>
                      </a:rPr>
                      <m:t>√√</m:t>
                    </m:r>
                  </m:oMath>
                </m:oMathPara>
              </a14:m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Choice>
      <mc:Fallback xmlns="">
        <xdr:sp macro="" textlink="">
          <xdr:nvSpPr>
            <xdr:cNvPr id="77" name="TextBox 76">
              <a:extLst>
                <a:ext uri="{FF2B5EF4-FFF2-40B4-BE49-F238E27FC236}">
                  <a16:creationId xmlns:a16="http://schemas.microsoft.com/office/drawing/2014/main" id="{5DE2ABC7-378A-4116-9A4D-1803E768DC2E}"/>
                </a:ext>
              </a:extLst>
            </xdr:cNvPr>
            <xdr:cNvSpPr txBox="1"/>
          </xdr:nvSpPr>
          <xdr:spPr>
            <a:xfrm>
              <a:off x="6924675" y="3305175"/>
              <a:ext cx="409575" cy="266700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rtlCol="0" anchor="t">
              <a:no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sz="1100" b="0" i="0" u="none" strike="noStrike" kern="0" cap="none" spc="0" normalizeH="0" baseline="0" noProof="0">
                  <a:ln>
                    <a:noFill/>
                  </a:ln>
                  <a:solidFill>
                    <a:prstClr val="black"/>
                  </a:solidFill>
                  <a:effectLst/>
                  <a:uLnTx/>
                  <a:uFillTx/>
                  <a:latin typeface="Cambria Math"/>
                  <a:ea typeface="Cambria Math"/>
                  <a:cs typeface="+mn-cs"/>
                </a:rPr>
                <a:t>√√</a:t>
              </a:r>
              <a:endParaRPr kumimoji="0" lang="en-US" sz="11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/>
                <a:ea typeface="+mn-ea"/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7"/>
  <sheetViews>
    <sheetView tabSelected="1" zoomScaleNormal="100" workbookViewId="0">
      <selection activeCell="G10" sqref="G10"/>
    </sheetView>
  </sheetViews>
  <sheetFormatPr defaultColWidth="9.140625" defaultRowHeight="24.75" customHeight="1"/>
  <cols>
    <col min="1" max="1" width="6.140625" style="11" customWidth="1"/>
    <col min="2" max="16384" width="9.140625" style="11"/>
  </cols>
  <sheetData>
    <row r="1" spans="1:10" ht="24.75" customHeight="1">
      <c r="A1" s="5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24.75" customHeight="1">
      <c r="A2" s="51" t="s">
        <v>849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ht="24.75" customHeight="1">
      <c r="A3" s="51" t="s">
        <v>20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ht="24.75" customHeight="1">
      <c r="A4" s="51"/>
      <c r="B4" s="61"/>
      <c r="C4" s="61"/>
      <c r="D4" s="61"/>
      <c r="E4" s="61"/>
      <c r="F4" s="61"/>
    </row>
    <row r="7" spans="1:10" ht="24.75" customHeight="1">
      <c r="A7" s="74" t="s">
        <v>1</v>
      </c>
      <c r="B7" s="11" t="s">
        <v>850</v>
      </c>
      <c r="G7" s="11" t="s">
        <v>851</v>
      </c>
    </row>
    <row r="9" spans="1:10" ht="24.75" customHeight="1">
      <c r="A9" s="74" t="s">
        <v>104</v>
      </c>
      <c r="B9" s="11" t="s">
        <v>106</v>
      </c>
      <c r="G9" s="11" t="s">
        <v>1160</v>
      </c>
    </row>
    <row r="11" spans="1:10" ht="24.75" customHeight="1">
      <c r="B11" s="11" t="s">
        <v>60</v>
      </c>
    </row>
    <row r="12" spans="1:10" ht="24.75" customHeight="1">
      <c r="B12" s="11" t="s">
        <v>2</v>
      </c>
    </row>
    <row r="13" spans="1:10" ht="24.75" customHeight="1">
      <c r="B13" s="11" t="s">
        <v>54</v>
      </c>
    </row>
    <row r="14" spans="1:10" ht="24.75" customHeight="1">
      <c r="B14" s="11" t="s">
        <v>55</v>
      </c>
    </row>
    <row r="15" spans="1:10" ht="24.75" customHeight="1">
      <c r="B15" s="11" t="s">
        <v>100</v>
      </c>
    </row>
    <row r="17" spans="1:7" ht="24.75" customHeight="1">
      <c r="A17" s="74" t="s">
        <v>3</v>
      </c>
      <c r="B17" s="11" t="s">
        <v>105</v>
      </c>
      <c r="G17" s="11" t="s">
        <v>851</v>
      </c>
    </row>
  </sheetData>
  <phoneticPr fontId="2" type="noConversion"/>
  <printOptions horizontalCentered="1"/>
  <pageMargins left="0.75" right="0.75" top="1" bottom="1" header="0.5" footer="0.5"/>
  <pageSetup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J54"/>
  <sheetViews>
    <sheetView zoomScaleNormal="100" workbookViewId="0">
      <pane ySplit="6" topLeftCell="A7" activePane="bottomLeft" state="frozen"/>
      <selection pane="bottomLeft" activeCell="F52" sqref="F52"/>
    </sheetView>
  </sheetViews>
  <sheetFormatPr defaultColWidth="9.140625" defaultRowHeight="24.75" customHeight="1"/>
  <cols>
    <col min="1" max="1" width="13.28515625" style="11" customWidth="1"/>
    <col min="2" max="2" width="30.28515625" style="11" bestFit="1" customWidth="1"/>
    <col min="3" max="5" width="14.28515625" style="141" customWidth="1"/>
    <col min="6" max="6" width="14.28515625" style="142" customWidth="1"/>
    <col min="7" max="7" width="14.28515625" style="143" customWidth="1"/>
    <col min="8" max="8" width="9.140625" style="11"/>
    <col min="9" max="9" width="6.85546875" style="11" customWidth="1"/>
    <col min="10" max="10" width="13.5703125" style="11" bestFit="1" customWidth="1"/>
    <col min="11" max="16384" width="9.140625" style="11"/>
  </cols>
  <sheetData>
    <row r="1" spans="1:8" ht="24.75" customHeight="1">
      <c r="A1" s="301" t="s">
        <v>107</v>
      </c>
      <c r="B1"/>
      <c r="C1" s="302"/>
      <c r="D1" s="302"/>
      <c r="E1" s="302"/>
      <c r="F1" s="302"/>
      <c r="G1" s="347"/>
      <c r="H1" s="10"/>
    </row>
    <row r="2" spans="1:8" ht="17.25" customHeight="1">
      <c r="A2"/>
      <c r="B2"/>
      <c r="C2" s="302"/>
      <c r="D2" s="302"/>
      <c r="E2" s="302"/>
      <c r="F2" s="302"/>
      <c r="G2" s="347"/>
      <c r="H2" s="10"/>
    </row>
    <row r="3" spans="1:8" ht="17.25" customHeight="1">
      <c r="A3"/>
      <c r="B3"/>
      <c r="C3" s="302"/>
      <c r="D3" s="302"/>
      <c r="E3" s="302"/>
      <c r="F3" s="302"/>
      <c r="G3" s="347"/>
      <c r="H3" s="10"/>
    </row>
    <row r="4" spans="1:8" ht="24.75" customHeight="1">
      <c r="A4"/>
      <c r="B4"/>
      <c r="C4" s="302"/>
      <c r="D4" s="302"/>
      <c r="E4" s="302"/>
      <c r="F4" s="302"/>
      <c r="G4" s="347"/>
      <c r="H4" s="10"/>
    </row>
    <row r="5" spans="1:8" ht="24.75" customHeight="1">
      <c r="A5" s="303"/>
      <c r="B5" s="304"/>
      <c r="C5" s="359" t="s">
        <v>495</v>
      </c>
      <c r="D5" s="359" t="s">
        <v>577</v>
      </c>
      <c r="E5" s="359" t="s">
        <v>577</v>
      </c>
      <c r="F5" s="359" t="s">
        <v>852</v>
      </c>
      <c r="G5" s="360" t="s">
        <v>1161</v>
      </c>
      <c r="H5" s="10"/>
    </row>
    <row r="6" spans="1:8" s="144" customFormat="1" ht="24.75" customHeight="1">
      <c r="A6" s="305" t="s">
        <v>578</v>
      </c>
      <c r="B6" s="306" t="s">
        <v>5</v>
      </c>
      <c r="C6" s="361" t="s">
        <v>579</v>
      </c>
      <c r="D6" s="361" t="s">
        <v>42</v>
      </c>
      <c r="E6" s="361" t="s">
        <v>580</v>
      </c>
      <c r="F6" s="361" t="s">
        <v>108</v>
      </c>
      <c r="G6" s="362" t="s">
        <v>853</v>
      </c>
      <c r="H6" s="10"/>
    </row>
    <row r="7" spans="1:8" ht="24.75" customHeight="1">
      <c r="A7" s="364" t="s">
        <v>854</v>
      </c>
      <c r="B7" s="365" t="s">
        <v>109</v>
      </c>
      <c r="C7" s="366">
        <v>175884.65</v>
      </c>
      <c r="D7" s="367">
        <v>174887</v>
      </c>
      <c r="E7" s="368">
        <v>342477</v>
      </c>
      <c r="F7" s="369">
        <v>164887</v>
      </c>
      <c r="G7" s="370">
        <v>-10000</v>
      </c>
      <c r="H7" s="10"/>
    </row>
    <row r="8" spans="1:8" ht="24.75" customHeight="1">
      <c r="A8" s="371" t="s">
        <v>855</v>
      </c>
      <c r="B8" s="372" t="s">
        <v>110</v>
      </c>
      <c r="C8" s="373">
        <v>56585.5</v>
      </c>
      <c r="D8" s="374">
        <v>67117</v>
      </c>
      <c r="E8" s="375">
        <v>64353</v>
      </c>
      <c r="F8" s="376">
        <v>67210</v>
      </c>
      <c r="G8" s="377"/>
      <c r="H8" s="10"/>
    </row>
    <row r="9" spans="1:8" ht="24.75" customHeight="1">
      <c r="A9" s="371" t="s">
        <v>856</v>
      </c>
      <c r="B9" s="372" t="s">
        <v>111</v>
      </c>
      <c r="C9" s="373">
        <v>199468.73</v>
      </c>
      <c r="D9" s="374">
        <v>245497</v>
      </c>
      <c r="E9" s="375">
        <v>240009</v>
      </c>
      <c r="F9" s="376">
        <v>252666</v>
      </c>
      <c r="G9" s="377"/>
      <c r="H9" s="10"/>
    </row>
    <row r="10" spans="1:8" ht="24.75" customHeight="1">
      <c r="A10" s="371" t="s">
        <v>857</v>
      </c>
      <c r="B10" s="372" t="s">
        <v>112</v>
      </c>
      <c r="C10" s="373">
        <v>51105.599999999999</v>
      </c>
      <c r="D10" s="374">
        <v>61913</v>
      </c>
      <c r="E10" s="375">
        <v>59905</v>
      </c>
      <c r="F10" s="376">
        <v>63703</v>
      </c>
      <c r="G10" s="377"/>
      <c r="H10" s="10"/>
    </row>
    <row r="11" spans="1:8" ht="24.75" customHeight="1">
      <c r="A11" s="371" t="s">
        <v>858</v>
      </c>
      <c r="B11" s="372" t="s">
        <v>113</v>
      </c>
      <c r="C11" s="373">
        <v>4158.43</v>
      </c>
      <c r="D11" s="374">
        <v>4498</v>
      </c>
      <c r="E11" s="375">
        <v>4498</v>
      </c>
      <c r="F11" s="376">
        <v>4633</v>
      </c>
      <c r="G11" s="377"/>
      <c r="H11" s="10"/>
    </row>
    <row r="12" spans="1:8" ht="24.75" customHeight="1">
      <c r="A12" s="371" t="s">
        <v>859</v>
      </c>
      <c r="B12" s="372" t="s">
        <v>114</v>
      </c>
      <c r="C12" s="378">
        <v>328551.08</v>
      </c>
      <c r="D12" s="374">
        <v>357889</v>
      </c>
      <c r="E12" s="375">
        <v>370774</v>
      </c>
      <c r="F12" s="376">
        <v>388174</v>
      </c>
      <c r="G12" s="377">
        <v>-15000</v>
      </c>
      <c r="H12" s="10"/>
    </row>
    <row r="13" spans="1:8" ht="24.75" customHeight="1">
      <c r="A13" s="371" t="s">
        <v>860</v>
      </c>
      <c r="B13" s="372" t="s">
        <v>115</v>
      </c>
      <c r="C13" s="378">
        <v>2394</v>
      </c>
      <c r="D13" s="374">
        <v>10000</v>
      </c>
      <c r="E13" s="375">
        <v>1669</v>
      </c>
      <c r="F13" s="376">
        <v>10000</v>
      </c>
      <c r="G13" s="377"/>
      <c r="H13" s="10"/>
    </row>
    <row r="14" spans="1:8" ht="24.75" customHeight="1">
      <c r="A14" s="371" t="s">
        <v>861</v>
      </c>
      <c r="B14" s="372" t="s">
        <v>116</v>
      </c>
      <c r="C14" s="373">
        <v>381761.05</v>
      </c>
      <c r="D14" s="374">
        <v>385851</v>
      </c>
      <c r="E14" s="375">
        <v>339544</v>
      </c>
      <c r="F14" s="376">
        <v>342636</v>
      </c>
      <c r="G14" s="377"/>
      <c r="H14" s="10"/>
    </row>
    <row r="15" spans="1:8" ht="24.75" customHeight="1">
      <c r="A15" s="371" t="s">
        <v>862</v>
      </c>
      <c r="B15" s="372" t="s">
        <v>117</v>
      </c>
      <c r="C15" s="373">
        <v>48828.82</v>
      </c>
      <c r="D15" s="374">
        <v>72649</v>
      </c>
      <c r="E15" s="375">
        <v>118751</v>
      </c>
      <c r="F15" s="376">
        <v>99787</v>
      </c>
      <c r="G15" s="377"/>
      <c r="H15" s="10"/>
    </row>
    <row r="16" spans="1:8" ht="24.75" customHeight="1">
      <c r="A16" s="371" t="s">
        <v>863</v>
      </c>
      <c r="B16" s="372" t="s">
        <v>864</v>
      </c>
      <c r="C16" s="373">
        <v>176499.03</v>
      </c>
      <c r="D16" s="374">
        <v>196500</v>
      </c>
      <c r="E16" s="375">
        <v>255375</v>
      </c>
      <c r="F16" s="376">
        <v>92700</v>
      </c>
      <c r="G16" s="377">
        <v>-106090</v>
      </c>
      <c r="H16" s="10"/>
    </row>
    <row r="17" spans="1:9" ht="24.75" customHeight="1">
      <c r="A17" s="371" t="s">
        <v>865</v>
      </c>
      <c r="B17" s="372" t="s">
        <v>866</v>
      </c>
      <c r="C17" s="373">
        <v>70787.38</v>
      </c>
      <c r="D17" s="374">
        <v>90000</v>
      </c>
      <c r="E17" s="375">
        <v>90000</v>
      </c>
      <c r="F17" s="376">
        <v>99395</v>
      </c>
      <c r="G17" s="377"/>
      <c r="H17" s="10"/>
    </row>
    <row r="18" spans="1:9" ht="24.75" customHeight="1">
      <c r="A18" s="371" t="s">
        <v>867</v>
      </c>
      <c r="B18" s="372" t="s">
        <v>868</v>
      </c>
      <c r="C18" s="373">
        <v>48481.99</v>
      </c>
      <c r="D18" s="374">
        <v>50583</v>
      </c>
      <c r="E18" s="375">
        <v>42259</v>
      </c>
      <c r="F18" s="376">
        <v>54313</v>
      </c>
      <c r="G18" s="377"/>
      <c r="H18" s="10"/>
    </row>
    <row r="19" spans="1:9" ht="24.75" customHeight="1">
      <c r="A19" s="371" t="s">
        <v>869</v>
      </c>
      <c r="B19" s="372" t="s">
        <v>870</v>
      </c>
      <c r="C19" s="373">
        <v>53760.76</v>
      </c>
      <c r="D19" s="374">
        <v>68114</v>
      </c>
      <c r="E19" s="375">
        <v>55448</v>
      </c>
      <c r="F19" s="376">
        <v>47548</v>
      </c>
      <c r="G19" s="377">
        <v>-14235</v>
      </c>
      <c r="H19" s="10"/>
    </row>
    <row r="20" spans="1:9" ht="24.75" customHeight="1">
      <c r="A20" s="371" t="s">
        <v>871</v>
      </c>
      <c r="B20" s="372" t="s">
        <v>872</v>
      </c>
      <c r="C20" s="373">
        <v>1043116.99</v>
      </c>
      <c r="D20" s="374">
        <v>1268107</v>
      </c>
      <c r="E20" s="375">
        <v>959225</v>
      </c>
      <c r="F20" s="376">
        <v>1105708</v>
      </c>
      <c r="G20" s="377">
        <v>-30000</v>
      </c>
      <c r="H20" s="10"/>
    </row>
    <row r="21" spans="1:9" ht="24.75" customHeight="1">
      <c r="A21" s="371" t="s">
        <v>873</v>
      </c>
      <c r="B21" s="372" t="s">
        <v>874</v>
      </c>
      <c r="C21" s="373">
        <v>1034782.41</v>
      </c>
      <c r="D21" s="374">
        <v>1224532</v>
      </c>
      <c r="E21" s="375">
        <v>1226283</v>
      </c>
      <c r="F21" s="376">
        <v>1317853</v>
      </c>
      <c r="G21" s="377">
        <v>-30000</v>
      </c>
      <c r="H21" s="10"/>
    </row>
    <row r="22" spans="1:9" ht="24.75" customHeight="1">
      <c r="A22" s="371" t="s">
        <v>875</v>
      </c>
      <c r="B22" s="372" t="s">
        <v>876</v>
      </c>
      <c r="C22" s="373">
        <v>2235074.5600000001</v>
      </c>
      <c r="D22" s="374">
        <v>2554988</v>
      </c>
      <c r="E22" s="375">
        <v>2288590</v>
      </c>
      <c r="F22" s="376">
        <v>2508534</v>
      </c>
      <c r="G22" s="377">
        <v>-100000</v>
      </c>
      <c r="H22" s="10"/>
    </row>
    <row r="23" spans="1:9" ht="24.75" customHeight="1">
      <c r="A23" s="371" t="s">
        <v>877</v>
      </c>
      <c r="B23" s="372" t="s">
        <v>878</v>
      </c>
      <c r="C23" s="373">
        <v>56078.400000000001</v>
      </c>
      <c r="D23" s="374">
        <v>65000</v>
      </c>
      <c r="E23" s="375">
        <v>75964</v>
      </c>
      <c r="F23" s="376">
        <v>75000</v>
      </c>
      <c r="G23" s="377"/>
      <c r="H23" s="10"/>
    </row>
    <row r="24" spans="1:9" ht="24.75" customHeight="1">
      <c r="A24" s="371" t="s">
        <v>879</v>
      </c>
      <c r="B24" s="372" t="s">
        <v>880</v>
      </c>
      <c r="C24" s="373">
        <v>80401.86</v>
      </c>
      <c r="D24" s="374">
        <v>65000</v>
      </c>
      <c r="E24" s="375">
        <v>145166</v>
      </c>
      <c r="F24" s="376">
        <v>75000</v>
      </c>
      <c r="G24" s="377"/>
      <c r="H24" s="10"/>
    </row>
    <row r="25" spans="1:9" ht="24.75" customHeight="1">
      <c r="A25" s="371" t="s">
        <v>881</v>
      </c>
      <c r="B25" s="372" t="s">
        <v>882</v>
      </c>
      <c r="C25" s="373">
        <v>598.9</v>
      </c>
      <c r="D25" s="374">
        <v>1500</v>
      </c>
      <c r="E25" s="375">
        <v>1500</v>
      </c>
      <c r="F25" s="376">
        <v>1500</v>
      </c>
      <c r="G25" s="377"/>
      <c r="H25" s="10"/>
    </row>
    <row r="26" spans="1:9" ht="24.75" customHeight="1">
      <c r="A26" s="371" t="s">
        <v>883</v>
      </c>
      <c r="B26" s="372" t="s">
        <v>884</v>
      </c>
      <c r="C26" s="373">
        <v>675</v>
      </c>
      <c r="D26" s="374">
        <v>1000</v>
      </c>
      <c r="E26" s="375">
        <v>1000</v>
      </c>
      <c r="F26" s="376">
        <v>1000</v>
      </c>
      <c r="G26" s="377"/>
      <c r="H26" s="10"/>
    </row>
    <row r="27" spans="1:9" ht="24.75" customHeight="1">
      <c r="A27" s="371" t="s">
        <v>885</v>
      </c>
      <c r="B27" s="372" t="s">
        <v>886</v>
      </c>
      <c r="C27" s="373">
        <v>42542.96</v>
      </c>
      <c r="D27" s="374">
        <v>68107</v>
      </c>
      <c r="E27" s="375">
        <v>72215</v>
      </c>
      <c r="F27" s="376">
        <v>77046</v>
      </c>
      <c r="G27" s="377"/>
      <c r="H27" s="10"/>
    </row>
    <row r="28" spans="1:9" ht="24.75" customHeight="1">
      <c r="A28" s="371" t="s">
        <v>887</v>
      </c>
      <c r="B28" s="372" t="s">
        <v>888</v>
      </c>
      <c r="C28" s="373">
        <v>20361.21</v>
      </c>
      <c r="D28" s="374">
        <v>52995</v>
      </c>
      <c r="E28" s="375">
        <v>59651</v>
      </c>
      <c r="F28" s="376">
        <v>24041</v>
      </c>
      <c r="G28" s="377">
        <v>-40000</v>
      </c>
      <c r="H28" s="10"/>
    </row>
    <row r="29" spans="1:9" ht="24.75" customHeight="1">
      <c r="A29" s="371" t="s">
        <v>889</v>
      </c>
      <c r="B29" s="372" t="s">
        <v>890</v>
      </c>
      <c r="C29" s="373">
        <v>11776.11</v>
      </c>
      <c r="D29" s="374">
        <v>0</v>
      </c>
      <c r="E29" s="375">
        <v>0</v>
      </c>
      <c r="F29" s="376">
        <v>0</v>
      </c>
      <c r="G29" s="377"/>
      <c r="H29" s="10"/>
    </row>
    <row r="30" spans="1:9" ht="24.75" customHeight="1">
      <c r="A30" s="371" t="s">
        <v>891</v>
      </c>
      <c r="B30" s="372" t="s">
        <v>892</v>
      </c>
      <c r="C30" s="373">
        <v>21619.81</v>
      </c>
      <c r="D30" s="374">
        <v>25690</v>
      </c>
      <c r="E30" s="375">
        <v>0</v>
      </c>
      <c r="F30" s="376">
        <v>15124</v>
      </c>
      <c r="G30" s="377"/>
      <c r="H30" s="10"/>
    </row>
    <row r="31" spans="1:9" ht="24.75" customHeight="1">
      <c r="A31" s="371" t="s">
        <v>893</v>
      </c>
      <c r="B31" s="372" t="s">
        <v>894</v>
      </c>
      <c r="C31" s="373">
        <v>2730</v>
      </c>
      <c r="D31" s="374">
        <v>7000</v>
      </c>
      <c r="E31" s="375">
        <v>2500</v>
      </c>
      <c r="F31" s="376">
        <v>5000</v>
      </c>
      <c r="G31" s="377"/>
      <c r="H31" s="10"/>
      <c r="I31" s="144"/>
    </row>
    <row r="32" spans="1:9" ht="24.75" customHeight="1">
      <c r="A32" s="371" t="s">
        <v>895</v>
      </c>
      <c r="B32" s="372" t="s">
        <v>896</v>
      </c>
      <c r="C32" s="373">
        <v>140</v>
      </c>
      <c r="D32" s="374">
        <v>1000</v>
      </c>
      <c r="E32" s="375">
        <v>500</v>
      </c>
      <c r="F32" s="376">
        <v>1000</v>
      </c>
      <c r="G32" s="377"/>
      <c r="H32" s="10"/>
    </row>
    <row r="33" spans="1:8" ht="24.75" customHeight="1">
      <c r="A33" s="371" t="s">
        <v>897</v>
      </c>
      <c r="B33" s="372" t="s">
        <v>898</v>
      </c>
      <c r="C33" s="373">
        <v>431383.87</v>
      </c>
      <c r="D33" s="374">
        <v>334305</v>
      </c>
      <c r="E33" s="375">
        <v>499689</v>
      </c>
      <c r="F33" s="376">
        <v>464396</v>
      </c>
      <c r="G33" s="377">
        <v>-100176</v>
      </c>
      <c r="H33" s="10"/>
    </row>
    <row r="34" spans="1:8" ht="24.75" customHeight="1">
      <c r="A34" s="371" t="s">
        <v>899</v>
      </c>
      <c r="B34" s="372" t="s">
        <v>900</v>
      </c>
      <c r="C34" s="373">
        <v>399715.13</v>
      </c>
      <c r="D34" s="374">
        <v>671951</v>
      </c>
      <c r="E34" s="375">
        <v>671501</v>
      </c>
      <c r="F34" s="376">
        <v>570670</v>
      </c>
      <c r="G34" s="377">
        <v>-76526</v>
      </c>
      <c r="H34" s="10"/>
    </row>
    <row r="35" spans="1:8" ht="24.75" customHeight="1">
      <c r="A35" s="371" t="s">
        <v>901</v>
      </c>
      <c r="B35" s="372" t="s">
        <v>902</v>
      </c>
      <c r="C35" s="373">
        <v>92323.88</v>
      </c>
      <c r="D35" s="374">
        <v>80490</v>
      </c>
      <c r="E35" s="375">
        <v>97044</v>
      </c>
      <c r="F35" s="376">
        <v>98551</v>
      </c>
      <c r="G35" s="377"/>
      <c r="H35" s="10"/>
    </row>
    <row r="36" spans="1:8" ht="24.75" customHeight="1">
      <c r="A36" s="371" t="s">
        <v>903</v>
      </c>
      <c r="B36" s="372" t="s">
        <v>904</v>
      </c>
      <c r="C36" s="373">
        <v>98171.15</v>
      </c>
      <c r="D36" s="374">
        <v>129734</v>
      </c>
      <c r="E36" s="375">
        <v>86839</v>
      </c>
      <c r="F36" s="376">
        <v>102213</v>
      </c>
      <c r="G36" s="377"/>
      <c r="H36" s="10"/>
    </row>
    <row r="37" spans="1:8" ht="24.75" customHeight="1">
      <c r="A37" s="371" t="s">
        <v>905</v>
      </c>
      <c r="B37" s="372" t="s">
        <v>906</v>
      </c>
      <c r="C37" s="373">
        <v>17085</v>
      </c>
      <c r="D37" s="374">
        <v>22000</v>
      </c>
      <c r="E37" s="375">
        <v>11985</v>
      </c>
      <c r="F37" s="376">
        <v>18000</v>
      </c>
      <c r="G37" s="377">
        <v>-4000</v>
      </c>
      <c r="H37" s="10"/>
    </row>
    <row r="38" spans="1:8" ht="24.75" customHeight="1">
      <c r="A38" s="371" t="s">
        <v>907</v>
      </c>
      <c r="B38" s="372" t="s">
        <v>908</v>
      </c>
      <c r="C38" s="373">
        <v>68757</v>
      </c>
      <c r="D38" s="374">
        <v>76603</v>
      </c>
      <c r="E38" s="375">
        <v>76603</v>
      </c>
      <c r="F38" s="376">
        <v>81474</v>
      </c>
      <c r="G38" s="377"/>
      <c r="H38" s="10"/>
    </row>
    <row r="39" spans="1:8" ht="24.75" customHeight="1">
      <c r="A39" s="371" t="s">
        <v>909</v>
      </c>
      <c r="B39" s="372" t="s">
        <v>910</v>
      </c>
      <c r="C39" s="373">
        <v>52411</v>
      </c>
      <c r="D39" s="374">
        <v>58940</v>
      </c>
      <c r="E39" s="375">
        <v>58940</v>
      </c>
      <c r="F39" s="376">
        <v>62777</v>
      </c>
      <c r="G39" s="377"/>
      <c r="H39" s="10"/>
    </row>
    <row r="40" spans="1:8" ht="24.75" customHeight="1">
      <c r="A40" s="371" t="s">
        <v>911</v>
      </c>
      <c r="B40" s="372" t="s">
        <v>118</v>
      </c>
      <c r="C40" s="373">
        <v>146235.56</v>
      </c>
      <c r="D40" s="374">
        <v>165571</v>
      </c>
      <c r="E40" s="375">
        <v>162990</v>
      </c>
      <c r="F40" s="376">
        <v>169633</v>
      </c>
      <c r="G40" s="377"/>
    </row>
    <row r="41" spans="1:8" ht="24.75" customHeight="1">
      <c r="A41" s="371" t="s">
        <v>912</v>
      </c>
      <c r="B41" s="372" t="s">
        <v>913</v>
      </c>
      <c r="C41" s="373">
        <v>166217.12</v>
      </c>
      <c r="D41" s="374">
        <v>259943</v>
      </c>
      <c r="E41" s="375">
        <v>258221.06</v>
      </c>
      <c r="F41" s="376">
        <v>273646</v>
      </c>
      <c r="G41" s="377"/>
    </row>
    <row r="42" spans="1:8" ht="24.75" customHeight="1">
      <c r="A42" s="371" t="s">
        <v>914</v>
      </c>
      <c r="B42" s="372" t="s">
        <v>915</v>
      </c>
      <c r="C42" s="373">
        <v>85196</v>
      </c>
      <c r="D42" s="374">
        <v>89798</v>
      </c>
      <c r="E42" s="375">
        <v>90105</v>
      </c>
      <c r="F42" s="376">
        <v>92671</v>
      </c>
      <c r="G42" s="377"/>
    </row>
    <row r="43" spans="1:8" ht="24.75" customHeight="1">
      <c r="A43" s="371" t="s">
        <v>916</v>
      </c>
      <c r="B43" s="372" t="s">
        <v>119</v>
      </c>
      <c r="C43" s="373">
        <v>48379.5</v>
      </c>
      <c r="D43" s="374">
        <v>51846</v>
      </c>
      <c r="E43" s="375">
        <v>51846</v>
      </c>
      <c r="F43" s="376">
        <v>54600</v>
      </c>
      <c r="G43" s="377"/>
    </row>
    <row r="44" spans="1:8" ht="24.75" customHeight="1">
      <c r="A44" s="371" t="s">
        <v>917</v>
      </c>
      <c r="B44" s="372" t="s">
        <v>918</v>
      </c>
      <c r="C44" s="373">
        <v>52596.04</v>
      </c>
      <c r="D44" s="374">
        <v>61956</v>
      </c>
      <c r="E44" s="375">
        <v>64770.3</v>
      </c>
      <c r="F44" s="376">
        <v>65957</v>
      </c>
      <c r="G44" s="377"/>
    </row>
    <row r="45" spans="1:8" ht="24.75" customHeight="1">
      <c r="A45" s="371" t="s">
        <v>919</v>
      </c>
      <c r="B45" s="372" t="s">
        <v>920</v>
      </c>
      <c r="C45" s="373">
        <v>58139.7</v>
      </c>
      <c r="D45" s="374">
        <v>64458</v>
      </c>
      <c r="E45" s="375">
        <v>61321.66</v>
      </c>
      <c r="F45" s="376">
        <v>65080</v>
      </c>
      <c r="G45" s="377"/>
    </row>
    <row r="46" spans="1:8" ht="24.75" customHeight="1">
      <c r="A46" s="371" t="s">
        <v>921</v>
      </c>
      <c r="B46" s="372" t="s">
        <v>120</v>
      </c>
      <c r="C46" s="373">
        <v>97316.59</v>
      </c>
      <c r="D46" s="374">
        <v>113914</v>
      </c>
      <c r="E46" s="375">
        <v>93382.2</v>
      </c>
      <c r="F46" s="376">
        <v>117290.8</v>
      </c>
      <c r="G46" s="377"/>
    </row>
    <row r="47" spans="1:8" ht="24.75" customHeight="1">
      <c r="A47" s="371" t="s">
        <v>922</v>
      </c>
      <c r="B47" s="372" t="s">
        <v>923</v>
      </c>
      <c r="C47" s="373">
        <v>40106.5</v>
      </c>
      <c r="D47" s="374">
        <v>57000</v>
      </c>
      <c r="E47" s="375">
        <v>62987</v>
      </c>
      <c r="F47" s="376">
        <v>55000</v>
      </c>
      <c r="G47" s="377"/>
    </row>
    <row r="48" spans="1:8" ht="24.75" customHeight="1">
      <c r="A48" s="371" t="s">
        <v>924</v>
      </c>
      <c r="B48" s="372" t="s">
        <v>925</v>
      </c>
      <c r="C48" s="373">
        <v>2338</v>
      </c>
      <c r="D48" s="374">
        <v>6000</v>
      </c>
      <c r="E48" s="375">
        <v>6000</v>
      </c>
      <c r="F48" s="376">
        <v>8000</v>
      </c>
      <c r="G48" s="377"/>
    </row>
    <row r="49" spans="1:10" ht="24.75" customHeight="1">
      <c r="A49" s="371" t="s">
        <v>926</v>
      </c>
      <c r="B49" s="372" t="s">
        <v>121</v>
      </c>
      <c r="C49" s="373">
        <v>204540.5</v>
      </c>
      <c r="D49" s="374">
        <v>217500</v>
      </c>
      <c r="E49" s="375">
        <v>230000</v>
      </c>
      <c r="F49" s="376">
        <v>230430</v>
      </c>
      <c r="G49" s="377"/>
    </row>
    <row r="50" spans="1:10" ht="24.75" customHeight="1">
      <c r="A50" s="379" t="s">
        <v>927</v>
      </c>
      <c r="B50" s="380" t="s">
        <v>122</v>
      </c>
      <c r="C50" s="381">
        <v>504011.36</v>
      </c>
      <c r="D50" s="382">
        <v>540601</v>
      </c>
      <c r="E50" s="383">
        <v>559031</v>
      </c>
      <c r="F50" s="384">
        <v>562491</v>
      </c>
      <c r="G50" s="385"/>
    </row>
    <row r="51" spans="1:10" ht="24.75" customHeight="1">
      <c r="A51" s="307" t="s">
        <v>928</v>
      </c>
      <c r="B51" s="308" t="s">
        <v>123</v>
      </c>
      <c r="C51" s="309">
        <v>46526.61</v>
      </c>
      <c r="D51" s="310">
        <v>40000</v>
      </c>
      <c r="E51" s="311">
        <v>38490</v>
      </c>
      <c r="F51" s="312">
        <v>40000</v>
      </c>
      <c r="G51" s="363"/>
    </row>
    <row r="52" spans="1:10" ht="24.75" customHeight="1" thickBot="1">
      <c r="A52" s="313"/>
      <c r="B52" s="314"/>
      <c r="C52" s="315">
        <f t="shared" ref="C52:G52" si="0">SUM(C7:C51)</f>
        <v>8759615.7400000002</v>
      </c>
      <c r="D52" s="315">
        <f t="shared" si="0"/>
        <v>10163027</v>
      </c>
      <c r="E52" s="316">
        <f t="shared" si="0"/>
        <v>9999401.2200000007</v>
      </c>
      <c r="F52" s="316">
        <f t="shared" si="0"/>
        <v>10027337.800000001</v>
      </c>
      <c r="G52" s="348">
        <f t="shared" si="0"/>
        <v>-526027</v>
      </c>
      <c r="J52" s="395"/>
    </row>
    <row r="53" spans="1:10" ht="24.75" customHeight="1" thickTop="1">
      <c r="A53"/>
      <c r="B53"/>
      <c r="C53" s="302"/>
      <c r="D53" s="302"/>
      <c r="E53" s="302"/>
      <c r="F53" s="302">
        <f>F52-D52</f>
        <v>-135689.19999999925</v>
      </c>
      <c r="G53" s="347"/>
    </row>
    <row r="54" spans="1:10" ht="24.75" customHeight="1">
      <c r="A54"/>
      <c r="B54"/>
      <c r="C54" s="302"/>
      <c r="D54" s="302"/>
      <c r="E54" s="302"/>
      <c r="F54" s="3">
        <f>F53/D52</f>
        <v>-1.3351258439045695E-2</v>
      </c>
      <c r="G54" s="347"/>
    </row>
  </sheetData>
  <phoneticPr fontId="2" type="noConversion"/>
  <printOptions horizontalCentered="1"/>
  <pageMargins left="0.25" right="0.25" top="0.75" bottom="0.75" header="0.5" footer="0"/>
  <pageSetup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I34"/>
  <sheetViews>
    <sheetView zoomScale="75" zoomScaleNormal="75" workbookViewId="0">
      <pane ySplit="3" topLeftCell="A4" activePane="bottomLeft" state="frozen"/>
      <selection pane="bottomLeft" activeCell="D27" sqref="D27"/>
    </sheetView>
  </sheetViews>
  <sheetFormatPr defaultRowHeight="12.75"/>
  <cols>
    <col min="1" max="1" width="6.42578125" customWidth="1"/>
    <col min="2" max="2" width="57.7109375" customWidth="1"/>
    <col min="3" max="3" width="20.28515625" customWidth="1"/>
    <col min="4" max="4" width="16.85546875" customWidth="1"/>
    <col min="5" max="5" width="17.42578125" style="75" customWidth="1"/>
    <col min="7" max="7" width="18.140625" customWidth="1"/>
    <col min="8" max="8" width="9.85546875" customWidth="1"/>
    <col min="9" max="9" width="13.85546875" customWidth="1"/>
  </cols>
  <sheetData>
    <row r="1" spans="1:9" s="11" customFormat="1" ht="21.75" customHeight="1">
      <c r="A1" s="52" t="s">
        <v>6</v>
      </c>
      <c r="E1" s="62"/>
    </row>
    <row r="2" spans="1:9" s="11" customFormat="1" ht="21.75" customHeight="1">
      <c r="A2" s="53"/>
      <c r="B2" s="54"/>
      <c r="C2" s="63" t="s">
        <v>577</v>
      </c>
      <c r="D2" s="63" t="s">
        <v>852</v>
      </c>
      <c r="E2" s="64" t="s">
        <v>18</v>
      </c>
    </row>
    <row r="3" spans="1:9" s="11" customFormat="1" ht="21.75" customHeight="1">
      <c r="A3" s="56"/>
      <c r="B3" s="55"/>
      <c r="C3" s="65" t="s">
        <v>42</v>
      </c>
      <c r="D3" s="65" t="s">
        <v>42</v>
      </c>
      <c r="E3" s="66" t="s">
        <v>19</v>
      </c>
      <c r="F3" s="52" t="s">
        <v>518</v>
      </c>
    </row>
    <row r="4" spans="1:9" s="11" customFormat="1" ht="21.75" customHeight="1">
      <c r="A4" s="132" t="s">
        <v>7</v>
      </c>
      <c r="B4" s="133"/>
      <c r="C4" s="134">
        <f>312369+92896</f>
        <v>405265</v>
      </c>
      <c r="D4" s="134">
        <f>369194+114474</f>
        <v>483668</v>
      </c>
      <c r="E4" s="135">
        <f>D4-C4</f>
        <v>78403</v>
      </c>
      <c r="F4" s="145" t="s">
        <v>576</v>
      </c>
      <c r="G4" s="145"/>
      <c r="H4" s="145"/>
      <c r="I4" s="144"/>
    </row>
    <row r="5" spans="1:9" s="11" customFormat="1" ht="21.75" customHeight="1">
      <c r="A5" s="56"/>
      <c r="B5" s="55" t="s">
        <v>949</v>
      </c>
      <c r="C5" s="57"/>
      <c r="D5" s="57"/>
      <c r="E5" s="59"/>
      <c r="F5" s="145" t="s">
        <v>946</v>
      </c>
      <c r="G5" s="145"/>
    </row>
    <row r="6" spans="1:9" s="11" customFormat="1" ht="21.75" customHeight="1">
      <c r="A6" s="56"/>
      <c r="B6" s="55"/>
      <c r="C6" s="57"/>
      <c r="D6" s="57"/>
      <c r="E6" s="59"/>
    </row>
    <row r="7" spans="1:9" s="11" customFormat="1" ht="21.75" customHeight="1">
      <c r="A7" s="56"/>
      <c r="B7" s="55"/>
      <c r="C7" s="57"/>
      <c r="D7" s="57"/>
      <c r="E7" s="59"/>
    </row>
    <row r="8" spans="1:9" s="11" customFormat="1" ht="21.75" customHeight="1">
      <c r="A8" s="132" t="s">
        <v>8</v>
      </c>
      <c r="B8" s="133"/>
      <c r="C8" s="134">
        <v>827399</v>
      </c>
      <c r="D8" s="134">
        <v>833985</v>
      </c>
      <c r="E8" s="135">
        <f>D8-C8</f>
        <v>6586</v>
      </c>
      <c r="F8" s="145" t="s">
        <v>945</v>
      </c>
      <c r="G8" s="147"/>
      <c r="H8" s="145"/>
    </row>
    <row r="9" spans="1:9" s="11" customFormat="1" ht="21.75" customHeight="1">
      <c r="A9" s="56"/>
      <c r="B9" s="55" t="s">
        <v>948</v>
      </c>
      <c r="C9" s="57"/>
      <c r="D9" s="57"/>
      <c r="E9" s="59"/>
    </row>
    <row r="10" spans="1:9" s="11" customFormat="1" ht="21.75" customHeight="1">
      <c r="A10" s="56"/>
      <c r="B10" s="55"/>
      <c r="C10" s="57"/>
      <c r="D10" s="57"/>
      <c r="E10" s="59"/>
      <c r="H10" s="68"/>
    </row>
    <row r="11" spans="1:9" s="11" customFormat="1" ht="21.75" customHeight="1">
      <c r="A11" s="69" t="s">
        <v>102</v>
      </c>
      <c r="B11" s="55"/>
      <c r="C11" s="57"/>
      <c r="D11" s="57"/>
      <c r="E11" s="59">
        <f>E8+E4</f>
        <v>84989</v>
      </c>
      <c r="G11" s="67"/>
    </row>
    <row r="12" spans="1:9" s="11" customFormat="1" ht="27" customHeight="1">
      <c r="A12" s="56"/>
      <c r="B12" s="55"/>
      <c r="C12" s="57"/>
      <c r="D12" s="57"/>
      <c r="E12" s="59"/>
    </row>
    <row r="13" spans="1:9" s="11" customFormat="1" ht="27" customHeight="1">
      <c r="A13" s="56"/>
      <c r="B13" s="55"/>
      <c r="C13" s="57"/>
      <c r="D13" s="57"/>
      <c r="E13" s="59"/>
    </row>
    <row r="14" spans="1:9" s="11" customFormat="1" ht="27" customHeight="1">
      <c r="A14" s="132" t="s">
        <v>9</v>
      </c>
      <c r="B14" s="133"/>
      <c r="C14" s="134">
        <f>733056+44416</f>
        <v>777472</v>
      </c>
      <c r="D14" s="134">
        <v>764954</v>
      </c>
      <c r="E14" s="135">
        <f>D14-C14</f>
        <v>-12518</v>
      </c>
      <c r="F14" s="145" t="s">
        <v>947</v>
      </c>
      <c r="G14" s="145"/>
      <c r="H14" s="144"/>
    </row>
    <row r="15" spans="1:9" s="11" customFormat="1" ht="27" customHeight="1">
      <c r="A15" s="56"/>
      <c r="B15" s="55" t="s">
        <v>101</v>
      </c>
      <c r="C15" s="57"/>
      <c r="D15" s="57"/>
      <c r="E15" s="59"/>
      <c r="F15" s="144"/>
      <c r="G15" s="144"/>
      <c r="H15" s="144"/>
    </row>
    <row r="16" spans="1:9" s="11" customFormat="1" ht="27" customHeight="1">
      <c r="A16" s="56"/>
      <c r="B16" s="55"/>
      <c r="C16" s="57"/>
      <c r="D16" s="57"/>
      <c r="E16" s="59"/>
    </row>
    <row r="17" spans="1:9" s="11" customFormat="1" ht="27" customHeight="1">
      <c r="A17" s="56" t="s">
        <v>10</v>
      </c>
      <c r="B17" s="55"/>
      <c r="C17" s="57">
        <f>75000+25000</f>
        <v>100000</v>
      </c>
      <c r="D17" s="57">
        <f>75000+25000</f>
        <v>100000</v>
      </c>
      <c r="E17" s="59">
        <f>D17-C17</f>
        <v>0</v>
      </c>
    </row>
    <row r="18" spans="1:9" s="11" customFormat="1" ht="27" customHeight="1">
      <c r="A18" s="56"/>
      <c r="B18" s="55" t="s">
        <v>103</v>
      </c>
      <c r="C18" s="57"/>
      <c r="D18" s="57"/>
      <c r="E18" s="59"/>
    </row>
    <row r="19" spans="1:9" s="11" customFormat="1" ht="27" customHeight="1">
      <c r="A19" s="56"/>
      <c r="B19" s="55"/>
      <c r="C19" s="57"/>
      <c r="D19" s="57"/>
      <c r="E19" s="59"/>
    </row>
    <row r="20" spans="1:9" s="11" customFormat="1" ht="27" customHeight="1">
      <c r="A20" s="56" t="s">
        <v>11</v>
      </c>
      <c r="B20" s="55"/>
      <c r="C20" s="57"/>
      <c r="D20" s="57"/>
      <c r="E20" s="59"/>
    </row>
    <row r="21" spans="1:9" s="11" customFormat="1" ht="27" customHeight="1">
      <c r="A21" s="56"/>
      <c r="B21" s="55"/>
      <c r="C21" s="57">
        <v>17861</v>
      </c>
      <c r="D21" s="57">
        <v>17861</v>
      </c>
      <c r="E21" s="59">
        <f>D21-C21</f>
        <v>0</v>
      </c>
    </row>
    <row r="22" spans="1:9" s="11" customFormat="1" ht="27" customHeight="1">
      <c r="A22" s="56"/>
      <c r="B22" s="55"/>
      <c r="C22" s="57"/>
      <c r="D22" s="57"/>
      <c r="E22" s="59"/>
    </row>
    <row r="23" spans="1:9" s="11" customFormat="1" ht="27" customHeight="1">
      <c r="A23" s="56" t="s">
        <v>12</v>
      </c>
      <c r="B23" s="55"/>
      <c r="C23" s="57"/>
      <c r="D23" s="57"/>
      <c r="E23" s="59"/>
    </row>
    <row r="24" spans="1:9" s="11" customFormat="1" ht="27" customHeight="1">
      <c r="A24" s="56"/>
      <c r="B24" s="55" t="s">
        <v>13</v>
      </c>
      <c r="C24" s="57">
        <v>5000</v>
      </c>
      <c r="D24" s="57">
        <v>5000</v>
      </c>
      <c r="E24" s="59">
        <f>D24-C24</f>
        <v>0</v>
      </c>
    </row>
    <row r="25" spans="1:9" s="11" customFormat="1" ht="27" customHeight="1">
      <c r="A25" s="56"/>
      <c r="B25" s="55" t="s">
        <v>1156</v>
      </c>
      <c r="C25" s="57"/>
      <c r="D25" s="57"/>
      <c r="E25" s="59"/>
    </row>
    <row r="26" spans="1:9" s="11" customFormat="1" ht="27" customHeight="1">
      <c r="A26" s="56"/>
      <c r="B26" s="55"/>
      <c r="C26" s="57"/>
      <c r="D26" s="57"/>
      <c r="E26" s="59"/>
    </row>
    <row r="27" spans="1:9" s="11" customFormat="1" ht="27" customHeight="1">
      <c r="A27" s="132" t="s">
        <v>14</v>
      </c>
      <c r="B27" s="133"/>
      <c r="C27" s="134">
        <f>2291850+294186</f>
        <v>2586036</v>
      </c>
      <c r="D27" s="134">
        <f>2968930+2943+24705</f>
        <v>2996578</v>
      </c>
      <c r="E27" s="135">
        <f>D27-C27</f>
        <v>410542</v>
      </c>
      <c r="F27" s="145" t="s">
        <v>929</v>
      </c>
      <c r="G27" s="145"/>
      <c r="H27" s="144"/>
      <c r="I27" s="144"/>
    </row>
    <row r="28" spans="1:9" s="11" customFormat="1" ht="27" customHeight="1">
      <c r="A28" s="56"/>
      <c r="B28" s="55" t="s">
        <v>1157</v>
      </c>
      <c r="C28" s="57"/>
      <c r="D28" s="57"/>
      <c r="E28" s="59"/>
      <c r="F28" s="144"/>
      <c r="G28" s="349"/>
      <c r="H28" s="144"/>
    </row>
    <row r="29" spans="1:9" s="11" customFormat="1" ht="27" customHeight="1">
      <c r="A29" s="56"/>
      <c r="B29" s="55" t="s">
        <v>15</v>
      </c>
      <c r="C29" s="57"/>
      <c r="D29" s="57"/>
      <c r="E29" s="59"/>
      <c r="F29" s="144"/>
      <c r="G29" s="144"/>
    </row>
    <row r="30" spans="1:9" s="11" customFormat="1" ht="27" customHeight="1">
      <c r="A30" s="56"/>
      <c r="B30" s="55"/>
      <c r="C30" s="57"/>
      <c r="D30" s="57"/>
      <c r="E30" s="59"/>
    </row>
    <row r="31" spans="1:9" s="11" customFormat="1" ht="27" customHeight="1">
      <c r="A31" s="56"/>
      <c r="B31" s="55"/>
      <c r="C31" s="70"/>
      <c r="D31" s="70"/>
      <c r="E31" s="71"/>
    </row>
    <row r="32" spans="1:9" s="11" customFormat="1" ht="27" customHeight="1" thickBot="1">
      <c r="A32" s="60" t="s">
        <v>21</v>
      </c>
      <c r="B32" s="58"/>
      <c r="C32" s="72">
        <f>SUM(C4:C31)</f>
        <v>4719033</v>
      </c>
      <c r="D32" s="72">
        <f>SUM(D4:D31)</f>
        <v>5202046</v>
      </c>
      <c r="E32" s="73">
        <f>D32-C32</f>
        <v>483013</v>
      </c>
    </row>
    <row r="33" spans="5:5" ht="13.5" thickTop="1"/>
    <row r="34" spans="5:5" ht="15">
      <c r="E34" s="146">
        <f>E32/C32</f>
        <v>0.10235423231835844</v>
      </c>
    </row>
  </sheetData>
  <phoneticPr fontId="2" type="noConversion"/>
  <printOptions horizontalCentered="1"/>
  <pageMargins left="0.75" right="0.75" top="1" bottom="1" header="0.5" footer="0.5"/>
  <pageSetup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11E30-9A65-443F-AB98-9FEE3DB38BC0}">
  <dimension ref="A1:J390"/>
  <sheetViews>
    <sheetView view="pageBreakPreview" zoomScale="60" zoomScaleNormal="75" workbookViewId="0">
      <pane ySplit="1" topLeftCell="A344" activePane="bottomLeft" state="frozen"/>
      <selection pane="bottomLeft" activeCell="I380" sqref="I380"/>
    </sheetView>
  </sheetViews>
  <sheetFormatPr defaultColWidth="9.140625" defaultRowHeight="18.75"/>
  <cols>
    <col min="1" max="1" width="18" style="100" customWidth="1"/>
    <col min="2" max="2" width="43" style="100" customWidth="1"/>
    <col min="3" max="3" width="14.42578125" style="100" bestFit="1" customWidth="1"/>
    <col min="4" max="4" width="19.28515625" style="100" customWidth="1"/>
    <col min="5" max="5" width="47" style="116" customWidth="1"/>
    <col min="6" max="6" width="28.42578125" style="116" hidden="1" customWidth="1"/>
    <col min="7" max="7" width="26.5703125" style="116" hidden="1" customWidth="1"/>
    <col min="8" max="8" width="17" style="116" hidden="1" customWidth="1"/>
    <col min="9" max="9" width="20.140625" style="116" bestFit="1" customWidth="1"/>
    <col min="10" max="10" width="9.140625" style="116"/>
    <col min="11" max="16384" width="9.140625" style="100"/>
  </cols>
  <sheetData>
    <row r="1" spans="1:9" ht="21">
      <c r="A1" s="389" t="s">
        <v>1153</v>
      </c>
      <c r="B1" s="389" t="s">
        <v>581</v>
      </c>
      <c r="C1" s="389" t="s">
        <v>127</v>
      </c>
      <c r="D1" s="389" t="s">
        <v>128</v>
      </c>
      <c r="E1" s="389" t="s">
        <v>129</v>
      </c>
      <c r="F1" s="389" t="s">
        <v>1154</v>
      </c>
      <c r="G1" s="390" t="s">
        <v>1155</v>
      </c>
      <c r="H1" s="390" t="s">
        <v>130</v>
      </c>
      <c r="I1" s="391" t="s">
        <v>131</v>
      </c>
    </row>
    <row r="2" spans="1:9">
      <c r="A2" s="101" t="s">
        <v>950</v>
      </c>
      <c r="B2" s="101" t="s">
        <v>582</v>
      </c>
      <c r="C2" s="101" t="s">
        <v>132</v>
      </c>
      <c r="D2" s="101" t="s">
        <v>133</v>
      </c>
      <c r="E2" s="101" t="s">
        <v>43</v>
      </c>
      <c r="F2" s="101" t="s">
        <v>134</v>
      </c>
      <c r="G2" s="102">
        <v>2430</v>
      </c>
      <c r="H2" s="102"/>
      <c r="I2" s="102">
        <f>G2+H2</f>
        <v>2430</v>
      </c>
    </row>
    <row r="3" spans="1:9">
      <c r="A3" s="320" t="s">
        <v>780</v>
      </c>
      <c r="B3" s="320" t="s">
        <v>780</v>
      </c>
      <c r="C3" s="121" t="s">
        <v>132</v>
      </c>
      <c r="D3" s="121" t="s">
        <v>407</v>
      </c>
      <c r="E3" s="121" t="s">
        <v>408</v>
      </c>
      <c r="F3" s="121" t="s">
        <v>140</v>
      </c>
      <c r="G3" s="104">
        <v>3200</v>
      </c>
      <c r="H3" s="104"/>
      <c r="I3" s="104">
        <f t="shared" ref="I3:I66" si="0">G3+H3</f>
        <v>3200</v>
      </c>
    </row>
    <row r="4" spans="1:9">
      <c r="A4" s="101" t="s">
        <v>951</v>
      </c>
      <c r="B4" s="101" t="s">
        <v>582</v>
      </c>
      <c r="C4" s="101" t="s">
        <v>135</v>
      </c>
      <c r="D4" s="101" t="s">
        <v>133</v>
      </c>
      <c r="E4" s="101" t="s">
        <v>136</v>
      </c>
      <c r="F4" s="101" t="s">
        <v>134</v>
      </c>
      <c r="G4" s="102">
        <v>21140</v>
      </c>
      <c r="H4" s="102"/>
      <c r="I4" s="102">
        <f t="shared" si="0"/>
        <v>21140</v>
      </c>
    </row>
    <row r="5" spans="1:9">
      <c r="A5" s="140" t="s">
        <v>952</v>
      </c>
      <c r="B5" s="101"/>
      <c r="C5" s="101" t="s">
        <v>135</v>
      </c>
      <c r="D5" s="101" t="s">
        <v>133</v>
      </c>
      <c r="E5" s="101" t="s">
        <v>137</v>
      </c>
      <c r="F5" s="101" t="s">
        <v>138</v>
      </c>
      <c r="G5" s="102">
        <v>0</v>
      </c>
      <c r="H5" s="102">
        <v>1748</v>
      </c>
      <c r="I5" s="102">
        <f t="shared" si="0"/>
        <v>1748</v>
      </c>
    </row>
    <row r="6" spans="1:9">
      <c r="A6" s="386" t="s">
        <v>953</v>
      </c>
      <c r="B6" s="110"/>
      <c r="C6" s="110" t="s">
        <v>583</v>
      </c>
      <c r="D6" s="110" t="s">
        <v>274</v>
      </c>
      <c r="E6" s="110" t="s">
        <v>584</v>
      </c>
      <c r="F6" s="110" t="s">
        <v>140</v>
      </c>
      <c r="G6" s="111"/>
      <c r="H6" s="111">
        <v>4000</v>
      </c>
      <c r="I6" s="111">
        <f t="shared" si="0"/>
        <v>4000</v>
      </c>
    </row>
    <row r="7" spans="1:9">
      <c r="A7" s="103"/>
      <c r="B7" s="317" t="s">
        <v>585</v>
      </c>
      <c r="C7" s="103"/>
      <c r="D7" s="103"/>
      <c r="E7" s="103"/>
      <c r="F7" s="103"/>
      <c r="G7" s="105"/>
      <c r="H7" s="105"/>
      <c r="I7" s="105"/>
    </row>
    <row r="8" spans="1:9">
      <c r="A8" s="103" t="s">
        <v>954</v>
      </c>
      <c r="B8" s="103" t="s">
        <v>586</v>
      </c>
      <c r="C8" s="103" t="s">
        <v>141</v>
      </c>
      <c r="D8" s="103" t="s">
        <v>142</v>
      </c>
      <c r="E8" s="103" t="s">
        <v>143</v>
      </c>
      <c r="F8" s="103" t="s">
        <v>144</v>
      </c>
      <c r="G8" s="105">
        <v>4510.55</v>
      </c>
      <c r="H8" s="105"/>
      <c r="I8" s="105">
        <f t="shared" si="0"/>
        <v>4510.55</v>
      </c>
    </row>
    <row r="9" spans="1:9">
      <c r="A9" s="103"/>
      <c r="B9" s="318" t="s">
        <v>955</v>
      </c>
      <c r="C9" s="103" t="s">
        <v>141</v>
      </c>
      <c r="D9" s="103" t="s">
        <v>142</v>
      </c>
      <c r="E9" s="103" t="s">
        <v>956</v>
      </c>
      <c r="F9" s="103" t="s">
        <v>207</v>
      </c>
      <c r="G9" s="105">
        <v>2126.6999999999998</v>
      </c>
      <c r="H9" s="105"/>
      <c r="I9" s="105">
        <f t="shared" si="0"/>
        <v>2126.6999999999998</v>
      </c>
    </row>
    <row r="10" spans="1:9">
      <c r="A10" s="103" t="s">
        <v>954</v>
      </c>
      <c r="B10" s="103" t="s">
        <v>587</v>
      </c>
      <c r="C10" s="103" t="s">
        <v>141</v>
      </c>
      <c r="D10" s="103" t="s">
        <v>142</v>
      </c>
      <c r="E10" s="103" t="s">
        <v>145</v>
      </c>
      <c r="F10" s="103" t="s">
        <v>144</v>
      </c>
      <c r="G10" s="105">
        <v>2000</v>
      </c>
      <c r="H10" s="105"/>
      <c r="I10" s="105">
        <f t="shared" si="0"/>
        <v>2000</v>
      </c>
    </row>
    <row r="11" spans="1:9">
      <c r="A11" s="103" t="s">
        <v>954</v>
      </c>
      <c r="B11" s="103" t="s">
        <v>588</v>
      </c>
      <c r="C11" s="103" t="s">
        <v>141</v>
      </c>
      <c r="D11" s="103" t="s">
        <v>142</v>
      </c>
      <c r="E11" s="103" t="s">
        <v>146</v>
      </c>
      <c r="F11" s="103" t="s">
        <v>147</v>
      </c>
      <c r="G11" s="105">
        <v>12618</v>
      </c>
      <c r="H11" s="105"/>
      <c r="I11" s="105">
        <f t="shared" si="0"/>
        <v>12618</v>
      </c>
    </row>
    <row r="12" spans="1:9">
      <c r="A12" s="103" t="s">
        <v>954</v>
      </c>
      <c r="B12" s="318" t="s">
        <v>589</v>
      </c>
      <c r="C12" s="103" t="s">
        <v>141</v>
      </c>
      <c r="D12" s="103" t="s">
        <v>142</v>
      </c>
      <c r="E12" s="103" t="s">
        <v>148</v>
      </c>
      <c r="F12" s="103" t="s">
        <v>147</v>
      </c>
      <c r="G12" s="105">
        <v>16830</v>
      </c>
      <c r="H12" s="105"/>
      <c r="I12" s="105">
        <f t="shared" si="0"/>
        <v>16830</v>
      </c>
    </row>
    <row r="13" spans="1:9">
      <c r="A13" s="103" t="s">
        <v>954</v>
      </c>
      <c r="B13" s="318" t="s">
        <v>590</v>
      </c>
      <c r="C13" s="103" t="s">
        <v>141</v>
      </c>
      <c r="D13" s="103" t="s">
        <v>142</v>
      </c>
      <c r="E13" s="103" t="s">
        <v>149</v>
      </c>
      <c r="F13" s="103"/>
      <c r="G13" s="105">
        <v>0</v>
      </c>
      <c r="H13" s="105">
        <v>600</v>
      </c>
      <c r="I13" s="105">
        <f t="shared" si="0"/>
        <v>600</v>
      </c>
    </row>
    <row r="14" spans="1:9">
      <c r="A14" s="103"/>
      <c r="B14" s="318" t="s">
        <v>957</v>
      </c>
      <c r="C14" s="103" t="s">
        <v>141</v>
      </c>
      <c r="D14" s="103" t="s">
        <v>142</v>
      </c>
      <c r="E14" s="103" t="s">
        <v>958</v>
      </c>
      <c r="F14" s="103" t="s">
        <v>158</v>
      </c>
      <c r="G14" s="105">
        <v>320</v>
      </c>
      <c r="H14" s="105"/>
      <c r="I14" s="105">
        <f t="shared" si="0"/>
        <v>320</v>
      </c>
    </row>
    <row r="15" spans="1:9">
      <c r="A15" s="103" t="s">
        <v>954</v>
      </c>
      <c r="B15" s="318" t="s">
        <v>591</v>
      </c>
      <c r="C15" s="103" t="s">
        <v>141</v>
      </c>
      <c r="D15" s="103" t="s">
        <v>142</v>
      </c>
      <c r="E15" s="103" t="s">
        <v>592</v>
      </c>
      <c r="F15" s="103" t="s">
        <v>144</v>
      </c>
      <c r="G15" s="105">
        <v>722.8</v>
      </c>
      <c r="H15" s="105">
        <v>0</v>
      </c>
      <c r="I15" s="105">
        <f t="shared" si="0"/>
        <v>722.8</v>
      </c>
    </row>
    <row r="16" spans="1:9">
      <c r="A16" s="103" t="s">
        <v>954</v>
      </c>
      <c r="B16" s="318" t="s">
        <v>593</v>
      </c>
      <c r="C16" s="103" t="s">
        <v>141</v>
      </c>
      <c r="D16" s="103" t="s">
        <v>142</v>
      </c>
      <c r="E16" s="103" t="s">
        <v>594</v>
      </c>
      <c r="F16" s="103" t="s">
        <v>134</v>
      </c>
      <c r="G16" s="105">
        <v>375</v>
      </c>
      <c r="H16" s="105">
        <v>0</v>
      </c>
      <c r="I16" s="105">
        <f t="shared" si="0"/>
        <v>375</v>
      </c>
    </row>
    <row r="17" spans="1:9">
      <c r="A17" s="103"/>
      <c r="B17" s="319" t="s">
        <v>300</v>
      </c>
      <c r="C17" s="103"/>
      <c r="D17" s="103"/>
      <c r="E17" s="103"/>
      <c r="F17" s="103"/>
      <c r="G17" s="105"/>
      <c r="H17" s="105"/>
      <c r="I17" s="105">
        <f t="shared" si="0"/>
        <v>0</v>
      </c>
    </row>
    <row r="18" spans="1:9">
      <c r="A18" s="103" t="s">
        <v>954</v>
      </c>
      <c r="B18" s="318" t="s">
        <v>595</v>
      </c>
      <c r="C18" s="103" t="s">
        <v>141</v>
      </c>
      <c r="D18" s="103" t="s">
        <v>142</v>
      </c>
      <c r="E18" s="103" t="s">
        <v>150</v>
      </c>
      <c r="F18" s="103"/>
      <c r="G18" s="105"/>
      <c r="H18" s="105">
        <v>0</v>
      </c>
      <c r="I18" s="105">
        <f t="shared" si="0"/>
        <v>0</v>
      </c>
    </row>
    <row r="19" spans="1:9">
      <c r="A19" s="103" t="s">
        <v>954</v>
      </c>
      <c r="B19" s="318" t="s">
        <v>596</v>
      </c>
      <c r="C19" s="103" t="s">
        <v>141</v>
      </c>
      <c r="D19" s="103" t="s">
        <v>142</v>
      </c>
      <c r="E19" s="103" t="s">
        <v>151</v>
      </c>
      <c r="F19" s="103"/>
      <c r="G19" s="105"/>
      <c r="H19" s="105">
        <v>0</v>
      </c>
      <c r="I19" s="105">
        <f t="shared" si="0"/>
        <v>0</v>
      </c>
    </row>
    <row r="20" spans="1:9">
      <c r="A20" s="103" t="s">
        <v>954</v>
      </c>
      <c r="B20" s="318" t="s">
        <v>597</v>
      </c>
      <c r="C20" s="103" t="s">
        <v>141</v>
      </c>
      <c r="D20" s="103" t="s">
        <v>142</v>
      </c>
      <c r="E20" s="103" t="s">
        <v>152</v>
      </c>
      <c r="F20" s="103"/>
      <c r="G20" s="105"/>
      <c r="H20" s="105">
        <v>0</v>
      </c>
      <c r="I20" s="105">
        <f t="shared" si="0"/>
        <v>0</v>
      </c>
    </row>
    <row r="21" spans="1:9">
      <c r="A21" s="103" t="s">
        <v>954</v>
      </c>
      <c r="B21" s="318" t="s">
        <v>598</v>
      </c>
      <c r="C21" s="103" t="s">
        <v>141</v>
      </c>
      <c r="D21" s="103" t="s">
        <v>142</v>
      </c>
      <c r="E21" s="103" t="s">
        <v>153</v>
      </c>
      <c r="F21" s="103"/>
      <c r="G21" s="105"/>
      <c r="H21" s="105">
        <v>0</v>
      </c>
      <c r="I21" s="105">
        <f t="shared" si="0"/>
        <v>0</v>
      </c>
    </row>
    <row r="22" spans="1:9">
      <c r="A22" s="103" t="s">
        <v>954</v>
      </c>
      <c r="B22" s="318" t="s">
        <v>599</v>
      </c>
      <c r="C22" s="103" t="s">
        <v>141</v>
      </c>
      <c r="D22" s="103" t="s">
        <v>142</v>
      </c>
      <c r="E22" s="103" t="s">
        <v>600</v>
      </c>
      <c r="F22" s="103" t="s">
        <v>147</v>
      </c>
      <c r="G22" s="105">
        <v>3645.2</v>
      </c>
      <c r="H22" s="105">
        <v>0</v>
      </c>
      <c r="I22" s="105">
        <f t="shared" si="0"/>
        <v>3645.2</v>
      </c>
    </row>
    <row r="23" spans="1:9">
      <c r="A23" s="103" t="s">
        <v>954</v>
      </c>
      <c r="B23" s="318" t="s">
        <v>601</v>
      </c>
      <c r="C23" s="103" t="s">
        <v>141</v>
      </c>
      <c r="D23" s="103" t="s">
        <v>142</v>
      </c>
      <c r="E23" s="103" t="s">
        <v>154</v>
      </c>
      <c r="F23" s="103"/>
      <c r="G23" s="105"/>
      <c r="H23" s="105">
        <v>0</v>
      </c>
      <c r="I23" s="105">
        <f t="shared" si="0"/>
        <v>0</v>
      </c>
    </row>
    <row r="24" spans="1:9">
      <c r="A24" s="103"/>
      <c r="B24" s="319" t="s">
        <v>602</v>
      </c>
      <c r="C24" s="103"/>
      <c r="D24" s="103"/>
      <c r="E24" s="103"/>
      <c r="F24" s="103"/>
      <c r="G24" s="105"/>
      <c r="H24" s="105"/>
      <c r="I24" s="105">
        <f t="shared" si="0"/>
        <v>0</v>
      </c>
    </row>
    <row r="25" spans="1:9">
      <c r="A25" s="103" t="s">
        <v>954</v>
      </c>
      <c r="B25" s="318" t="s">
        <v>603</v>
      </c>
      <c r="C25" s="103" t="s">
        <v>141</v>
      </c>
      <c r="D25" s="103" t="s">
        <v>142</v>
      </c>
      <c r="E25" s="103" t="s">
        <v>155</v>
      </c>
      <c r="F25" s="103" t="s">
        <v>144</v>
      </c>
      <c r="G25" s="105">
        <v>815</v>
      </c>
      <c r="H25" s="105">
        <v>0</v>
      </c>
      <c r="I25" s="105">
        <f t="shared" si="0"/>
        <v>815</v>
      </c>
    </row>
    <row r="26" spans="1:9">
      <c r="A26" s="103" t="s">
        <v>954</v>
      </c>
      <c r="B26" s="318" t="s">
        <v>604</v>
      </c>
      <c r="C26" s="103" t="s">
        <v>141</v>
      </c>
      <c r="D26" s="103" t="s">
        <v>142</v>
      </c>
      <c r="E26" s="103" t="s">
        <v>156</v>
      </c>
      <c r="F26" s="103"/>
      <c r="G26" s="105"/>
      <c r="H26" s="105"/>
      <c r="I26" s="105">
        <f t="shared" si="0"/>
        <v>0</v>
      </c>
    </row>
    <row r="27" spans="1:9">
      <c r="A27" s="103"/>
      <c r="B27" s="319" t="s">
        <v>605</v>
      </c>
      <c r="C27" s="103"/>
      <c r="D27" s="103"/>
      <c r="E27" s="103"/>
      <c r="F27" s="103"/>
      <c r="G27" s="105"/>
      <c r="H27" s="105"/>
      <c r="I27" s="105">
        <f t="shared" si="0"/>
        <v>0</v>
      </c>
    </row>
    <row r="28" spans="1:9">
      <c r="A28" s="103" t="s">
        <v>954</v>
      </c>
      <c r="B28" s="318" t="s">
        <v>606</v>
      </c>
      <c r="C28" s="103" t="s">
        <v>141</v>
      </c>
      <c r="D28" s="103" t="s">
        <v>142</v>
      </c>
      <c r="E28" s="103" t="s">
        <v>157</v>
      </c>
      <c r="F28" s="103" t="s">
        <v>158</v>
      </c>
      <c r="G28" s="105">
        <v>4200</v>
      </c>
      <c r="H28" s="105"/>
      <c r="I28" s="105">
        <f t="shared" si="0"/>
        <v>4200</v>
      </c>
    </row>
    <row r="29" spans="1:9">
      <c r="A29" s="103" t="s">
        <v>954</v>
      </c>
      <c r="B29" s="318" t="s">
        <v>607</v>
      </c>
      <c r="C29" s="103" t="s">
        <v>141</v>
      </c>
      <c r="D29" s="103" t="s">
        <v>142</v>
      </c>
      <c r="E29" s="103" t="s">
        <v>159</v>
      </c>
      <c r="F29" s="103" t="s">
        <v>160</v>
      </c>
      <c r="G29" s="105">
        <v>210</v>
      </c>
      <c r="H29" s="105"/>
      <c r="I29" s="105">
        <f t="shared" si="0"/>
        <v>210</v>
      </c>
    </row>
    <row r="30" spans="1:9">
      <c r="A30" s="103" t="s">
        <v>954</v>
      </c>
      <c r="B30" s="318" t="s">
        <v>608</v>
      </c>
      <c r="C30" s="103" t="s">
        <v>141</v>
      </c>
      <c r="D30" s="103" t="s">
        <v>142</v>
      </c>
      <c r="E30" s="103" t="s">
        <v>161</v>
      </c>
      <c r="F30" s="103"/>
      <c r="G30" s="105">
        <v>1077.25</v>
      </c>
      <c r="H30" s="105"/>
      <c r="I30" s="105">
        <f t="shared" si="0"/>
        <v>1077.25</v>
      </c>
    </row>
    <row r="31" spans="1:9">
      <c r="A31" s="103" t="s">
        <v>954</v>
      </c>
      <c r="B31" s="318" t="s">
        <v>609</v>
      </c>
      <c r="C31" s="103" t="s">
        <v>141</v>
      </c>
      <c r="D31" s="103" t="s">
        <v>142</v>
      </c>
      <c r="E31" s="103" t="s">
        <v>162</v>
      </c>
      <c r="F31" s="103"/>
      <c r="G31" s="105"/>
      <c r="H31" s="105">
        <v>0</v>
      </c>
      <c r="I31" s="105">
        <f t="shared" si="0"/>
        <v>0</v>
      </c>
    </row>
    <row r="32" spans="1:9">
      <c r="A32" s="103" t="s">
        <v>954</v>
      </c>
      <c r="B32" s="318" t="s">
        <v>610</v>
      </c>
      <c r="C32" s="103" t="s">
        <v>141</v>
      </c>
      <c r="D32" s="103" t="s">
        <v>142</v>
      </c>
      <c r="E32" s="103" t="s">
        <v>163</v>
      </c>
      <c r="F32" s="103"/>
      <c r="G32" s="105">
        <v>2355</v>
      </c>
      <c r="H32" s="105"/>
      <c r="I32" s="105">
        <f t="shared" si="0"/>
        <v>2355</v>
      </c>
    </row>
    <row r="33" spans="1:9">
      <c r="A33" s="103" t="s">
        <v>954</v>
      </c>
      <c r="B33" s="318" t="s">
        <v>611</v>
      </c>
      <c r="C33" s="103" t="s">
        <v>141</v>
      </c>
      <c r="D33" s="103" t="s">
        <v>142</v>
      </c>
      <c r="E33" s="103" t="s">
        <v>164</v>
      </c>
      <c r="F33" s="103"/>
      <c r="G33" s="105">
        <v>918.31</v>
      </c>
      <c r="H33" s="105"/>
      <c r="I33" s="105">
        <f t="shared" si="0"/>
        <v>918.31</v>
      </c>
    </row>
    <row r="34" spans="1:9">
      <c r="A34" s="103" t="s">
        <v>954</v>
      </c>
      <c r="B34" s="318" t="s">
        <v>612</v>
      </c>
      <c r="C34" s="103" t="s">
        <v>141</v>
      </c>
      <c r="D34" s="103" t="s">
        <v>142</v>
      </c>
      <c r="E34" s="103" t="s">
        <v>613</v>
      </c>
      <c r="F34" s="103"/>
      <c r="G34" s="105"/>
      <c r="H34" s="105"/>
      <c r="I34" s="105">
        <f t="shared" si="0"/>
        <v>0</v>
      </c>
    </row>
    <row r="35" spans="1:9">
      <c r="A35" s="103" t="s">
        <v>954</v>
      </c>
      <c r="B35" s="318" t="s">
        <v>614</v>
      </c>
      <c r="C35" s="103" t="s">
        <v>141</v>
      </c>
      <c r="D35" s="103" t="s">
        <v>142</v>
      </c>
      <c r="E35" s="103" t="s">
        <v>165</v>
      </c>
      <c r="F35" s="103" t="s">
        <v>144</v>
      </c>
      <c r="G35" s="105"/>
      <c r="H35" s="105"/>
      <c r="I35" s="105">
        <f t="shared" si="0"/>
        <v>0</v>
      </c>
    </row>
    <row r="36" spans="1:9">
      <c r="A36" s="103" t="s">
        <v>954</v>
      </c>
      <c r="B36" s="318" t="s">
        <v>615</v>
      </c>
      <c r="C36" s="103" t="s">
        <v>141</v>
      </c>
      <c r="D36" s="103" t="s">
        <v>142</v>
      </c>
      <c r="E36" s="103" t="s">
        <v>395</v>
      </c>
      <c r="F36" s="103" t="s">
        <v>144</v>
      </c>
      <c r="G36" s="105">
        <v>500</v>
      </c>
      <c r="H36" s="105"/>
      <c r="I36" s="105">
        <f t="shared" si="0"/>
        <v>500</v>
      </c>
    </row>
    <row r="37" spans="1:9">
      <c r="A37" s="103"/>
      <c r="B37" s="319" t="s">
        <v>616</v>
      </c>
      <c r="C37" s="103"/>
      <c r="D37" s="103"/>
      <c r="E37" s="103"/>
      <c r="F37" s="103"/>
      <c r="G37" s="105"/>
      <c r="H37" s="105"/>
      <c r="I37" s="105">
        <f t="shared" si="0"/>
        <v>0</v>
      </c>
    </row>
    <row r="38" spans="1:9">
      <c r="A38" s="103" t="s">
        <v>954</v>
      </c>
      <c r="B38" s="318" t="s">
        <v>617</v>
      </c>
      <c r="C38" s="103" t="s">
        <v>141</v>
      </c>
      <c r="D38" s="103" t="s">
        <v>142</v>
      </c>
      <c r="E38" s="103" t="s">
        <v>166</v>
      </c>
      <c r="F38" s="103"/>
      <c r="G38" s="105">
        <v>4692.5</v>
      </c>
      <c r="H38" s="105"/>
      <c r="I38" s="105">
        <f t="shared" si="0"/>
        <v>4692.5</v>
      </c>
    </row>
    <row r="39" spans="1:9">
      <c r="A39" s="103" t="s">
        <v>954</v>
      </c>
      <c r="B39" s="318" t="s">
        <v>618</v>
      </c>
      <c r="C39" s="103" t="s">
        <v>141</v>
      </c>
      <c r="D39" s="103" t="s">
        <v>142</v>
      </c>
      <c r="E39" s="103" t="s">
        <v>167</v>
      </c>
      <c r="F39" s="103" t="s">
        <v>168</v>
      </c>
      <c r="G39" s="105">
        <v>500</v>
      </c>
      <c r="H39" s="105"/>
      <c r="I39" s="105">
        <f t="shared" si="0"/>
        <v>500</v>
      </c>
    </row>
    <row r="40" spans="1:9">
      <c r="A40" s="103"/>
      <c r="B40" s="319" t="s">
        <v>619</v>
      </c>
      <c r="C40" s="103"/>
      <c r="D40" s="103"/>
      <c r="E40" s="103"/>
      <c r="F40" s="103"/>
      <c r="G40" s="105"/>
      <c r="H40" s="105"/>
      <c r="I40" s="105">
        <f t="shared" si="0"/>
        <v>0</v>
      </c>
    </row>
    <row r="41" spans="1:9">
      <c r="A41" s="103" t="s">
        <v>954</v>
      </c>
      <c r="B41" s="318" t="s">
        <v>620</v>
      </c>
      <c r="C41" s="103" t="s">
        <v>141</v>
      </c>
      <c r="D41" s="103" t="s">
        <v>142</v>
      </c>
      <c r="E41" s="103" t="s">
        <v>143</v>
      </c>
      <c r="F41" s="103" t="s">
        <v>168</v>
      </c>
      <c r="G41" s="105">
        <v>1848</v>
      </c>
      <c r="H41" s="105"/>
      <c r="I41" s="105">
        <f t="shared" si="0"/>
        <v>1848</v>
      </c>
    </row>
    <row r="42" spans="1:9">
      <c r="A42" s="103" t="s">
        <v>954</v>
      </c>
      <c r="B42" s="318" t="s">
        <v>621</v>
      </c>
      <c r="C42" s="103" t="s">
        <v>141</v>
      </c>
      <c r="D42" s="103" t="s">
        <v>142</v>
      </c>
      <c r="E42" s="103" t="s">
        <v>169</v>
      </c>
      <c r="F42" s="103" t="s">
        <v>147</v>
      </c>
      <c r="G42" s="105">
        <v>6659.5</v>
      </c>
      <c r="H42" s="105"/>
      <c r="I42" s="105">
        <f t="shared" si="0"/>
        <v>6659.5</v>
      </c>
    </row>
    <row r="43" spans="1:9">
      <c r="A43" s="103" t="s">
        <v>954</v>
      </c>
      <c r="B43" s="318" t="s">
        <v>622</v>
      </c>
      <c r="C43" s="103" t="s">
        <v>141</v>
      </c>
      <c r="D43" s="103" t="s">
        <v>142</v>
      </c>
      <c r="E43" s="103" t="s">
        <v>170</v>
      </c>
      <c r="F43" s="103" t="s">
        <v>171</v>
      </c>
      <c r="G43" s="105">
        <v>1300</v>
      </c>
      <c r="H43" s="105"/>
      <c r="I43" s="105">
        <f t="shared" si="0"/>
        <v>1300</v>
      </c>
    </row>
    <row r="44" spans="1:9">
      <c r="A44" s="103"/>
      <c r="B44" s="319" t="s">
        <v>623</v>
      </c>
      <c r="C44" s="103"/>
      <c r="D44" s="103"/>
      <c r="E44" s="103"/>
      <c r="F44" s="103"/>
      <c r="G44" s="105"/>
      <c r="H44" s="105"/>
      <c r="I44" s="105">
        <f t="shared" si="0"/>
        <v>0</v>
      </c>
    </row>
    <row r="45" spans="1:9">
      <c r="A45" s="103" t="s">
        <v>954</v>
      </c>
      <c r="B45" s="318" t="s">
        <v>624</v>
      </c>
      <c r="C45" s="103" t="s">
        <v>141</v>
      </c>
      <c r="D45" s="103" t="s">
        <v>142</v>
      </c>
      <c r="E45" s="103" t="s">
        <v>497</v>
      </c>
      <c r="F45" s="103" t="s">
        <v>140</v>
      </c>
      <c r="G45" s="105">
        <v>1515</v>
      </c>
      <c r="H45" s="105"/>
      <c r="I45" s="105">
        <f t="shared" si="0"/>
        <v>1515</v>
      </c>
    </row>
    <row r="46" spans="1:9">
      <c r="A46" s="103" t="s">
        <v>954</v>
      </c>
      <c r="B46" s="318" t="s">
        <v>959</v>
      </c>
      <c r="C46" s="103" t="s">
        <v>141</v>
      </c>
      <c r="D46" s="103" t="s">
        <v>142</v>
      </c>
      <c r="E46" s="103" t="s">
        <v>498</v>
      </c>
      <c r="F46" s="103" t="s">
        <v>499</v>
      </c>
      <c r="G46" s="105">
        <v>1530</v>
      </c>
      <c r="H46" s="105"/>
      <c r="I46" s="105">
        <f t="shared" si="0"/>
        <v>1530</v>
      </c>
    </row>
    <row r="47" spans="1:9">
      <c r="A47" s="103" t="s">
        <v>954</v>
      </c>
      <c r="B47" s="318" t="s">
        <v>960</v>
      </c>
      <c r="C47" s="103" t="s">
        <v>141</v>
      </c>
      <c r="D47" s="103" t="s">
        <v>142</v>
      </c>
      <c r="E47" s="103" t="s">
        <v>961</v>
      </c>
      <c r="F47" s="103" t="s">
        <v>499</v>
      </c>
      <c r="G47" s="105">
        <v>300</v>
      </c>
      <c r="H47" s="105"/>
      <c r="I47" s="105">
        <f t="shared" si="0"/>
        <v>300</v>
      </c>
    </row>
    <row r="48" spans="1:9">
      <c r="A48" s="103"/>
      <c r="B48" s="319" t="s">
        <v>625</v>
      </c>
      <c r="C48" s="103"/>
      <c r="D48" s="103"/>
      <c r="E48" s="103"/>
      <c r="F48" s="103"/>
      <c r="G48" s="105"/>
      <c r="H48" s="105"/>
      <c r="I48" s="105">
        <f t="shared" si="0"/>
        <v>0</v>
      </c>
    </row>
    <row r="49" spans="1:9">
      <c r="A49" s="103" t="s">
        <v>954</v>
      </c>
      <c r="B49" s="318" t="s">
        <v>626</v>
      </c>
      <c r="C49" s="103" t="s">
        <v>141</v>
      </c>
      <c r="D49" s="103" t="s">
        <v>142</v>
      </c>
      <c r="E49" s="103" t="s">
        <v>627</v>
      </c>
      <c r="F49" s="103" t="s">
        <v>144</v>
      </c>
      <c r="G49" s="105">
        <v>4254.54</v>
      </c>
      <c r="H49" s="105"/>
      <c r="I49" s="105">
        <f t="shared" si="0"/>
        <v>4254.54</v>
      </c>
    </row>
    <row r="50" spans="1:9">
      <c r="A50" s="103" t="s">
        <v>954</v>
      </c>
      <c r="B50" s="318" t="s">
        <v>628</v>
      </c>
      <c r="C50" s="103" t="s">
        <v>141</v>
      </c>
      <c r="D50" s="103" t="s">
        <v>142</v>
      </c>
      <c r="E50" s="103" t="s">
        <v>629</v>
      </c>
      <c r="F50" s="103" t="s">
        <v>144</v>
      </c>
      <c r="G50" s="105">
        <v>2256.3000000000002</v>
      </c>
      <c r="H50" s="105"/>
      <c r="I50" s="105">
        <f t="shared" si="0"/>
        <v>2256.3000000000002</v>
      </c>
    </row>
    <row r="51" spans="1:9">
      <c r="A51" s="103" t="s">
        <v>954</v>
      </c>
      <c r="B51" s="318" t="s">
        <v>630</v>
      </c>
      <c r="C51" s="103" t="s">
        <v>141</v>
      </c>
      <c r="D51" s="103" t="s">
        <v>142</v>
      </c>
      <c r="E51" s="103" t="s">
        <v>631</v>
      </c>
      <c r="F51" s="103" t="s">
        <v>144</v>
      </c>
      <c r="G51" s="105"/>
      <c r="H51" s="105">
        <v>0</v>
      </c>
      <c r="I51" s="105">
        <f t="shared" si="0"/>
        <v>0</v>
      </c>
    </row>
    <row r="52" spans="1:9">
      <c r="A52" s="103" t="s">
        <v>954</v>
      </c>
      <c r="B52" s="318" t="s">
        <v>632</v>
      </c>
      <c r="C52" s="103" t="s">
        <v>141</v>
      </c>
      <c r="D52" s="103" t="s">
        <v>142</v>
      </c>
      <c r="E52" s="103" t="s">
        <v>172</v>
      </c>
      <c r="F52" s="103" t="s">
        <v>158</v>
      </c>
      <c r="G52" s="105">
        <v>3600</v>
      </c>
      <c r="H52" s="105"/>
      <c r="I52" s="105">
        <f t="shared" si="0"/>
        <v>3600</v>
      </c>
    </row>
    <row r="53" spans="1:9">
      <c r="A53" s="103" t="s">
        <v>954</v>
      </c>
      <c r="B53" s="318" t="s">
        <v>633</v>
      </c>
      <c r="C53" s="103" t="s">
        <v>141</v>
      </c>
      <c r="D53" s="103" t="s">
        <v>142</v>
      </c>
      <c r="E53" s="103" t="s">
        <v>173</v>
      </c>
      <c r="F53" s="103" t="s">
        <v>158</v>
      </c>
      <c r="G53" s="105">
        <v>2525</v>
      </c>
      <c r="H53" s="105"/>
      <c r="I53" s="105">
        <f t="shared" si="0"/>
        <v>2525</v>
      </c>
    </row>
    <row r="54" spans="1:9">
      <c r="A54" s="103" t="s">
        <v>954</v>
      </c>
      <c r="B54" s="318" t="s">
        <v>962</v>
      </c>
      <c r="C54" s="103" t="s">
        <v>141</v>
      </c>
      <c r="D54" s="103" t="s">
        <v>142</v>
      </c>
      <c r="E54" s="103" t="s">
        <v>963</v>
      </c>
      <c r="F54" s="103" t="s">
        <v>158</v>
      </c>
      <c r="G54" s="105">
        <v>635</v>
      </c>
      <c r="H54" s="105"/>
      <c r="I54" s="105">
        <f t="shared" si="0"/>
        <v>635</v>
      </c>
    </row>
    <row r="55" spans="1:9">
      <c r="A55" s="103"/>
      <c r="B55" s="317" t="s">
        <v>634</v>
      </c>
      <c r="C55" s="103"/>
      <c r="D55" s="103"/>
      <c r="E55" s="103"/>
      <c r="F55" s="103"/>
      <c r="G55" s="105"/>
      <c r="H55" s="105"/>
      <c r="I55" s="105">
        <f t="shared" si="0"/>
        <v>0</v>
      </c>
    </row>
    <row r="56" spans="1:9">
      <c r="A56" s="103" t="s">
        <v>954</v>
      </c>
      <c r="B56" s="103" t="s">
        <v>635</v>
      </c>
      <c r="C56" s="103" t="s">
        <v>141</v>
      </c>
      <c r="D56" s="103" t="s">
        <v>142</v>
      </c>
      <c r="E56" s="103" t="s">
        <v>175</v>
      </c>
      <c r="F56" s="103" t="s">
        <v>144</v>
      </c>
      <c r="G56" s="105">
        <v>2250</v>
      </c>
      <c r="H56" s="105"/>
      <c r="I56" s="105">
        <f t="shared" si="0"/>
        <v>2250</v>
      </c>
    </row>
    <row r="57" spans="1:9">
      <c r="A57" s="103"/>
      <c r="B57" s="317" t="s">
        <v>636</v>
      </c>
      <c r="C57" s="103"/>
      <c r="D57" s="103"/>
      <c r="E57" s="103"/>
      <c r="F57" s="103"/>
      <c r="G57" s="105"/>
      <c r="H57" s="105"/>
      <c r="I57" s="105">
        <f t="shared" si="0"/>
        <v>0</v>
      </c>
    </row>
    <row r="58" spans="1:9">
      <c r="A58" s="103" t="s">
        <v>954</v>
      </c>
      <c r="B58" s="103" t="s">
        <v>637</v>
      </c>
      <c r="C58" s="103" t="s">
        <v>141</v>
      </c>
      <c r="D58" s="103" t="s">
        <v>142</v>
      </c>
      <c r="E58" s="103" t="s">
        <v>143</v>
      </c>
      <c r="F58" s="103" t="s">
        <v>168</v>
      </c>
      <c r="G58" s="105">
        <v>4500</v>
      </c>
      <c r="H58" s="105">
        <v>0</v>
      </c>
      <c r="I58" s="105">
        <f t="shared" si="0"/>
        <v>4500</v>
      </c>
    </row>
    <row r="59" spans="1:9">
      <c r="A59" s="103" t="s">
        <v>954</v>
      </c>
      <c r="B59" s="103" t="s">
        <v>638</v>
      </c>
      <c r="C59" s="103" t="s">
        <v>141</v>
      </c>
      <c r="D59" s="103" t="s">
        <v>142</v>
      </c>
      <c r="E59" s="103" t="s">
        <v>176</v>
      </c>
      <c r="F59" s="103" t="s">
        <v>174</v>
      </c>
      <c r="G59" s="105">
        <v>18350</v>
      </c>
      <c r="H59" s="105"/>
      <c r="I59" s="105">
        <f t="shared" si="0"/>
        <v>18350</v>
      </c>
    </row>
    <row r="60" spans="1:9">
      <c r="A60" s="103" t="s">
        <v>954</v>
      </c>
      <c r="B60" s="318" t="s">
        <v>639</v>
      </c>
      <c r="C60" s="103" t="s">
        <v>141</v>
      </c>
      <c r="D60" s="103" t="s">
        <v>142</v>
      </c>
      <c r="E60" s="103" t="s">
        <v>177</v>
      </c>
      <c r="F60" s="103"/>
      <c r="G60" s="105">
        <v>0</v>
      </c>
      <c r="H60" s="105">
        <v>790</v>
      </c>
      <c r="I60" s="105">
        <f t="shared" si="0"/>
        <v>790</v>
      </c>
    </row>
    <row r="61" spans="1:9">
      <c r="A61" s="103" t="s">
        <v>954</v>
      </c>
      <c r="B61" s="103" t="s">
        <v>640</v>
      </c>
      <c r="C61" s="103" t="s">
        <v>141</v>
      </c>
      <c r="D61" s="103" t="s">
        <v>142</v>
      </c>
      <c r="E61" s="103" t="s">
        <v>178</v>
      </c>
      <c r="F61" s="103" t="s">
        <v>140</v>
      </c>
      <c r="G61" s="105">
        <v>6750</v>
      </c>
      <c r="H61" s="105"/>
      <c r="I61" s="105">
        <f t="shared" si="0"/>
        <v>6750</v>
      </c>
    </row>
    <row r="62" spans="1:9">
      <c r="A62" s="103" t="s">
        <v>954</v>
      </c>
      <c r="B62" s="103" t="s">
        <v>641</v>
      </c>
      <c r="C62" s="103" t="s">
        <v>141</v>
      </c>
      <c r="D62" s="103" t="s">
        <v>142</v>
      </c>
      <c r="E62" s="103" t="s">
        <v>179</v>
      </c>
      <c r="F62" s="103" t="s">
        <v>140</v>
      </c>
      <c r="G62" s="105">
        <v>1225</v>
      </c>
      <c r="H62" s="105"/>
      <c r="I62" s="105">
        <f t="shared" si="0"/>
        <v>1225</v>
      </c>
    </row>
    <row r="63" spans="1:9">
      <c r="A63" s="103" t="s">
        <v>954</v>
      </c>
      <c r="B63" s="318" t="s">
        <v>642</v>
      </c>
      <c r="C63" s="103" t="s">
        <v>141</v>
      </c>
      <c r="D63" s="103" t="s">
        <v>142</v>
      </c>
      <c r="E63" s="103" t="s">
        <v>643</v>
      </c>
      <c r="F63" s="103"/>
      <c r="G63" s="105"/>
      <c r="H63" s="105"/>
      <c r="I63" s="105">
        <f t="shared" si="0"/>
        <v>0</v>
      </c>
    </row>
    <row r="64" spans="1:9">
      <c r="A64" s="103" t="s">
        <v>954</v>
      </c>
      <c r="B64" s="318" t="s">
        <v>644</v>
      </c>
      <c r="C64" s="103" t="s">
        <v>141</v>
      </c>
      <c r="D64" s="103" t="s">
        <v>142</v>
      </c>
      <c r="E64" s="103" t="s">
        <v>645</v>
      </c>
      <c r="F64" s="103"/>
      <c r="G64" s="105"/>
      <c r="H64" s="105"/>
      <c r="I64" s="105">
        <f t="shared" si="0"/>
        <v>0</v>
      </c>
    </row>
    <row r="65" spans="1:9">
      <c r="A65" s="103"/>
      <c r="B65" s="317" t="s">
        <v>646</v>
      </c>
      <c r="C65" s="103"/>
      <c r="D65" s="103"/>
      <c r="E65" s="103"/>
      <c r="F65" s="103"/>
      <c r="G65" s="105"/>
      <c r="H65" s="105"/>
      <c r="I65" s="105">
        <f t="shared" si="0"/>
        <v>0</v>
      </c>
    </row>
    <row r="66" spans="1:9">
      <c r="A66" s="103" t="s">
        <v>954</v>
      </c>
      <c r="B66" s="318" t="s">
        <v>647</v>
      </c>
      <c r="C66" s="103" t="s">
        <v>141</v>
      </c>
      <c r="D66" s="103" t="s">
        <v>142</v>
      </c>
      <c r="E66" s="103" t="s">
        <v>180</v>
      </c>
      <c r="F66" s="103" t="s">
        <v>140</v>
      </c>
      <c r="G66" s="105">
        <v>1561.56</v>
      </c>
      <c r="H66" s="105"/>
      <c r="I66" s="105">
        <f t="shared" si="0"/>
        <v>1561.56</v>
      </c>
    </row>
    <row r="67" spans="1:9">
      <c r="A67" s="103" t="s">
        <v>954</v>
      </c>
      <c r="B67" s="318" t="s">
        <v>648</v>
      </c>
      <c r="C67" s="103" t="s">
        <v>141</v>
      </c>
      <c r="D67" s="103" t="s">
        <v>142</v>
      </c>
      <c r="E67" s="103" t="s">
        <v>649</v>
      </c>
      <c r="F67" s="103" t="s">
        <v>140</v>
      </c>
      <c r="G67" s="105">
        <v>2595</v>
      </c>
      <c r="H67" s="105"/>
      <c r="I67" s="105">
        <f t="shared" ref="I67:I130" si="1">G67+H67</f>
        <v>2595</v>
      </c>
    </row>
    <row r="68" spans="1:9">
      <c r="A68" s="103" t="s">
        <v>954</v>
      </c>
      <c r="B68" s="318" t="s">
        <v>650</v>
      </c>
      <c r="C68" s="103" t="s">
        <v>141</v>
      </c>
      <c r="D68" s="103" t="s">
        <v>142</v>
      </c>
      <c r="E68" s="103" t="s">
        <v>651</v>
      </c>
      <c r="F68" s="103" t="s">
        <v>140</v>
      </c>
      <c r="G68" s="105">
        <v>0</v>
      </c>
      <c r="H68" s="105"/>
      <c r="I68" s="105">
        <f t="shared" si="1"/>
        <v>0</v>
      </c>
    </row>
    <row r="69" spans="1:9">
      <c r="A69" s="103" t="s">
        <v>954</v>
      </c>
      <c r="B69" s="318" t="s">
        <v>652</v>
      </c>
      <c r="C69" s="103" t="s">
        <v>141</v>
      </c>
      <c r="D69" s="103" t="s">
        <v>142</v>
      </c>
      <c r="E69" s="103" t="s">
        <v>227</v>
      </c>
      <c r="F69" s="103" t="s">
        <v>158</v>
      </c>
      <c r="G69" s="105">
        <v>565</v>
      </c>
      <c r="H69" s="105"/>
      <c r="I69" s="105">
        <f t="shared" si="1"/>
        <v>565</v>
      </c>
    </row>
    <row r="70" spans="1:9">
      <c r="A70" s="103" t="s">
        <v>954</v>
      </c>
      <c r="B70" s="318" t="s">
        <v>653</v>
      </c>
      <c r="C70" s="103" t="s">
        <v>141</v>
      </c>
      <c r="D70" s="103" t="s">
        <v>142</v>
      </c>
      <c r="E70" s="103" t="s">
        <v>182</v>
      </c>
      <c r="F70" s="103" t="s">
        <v>140</v>
      </c>
      <c r="G70" s="105">
        <v>375</v>
      </c>
      <c r="H70" s="105"/>
      <c r="I70" s="105">
        <f t="shared" si="1"/>
        <v>375</v>
      </c>
    </row>
    <row r="71" spans="1:9">
      <c r="A71" s="103"/>
      <c r="B71" s="317" t="s">
        <v>654</v>
      </c>
      <c r="C71" s="103"/>
      <c r="D71" s="103"/>
      <c r="E71" s="103"/>
      <c r="F71" s="103"/>
      <c r="G71" s="105"/>
      <c r="H71" s="105"/>
      <c r="I71" s="105">
        <f t="shared" si="1"/>
        <v>0</v>
      </c>
    </row>
    <row r="72" spans="1:9">
      <c r="A72" s="103" t="s">
        <v>954</v>
      </c>
      <c r="B72" s="318" t="s">
        <v>655</v>
      </c>
      <c r="C72" s="103" t="s">
        <v>141</v>
      </c>
      <c r="D72" s="103" t="s">
        <v>142</v>
      </c>
      <c r="E72" s="103" t="s">
        <v>143</v>
      </c>
      <c r="F72" s="103" t="s">
        <v>168</v>
      </c>
      <c r="G72" s="105"/>
      <c r="H72" s="105"/>
      <c r="I72" s="105">
        <f t="shared" si="1"/>
        <v>0</v>
      </c>
    </row>
    <row r="73" spans="1:9">
      <c r="A73" s="103" t="s">
        <v>954</v>
      </c>
      <c r="B73" s="318" t="s">
        <v>656</v>
      </c>
      <c r="C73" s="103" t="s">
        <v>141</v>
      </c>
      <c r="D73" s="103" t="s">
        <v>142</v>
      </c>
      <c r="E73" s="103" t="s">
        <v>183</v>
      </c>
      <c r="F73" s="103" t="s">
        <v>140</v>
      </c>
      <c r="G73" s="105">
        <v>2538</v>
      </c>
      <c r="H73" s="105"/>
      <c r="I73" s="105">
        <f t="shared" si="1"/>
        <v>2538</v>
      </c>
    </row>
    <row r="74" spans="1:9">
      <c r="A74" s="103" t="s">
        <v>954</v>
      </c>
      <c r="B74" s="318" t="s">
        <v>657</v>
      </c>
      <c r="C74" s="103" t="s">
        <v>141</v>
      </c>
      <c r="D74" s="103" t="s">
        <v>142</v>
      </c>
      <c r="E74" s="103" t="s">
        <v>500</v>
      </c>
      <c r="F74" s="103"/>
      <c r="G74" s="105"/>
      <c r="H74" s="105"/>
      <c r="I74" s="105">
        <f t="shared" si="1"/>
        <v>0</v>
      </c>
    </row>
    <row r="75" spans="1:9">
      <c r="A75" s="103" t="s">
        <v>954</v>
      </c>
      <c r="B75" s="318" t="s">
        <v>658</v>
      </c>
      <c r="C75" s="103" t="s">
        <v>141</v>
      </c>
      <c r="D75" s="103" t="s">
        <v>142</v>
      </c>
      <c r="E75" s="103" t="s">
        <v>501</v>
      </c>
      <c r="F75" s="103" t="s">
        <v>158</v>
      </c>
      <c r="G75" s="105">
        <v>1650</v>
      </c>
      <c r="H75" s="105"/>
      <c r="I75" s="105">
        <f t="shared" si="1"/>
        <v>1650</v>
      </c>
    </row>
    <row r="76" spans="1:9">
      <c r="A76" s="103" t="s">
        <v>954</v>
      </c>
      <c r="B76" s="318" t="s">
        <v>659</v>
      </c>
      <c r="C76" s="103" t="s">
        <v>141</v>
      </c>
      <c r="D76" s="103" t="s">
        <v>142</v>
      </c>
      <c r="E76" s="103" t="s">
        <v>502</v>
      </c>
      <c r="F76" s="103"/>
      <c r="G76" s="105">
        <v>0</v>
      </c>
      <c r="H76" s="105"/>
      <c r="I76" s="105">
        <f t="shared" si="1"/>
        <v>0</v>
      </c>
    </row>
    <row r="77" spans="1:9">
      <c r="A77" s="103" t="s">
        <v>954</v>
      </c>
      <c r="B77" s="103" t="s">
        <v>660</v>
      </c>
      <c r="C77" s="103" t="s">
        <v>141</v>
      </c>
      <c r="D77" s="103" t="s">
        <v>142</v>
      </c>
      <c r="E77" s="103" t="s">
        <v>396</v>
      </c>
      <c r="F77" s="103" t="s">
        <v>184</v>
      </c>
      <c r="G77" s="105">
        <v>615</v>
      </c>
      <c r="H77" s="105"/>
      <c r="I77" s="105">
        <f t="shared" si="1"/>
        <v>615</v>
      </c>
    </row>
    <row r="78" spans="1:9">
      <c r="A78" s="103" t="s">
        <v>954</v>
      </c>
      <c r="B78" s="318" t="s">
        <v>661</v>
      </c>
      <c r="C78" s="103" t="s">
        <v>141</v>
      </c>
      <c r="D78" s="103" t="s">
        <v>142</v>
      </c>
      <c r="E78" s="103" t="s">
        <v>397</v>
      </c>
      <c r="F78" s="103" t="s">
        <v>158</v>
      </c>
      <c r="G78" s="105">
        <v>965</v>
      </c>
      <c r="H78" s="105"/>
      <c r="I78" s="105">
        <f t="shared" si="1"/>
        <v>965</v>
      </c>
    </row>
    <row r="79" spans="1:9">
      <c r="A79" s="103" t="s">
        <v>954</v>
      </c>
      <c r="B79" s="318" t="s">
        <v>662</v>
      </c>
      <c r="C79" s="103" t="s">
        <v>141</v>
      </c>
      <c r="D79" s="103" t="s">
        <v>142</v>
      </c>
      <c r="E79" s="103" t="s">
        <v>663</v>
      </c>
      <c r="F79" s="103" t="s">
        <v>158</v>
      </c>
      <c r="G79" s="105">
        <v>410</v>
      </c>
      <c r="H79" s="105"/>
      <c r="I79" s="105">
        <f t="shared" si="1"/>
        <v>410</v>
      </c>
    </row>
    <row r="80" spans="1:9">
      <c r="A80" s="103"/>
      <c r="B80" s="319" t="s">
        <v>664</v>
      </c>
      <c r="C80" s="103"/>
      <c r="D80" s="103"/>
      <c r="E80" s="103"/>
      <c r="F80" s="103"/>
      <c r="G80" s="105"/>
      <c r="H80" s="105"/>
      <c r="I80" s="105">
        <f t="shared" si="1"/>
        <v>0</v>
      </c>
    </row>
    <row r="81" spans="1:9">
      <c r="A81" s="103" t="s">
        <v>954</v>
      </c>
      <c r="B81" s="318" t="s">
        <v>665</v>
      </c>
      <c r="C81" s="103" t="s">
        <v>141</v>
      </c>
      <c r="D81" s="103" t="s">
        <v>142</v>
      </c>
      <c r="E81" s="103" t="s">
        <v>398</v>
      </c>
      <c r="F81" s="103" t="s">
        <v>140</v>
      </c>
      <c r="G81" s="105">
        <v>2901.6</v>
      </c>
      <c r="H81" s="105"/>
      <c r="I81" s="105">
        <f t="shared" si="1"/>
        <v>2901.6</v>
      </c>
    </row>
    <row r="82" spans="1:9">
      <c r="A82" s="103" t="s">
        <v>954</v>
      </c>
      <c r="B82" s="318" t="s">
        <v>666</v>
      </c>
      <c r="C82" s="103" t="s">
        <v>141</v>
      </c>
      <c r="D82" s="103" t="s">
        <v>142</v>
      </c>
      <c r="E82" s="103" t="s">
        <v>399</v>
      </c>
      <c r="F82" s="103" t="s">
        <v>168</v>
      </c>
      <c r="G82" s="105">
        <v>520</v>
      </c>
      <c r="H82" s="105"/>
      <c r="I82" s="105">
        <f t="shared" si="1"/>
        <v>520</v>
      </c>
    </row>
    <row r="83" spans="1:9">
      <c r="A83" s="103" t="s">
        <v>954</v>
      </c>
      <c r="B83" s="318" t="s">
        <v>667</v>
      </c>
      <c r="C83" s="103" t="s">
        <v>141</v>
      </c>
      <c r="D83" s="103" t="s">
        <v>142</v>
      </c>
      <c r="E83" s="103" t="s">
        <v>400</v>
      </c>
      <c r="F83" s="103" t="s">
        <v>140</v>
      </c>
      <c r="G83" s="105">
        <v>177.32</v>
      </c>
      <c r="H83" s="105"/>
      <c r="I83" s="105">
        <f t="shared" si="1"/>
        <v>177.32</v>
      </c>
    </row>
    <row r="84" spans="1:9">
      <c r="A84" s="103" t="s">
        <v>954</v>
      </c>
      <c r="B84" s="318" t="s">
        <v>668</v>
      </c>
      <c r="C84" s="103" t="s">
        <v>141</v>
      </c>
      <c r="D84" s="103" t="s">
        <v>142</v>
      </c>
      <c r="E84" s="103" t="s">
        <v>401</v>
      </c>
      <c r="F84" s="103" t="s">
        <v>168</v>
      </c>
      <c r="G84" s="105">
        <v>285</v>
      </c>
      <c r="H84" s="105"/>
      <c r="I84" s="105">
        <f t="shared" si="1"/>
        <v>285</v>
      </c>
    </row>
    <row r="85" spans="1:9">
      <c r="A85" s="103"/>
      <c r="B85" s="319" t="s">
        <v>669</v>
      </c>
      <c r="C85" s="103"/>
      <c r="D85" s="103"/>
      <c r="E85" s="103"/>
      <c r="F85" s="103"/>
      <c r="G85" s="105"/>
      <c r="H85" s="105"/>
      <c r="I85" s="105">
        <f t="shared" si="1"/>
        <v>0</v>
      </c>
    </row>
    <row r="86" spans="1:9">
      <c r="A86" s="103"/>
      <c r="B86" s="318" t="s">
        <v>964</v>
      </c>
      <c r="C86" s="103" t="s">
        <v>141</v>
      </c>
      <c r="D86" s="103" t="s">
        <v>142</v>
      </c>
      <c r="E86" s="103" t="s">
        <v>965</v>
      </c>
      <c r="F86" s="103" t="s">
        <v>158</v>
      </c>
      <c r="G86" s="105">
        <v>1650</v>
      </c>
      <c r="H86" s="105"/>
      <c r="I86" s="105">
        <f t="shared" si="1"/>
        <v>1650</v>
      </c>
    </row>
    <row r="87" spans="1:9">
      <c r="A87" s="103" t="s">
        <v>954</v>
      </c>
      <c r="B87" s="103" t="s">
        <v>670</v>
      </c>
      <c r="C87" s="103" t="s">
        <v>141</v>
      </c>
      <c r="D87" s="103" t="s">
        <v>142</v>
      </c>
      <c r="E87" s="103" t="s">
        <v>185</v>
      </c>
      <c r="F87" s="103" t="s">
        <v>168</v>
      </c>
      <c r="G87" s="105">
        <v>191.24</v>
      </c>
      <c r="H87" s="105"/>
      <c r="I87" s="105">
        <f t="shared" si="1"/>
        <v>191.24</v>
      </c>
    </row>
    <row r="88" spans="1:9">
      <c r="A88" s="103" t="s">
        <v>954</v>
      </c>
      <c r="B88" s="103" t="s">
        <v>671</v>
      </c>
      <c r="C88" s="103" t="s">
        <v>141</v>
      </c>
      <c r="D88" s="103" t="s">
        <v>142</v>
      </c>
      <c r="E88" s="103" t="s">
        <v>186</v>
      </c>
      <c r="F88" s="103" t="s">
        <v>168</v>
      </c>
      <c r="G88" s="105">
        <v>116.11</v>
      </c>
      <c r="H88" s="105"/>
      <c r="I88" s="105">
        <f t="shared" si="1"/>
        <v>116.11</v>
      </c>
    </row>
    <row r="89" spans="1:9">
      <c r="A89" s="103" t="s">
        <v>954</v>
      </c>
      <c r="B89" s="318" t="s">
        <v>672</v>
      </c>
      <c r="C89" s="103" t="s">
        <v>141</v>
      </c>
      <c r="D89" s="103" t="s">
        <v>142</v>
      </c>
      <c r="E89" s="103" t="s">
        <v>673</v>
      </c>
      <c r="F89" s="103" t="s">
        <v>168</v>
      </c>
      <c r="G89" s="105">
        <v>195</v>
      </c>
      <c r="H89" s="105"/>
      <c r="I89" s="105">
        <f t="shared" si="1"/>
        <v>195</v>
      </c>
    </row>
    <row r="90" spans="1:9">
      <c r="A90" s="103"/>
      <c r="B90" s="317" t="s">
        <v>674</v>
      </c>
      <c r="C90" s="103"/>
      <c r="D90" s="103"/>
      <c r="E90" s="103"/>
      <c r="F90" s="103"/>
      <c r="G90" s="105"/>
      <c r="H90" s="105"/>
      <c r="I90" s="105">
        <f t="shared" si="1"/>
        <v>0</v>
      </c>
    </row>
    <row r="91" spans="1:9">
      <c r="A91" s="103" t="s">
        <v>954</v>
      </c>
      <c r="B91" s="318" t="s">
        <v>966</v>
      </c>
      <c r="C91" s="103" t="s">
        <v>141</v>
      </c>
      <c r="D91" s="103" t="s">
        <v>142</v>
      </c>
      <c r="E91" s="103" t="s">
        <v>187</v>
      </c>
      <c r="F91" s="103" t="s">
        <v>144</v>
      </c>
      <c r="G91" s="105">
        <v>870</v>
      </c>
      <c r="H91" s="105"/>
      <c r="I91" s="105">
        <f t="shared" si="1"/>
        <v>870</v>
      </c>
    </row>
    <row r="92" spans="1:9">
      <c r="A92" s="103"/>
      <c r="B92" s="319" t="s">
        <v>188</v>
      </c>
      <c r="C92" s="103"/>
      <c r="D92" s="103"/>
      <c r="E92" s="103"/>
      <c r="F92" s="103"/>
      <c r="G92" s="105"/>
      <c r="H92" s="105"/>
      <c r="I92" s="105">
        <f t="shared" si="1"/>
        <v>0</v>
      </c>
    </row>
    <row r="93" spans="1:9">
      <c r="A93" s="103" t="s">
        <v>954</v>
      </c>
      <c r="B93" s="318" t="s">
        <v>675</v>
      </c>
      <c r="C93" s="103" t="s">
        <v>141</v>
      </c>
      <c r="D93" s="103" t="s">
        <v>142</v>
      </c>
      <c r="E93" s="103" t="s">
        <v>188</v>
      </c>
      <c r="F93" s="103"/>
      <c r="G93" s="105">
        <v>0</v>
      </c>
      <c r="H93" s="105">
        <v>0</v>
      </c>
      <c r="I93" s="105">
        <f t="shared" si="1"/>
        <v>0</v>
      </c>
    </row>
    <row r="94" spans="1:9">
      <c r="A94" s="103"/>
      <c r="B94" s="317" t="s">
        <v>676</v>
      </c>
      <c r="C94" s="103"/>
      <c r="D94" s="103"/>
      <c r="E94" s="103"/>
      <c r="F94" s="103"/>
      <c r="G94" s="105"/>
      <c r="H94" s="105"/>
      <c r="I94" s="105">
        <f t="shared" si="1"/>
        <v>0</v>
      </c>
    </row>
    <row r="95" spans="1:9">
      <c r="A95" s="103" t="s">
        <v>954</v>
      </c>
      <c r="B95" s="318" t="s">
        <v>677</v>
      </c>
      <c r="C95" s="103" t="s">
        <v>141</v>
      </c>
      <c r="D95" s="103" t="s">
        <v>142</v>
      </c>
      <c r="E95" s="103" t="s">
        <v>678</v>
      </c>
      <c r="F95" s="103" t="s">
        <v>144</v>
      </c>
      <c r="G95" s="105">
        <v>2700</v>
      </c>
      <c r="H95" s="105"/>
      <c r="I95" s="105">
        <f t="shared" si="1"/>
        <v>2700</v>
      </c>
    </row>
    <row r="96" spans="1:9">
      <c r="A96" s="103" t="s">
        <v>954</v>
      </c>
      <c r="B96" s="318" t="s">
        <v>679</v>
      </c>
      <c r="C96" s="103" t="s">
        <v>141</v>
      </c>
      <c r="D96" s="103" t="s">
        <v>142</v>
      </c>
      <c r="E96" s="103" t="s">
        <v>680</v>
      </c>
      <c r="F96" s="103" t="s">
        <v>144</v>
      </c>
      <c r="G96" s="105">
        <v>447.93</v>
      </c>
      <c r="H96" s="105"/>
      <c r="I96" s="105">
        <f t="shared" si="1"/>
        <v>447.93</v>
      </c>
    </row>
    <row r="97" spans="1:9">
      <c r="A97" s="103" t="s">
        <v>954</v>
      </c>
      <c r="B97" s="318" t="s">
        <v>681</v>
      </c>
      <c r="C97" s="103" t="s">
        <v>141</v>
      </c>
      <c r="D97" s="103" t="s">
        <v>142</v>
      </c>
      <c r="E97" s="103" t="s">
        <v>682</v>
      </c>
      <c r="F97" s="103" t="s">
        <v>144</v>
      </c>
      <c r="G97" s="105">
        <v>706.86</v>
      </c>
      <c r="H97" s="105"/>
      <c r="I97" s="105">
        <f t="shared" si="1"/>
        <v>706.86</v>
      </c>
    </row>
    <row r="98" spans="1:9">
      <c r="A98" s="103"/>
      <c r="B98" s="319" t="s">
        <v>967</v>
      </c>
      <c r="C98" s="103"/>
      <c r="D98" s="103"/>
      <c r="E98" s="103"/>
      <c r="F98" s="103"/>
      <c r="G98" s="105"/>
      <c r="H98" s="105"/>
      <c r="I98" s="105">
        <f t="shared" si="1"/>
        <v>0</v>
      </c>
    </row>
    <row r="99" spans="1:9">
      <c r="A99" s="103"/>
      <c r="B99" s="318" t="s">
        <v>968</v>
      </c>
      <c r="C99" s="103" t="s">
        <v>969</v>
      </c>
      <c r="D99" s="103" t="s">
        <v>142</v>
      </c>
      <c r="E99" s="103" t="s">
        <v>970</v>
      </c>
      <c r="F99" s="103" t="s">
        <v>144</v>
      </c>
      <c r="G99" s="105">
        <v>300</v>
      </c>
      <c r="H99" s="105"/>
      <c r="I99" s="105">
        <f t="shared" si="1"/>
        <v>300</v>
      </c>
    </row>
    <row r="100" spans="1:9">
      <c r="A100" s="103"/>
      <c r="B100" s="319" t="s">
        <v>971</v>
      </c>
      <c r="C100" s="103"/>
      <c r="D100" s="103"/>
      <c r="E100" s="103"/>
      <c r="F100" s="103"/>
      <c r="G100" s="105"/>
      <c r="H100" s="105"/>
      <c r="I100" s="105">
        <f t="shared" si="1"/>
        <v>0</v>
      </c>
    </row>
    <row r="101" spans="1:9">
      <c r="A101" s="318" t="s">
        <v>972</v>
      </c>
      <c r="B101" s="318" t="s">
        <v>973</v>
      </c>
      <c r="C101" s="103" t="s">
        <v>141</v>
      </c>
      <c r="D101" s="103" t="s">
        <v>142</v>
      </c>
      <c r="E101" s="103" t="s">
        <v>974</v>
      </c>
      <c r="F101" s="103" t="s">
        <v>140</v>
      </c>
      <c r="G101" s="105">
        <v>0</v>
      </c>
      <c r="H101" s="105"/>
      <c r="I101" s="105">
        <f t="shared" si="1"/>
        <v>0</v>
      </c>
    </row>
    <row r="102" spans="1:9">
      <c r="A102" s="318" t="s">
        <v>972</v>
      </c>
      <c r="B102" s="318" t="s">
        <v>975</v>
      </c>
      <c r="C102" s="103" t="s">
        <v>220</v>
      </c>
      <c r="D102" s="103" t="s">
        <v>142</v>
      </c>
      <c r="E102" s="103" t="s">
        <v>189</v>
      </c>
      <c r="F102" s="103" t="s">
        <v>140</v>
      </c>
      <c r="G102" s="105">
        <v>3976.35</v>
      </c>
      <c r="H102" s="105"/>
      <c r="I102" s="105">
        <f t="shared" si="1"/>
        <v>3976.35</v>
      </c>
    </row>
    <row r="103" spans="1:9">
      <c r="A103" s="318" t="s">
        <v>972</v>
      </c>
      <c r="B103" s="318" t="s">
        <v>976</v>
      </c>
      <c r="C103" s="103" t="s">
        <v>141</v>
      </c>
      <c r="D103" s="103" t="s">
        <v>142</v>
      </c>
      <c r="E103" s="103" t="s">
        <v>977</v>
      </c>
      <c r="F103" s="103" t="s">
        <v>140</v>
      </c>
      <c r="G103" s="105">
        <v>1925</v>
      </c>
      <c r="H103" s="105"/>
      <c r="I103" s="105">
        <f t="shared" si="1"/>
        <v>1925</v>
      </c>
    </row>
    <row r="104" spans="1:9">
      <c r="A104" s="103"/>
      <c r="B104" s="317" t="s">
        <v>683</v>
      </c>
      <c r="C104" s="103"/>
      <c r="D104" s="103"/>
      <c r="E104" s="103"/>
      <c r="F104" s="103"/>
      <c r="G104" s="105"/>
      <c r="H104" s="105"/>
      <c r="I104" s="105">
        <f t="shared" si="1"/>
        <v>0</v>
      </c>
    </row>
    <row r="105" spans="1:9">
      <c r="A105" s="103" t="s">
        <v>954</v>
      </c>
      <c r="B105" s="318" t="s">
        <v>684</v>
      </c>
      <c r="C105" s="103" t="s">
        <v>141</v>
      </c>
      <c r="D105" s="103" t="s">
        <v>142</v>
      </c>
      <c r="E105" s="103" t="s">
        <v>189</v>
      </c>
      <c r="F105" s="103" t="s">
        <v>158</v>
      </c>
      <c r="G105" s="105">
        <v>6327</v>
      </c>
      <c r="H105" s="105"/>
      <c r="I105" s="105">
        <f t="shared" si="1"/>
        <v>6327</v>
      </c>
    </row>
    <row r="106" spans="1:9">
      <c r="A106" s="103" t="s">
        <v>954</v>
      </c>
      <c r="B106" s="318" t="s">
        <v>685</v>
      </c>
      <c r="C106" s="103" t="s">
        <v>141</v>
      </c>
      <c r="D106" s="103" t="s">
        <v>402</v>
      </c>
      <c r="E106" s="103" t="s">
        <v>686</v>
      </c>
      <c r="F106" s="103" t="s">
        <v>158</v>
      </c>
      <c r="G106" s="105">
        <v>2700</v>
      </c>
      <c r="H106" s="105"/>
      <c r="I106" s="105">
        <f t="shared" si="1"/>
        <v>2700</v>
      </c>
    </row>
    <row r="107" spans="1:9">
      <c r="A107" s="103" t="s">
        <v>954</v>
      </c>
      <c r="B107" s="318" t="s">
        <v>687</v>
      </c>
      <c r="C107" s="103" t="s">
        <v>141</v>
      </c>
      <c r="D107" s="103" t="s">
        <v>402</v>
      </c>
      <c r="E107" s="103" t="s">
        <v>688</v>
      </c>
      <c r="F107" s="103" t="s">
        <v>689</v>
      </c>
      <c r="G107" s="105">
        <v>1200</v>
      </c>
      <c r="H107" s="105"/>
      <c r="I107" s="105">
        <f t="shared" si="1"/>
        <v>1200</v>
      </c>
    </row>
    <row r="108" spans="1:9">
      <c r="A108" s="103" t="s">
        <v>954</v>
      </c>
      <c r="B108" s="318" t="s">
        <v>690</v>
      </c>
      <c r="C108" s="103" t="s">
        <v>141</v>
      </c>
      <c r="D108" s="103" t="s">
        <v>142</v>
      </c>
      <c r="E108" s="103" t="s">
        <v>691</v>
      </c>
      <c r="F108" s="103" t="s">
        <v>158</v>
      </c>
      <c r="G108" s="105">
        <v>0</v>
      </c>
      <c r="H108" s="105"/>
      <c r="I108" s="105">
        <f t="shared" si="1"/>
        <v>0</v>
      </c>
    </row>
    <row r="109" spans="1:9">
      <c r="A109" s="103" t="s">
        <v>954</v>
      </c>
      <c r="B109" s="318" t="s">
        <v>692</v>
      </c>
      <c r="C109" s="103" t="s">
        <v>141</v>
      </c>
      <c r="D109" s="103" t="s">
        <v>142</v>
      </c>
      <c r="E109" s="103" t="s">
        <v>693</v>
      </c>
      <c r="F109" s="103" t="s">
        <v>689</v>
      </c>
      <c r="G109" s="105">
        <v>0</v>
      </c>
      <c r="H109" s="105"/>
      <c r="I109" s="105">
        <f t="shared" si="1"/>
        <v>0</v>
      </c>
    </row>
    <row r="110" spans="1:9">
      <c r="A110" s="103"/>
      <c r="B110" s="319" t="s">
        <v>694</v>
      </c>
      <c r="C110" s="103"/>
      <c r="D110" s="103"/>
      <c r="E110" s="103"/>
      <c r="F110" s="103"/>
      <c r="G110" s="105"/>
      <c r="H110" s="105"/>
      <c r="I110" s="105">
        <f t="shared" si="1"/>
        <v>0</v>
      </c>
    </row>
    <row r="111" spans="1:9">
      <c r="A111" s="103" t="s">
        <v>954</v>
      </c>
      <c r="B111" s="318" t="s">
        <v>695</v>
      </c>
      <c r="C111" s="103" t="s">
        <v>141</v>
      </c>
      <c r="D111" s="103" t="s">
        <v>142</v>
      </c>
      <c r="E111" s="103" t="s">
        <v>696</v>
      </c>
      <c r="F111" s="103" t="s">
        <v>140</v>
      </c>
      <c r="G111" s="105"/>
      <c r="H111" s="105"/>
      <c r="I111" s="105">
        <f t="shared" si="1"/>
        <v>0</v>
      </c>
    </row>
    <row r="112" spans="1:9">
      <c r="A112" s="103" t="s">
        <v>954</v>
      </c>
      <c r="B112" s="318" t="s">
        <v>697</v>
      </c>
      <c r="C112" s="103" t="s">
        <v>141</v>
      </c>
      <c r="D112" s="103" t="s">
        <v>142</v>
      </c>
      <c r="E112" s="103" t="s">
        <v>698</v>
      </c>
      <c r="F112" s="103" t="s">
        <v>140</v>
      </c>
      <c r="G112" s="105"/>
      <c r="H112" s="105">
        <v>0</v>
      </c>
      <c r="I112" s="105">
        <f t="shared" si="1"/>
        <v>0</v>
      </c>
    </row>
    <row r="113" spans="1:9">
      <c r="A113" s="103" t="s">
        <v>978</v>
      </c>
      <c r="B113" s="318" t="s">
        <v>699</v>
      </c>
      <c r="C113" s="103" t="s">
        <v>141</v>
      </c>
      <c r="D113" s="103" t="s">
        <v>142</v>
      </c>
      <c r="E113" s="103" t="s">
        <v>700</v>
      </c>
      <c r="F113" s="103" t="s">
        <v>140</v>
      </c>
      <c r="G113" s="105"/>
      <c r="H113" s="105">
        <v>5000</v>
      </c>
      <c r="I113" s="105">
        <f t="shared" si="1"/>
        <v>5000</v>
      </c>
    </row>
    <row r="114" spans="1:9">
      <c r="A114" s="103"/>
      <c r="B114" s="317" t="s">
        <v>701</v>
      </c>
      <c r="C114" s="103"/>
      <c r="D114" s="103"/>
      <c r="E114" s="103"/>
      <c r="F114" s="103"/>
      <c r="G114" s="105"/>
      <c r="H114" s="105"/>
      <c r="I114" s="105">
        <f t="shared" si="1"/>
        <v>0</v>
      </c>
    </row>
    <row r="115" spans="1:9">
      <c r="A115" s="103" t="s">
        <v>954</v>
      </c>
      <c r="B115" s="318" t="s">
        <v>702</v>
      </c>
      <c r="C115" s="103" t="s">
        <v>141</v>
      </c>
      <c r="D115" s="103" t="s">
        <v>142</v>
      </c>
      <c r="E115" s="103" t="s">
        <v>190</v>
      </c>
      <c r="F115" s="103" t="s">
        <v>140</v>
      </c>
      <c r="G115" s="105"/>
      <c r="H115" s="105">
        <f>20000-10000</f>
        <v>10000</v>
      </c>
      <c r="I115" s="105">
        <f t="shared" si="1"/>
        <v>10000</v>
      </c>
    </row>
    <row r="116" spans="1:9">
      <c r="A116" s="103"/>
      <c r="B116" s="319" t="s">
        <v>703</v>
      </c>
      <c r="C116" s="103"/>
      <c r="D116" s="103"/>
      <c r="E116" s="103"/>
      <c r="F116" s="103"/>
      <c r="G116" s="105"/>
      <c r="H116" s="105"/>
      <c r="I116" s="105">
        <f t="shared" si="1"/>
        <v>0</v>
      </c>
    </row>
    <row r="117" spans="1:9">
      <c r="A117" s="103" t="s">
        <v>954</v>
      </c>
      <c r="B117" s="103" t="s">
        <v>704</v>
      </c>
      <c r="C117" s="103" t="s">
        <v>141</v>
      </c>
      <c r="D117" s="103" t="s">
        <v>142</v>
      </c>
      <c r="E117" s="103" t="s">
        <v>191</v>
      </c>
      <c r="F117" s="103" t="s">
        <v>140</v>
      </c>
      <c r="G117" s="105">
        <v>16535</v>
      </c>
      <c r="H117" s="105"/>
      <c r="I117" s="105">
        <f t="shared" si="1"/>
        <v>16535</v>
      </c>
    </row>
    <row r="118" spans="1:9">
      <c r="A118" s="103" t="s">
        <v>954</v>
      </c>
      <c r="B118" s="318" t="s">
        <v>705</v>
      </c>
      <c r="C118" s="103" t="s">
        <v>141</v>
      </c>
      <c r="D118" s="103" t="s">
        <v>142</v>
      </c>
      <c r="E118" s="103" t="s">
        <v>192</v>
      </c>
      <c r="F118" s="103"/>
      <c r="G118" s="105"/>
      <c r="H118" s="105">
        <v>3000</v>
      </c>
      <c r="I118" s="105">
        <f t="shared" si="1"/>
        <v>3000</v>
      </c>
    </row>
    <row r="119" spans="1:9">
      <c r="A119" s="103" t="s">
        <v>954</v>
      </c>
      <c r="B119" s="318" t="s">
        <v>706</v>
      </c>
      <c r="C119" s="103" t="s">
        <v>141</v>
      </c>
      <c r="D119" s="103" t="s">
        <v>142</v>
      </c>
      <c r="E119" s="103" t="s">
        <v>193</v>
      </c>
      <c r="F119" s="103"/>
      <c r="G119" s="105"/>
      <c r="H119" s="105">
        <v>3000</v>
      </c>
      <c r="I119" s="105">
        <f t="shared" si="1"/>
        <v>3000</v>
      </c>
    </row>
    <row r="120" spans="1:9">
      <c r="A120" s="103" t="s">
        <v>954</v>
      </c>
      <c r="B120" s="103" t="s">
        <v>707</v>
      </c>
      <c r="C120" s="103" t="s">
        <v>141</v>
      </c>
      <c r="D120" s="103" t="s">
        <v>142</v>
      </c>
      <c r="E120" s="103" t="s">
        <v>194</v>
      </c>
      <c r="F120" s="103" t="s">
        <v>140</v>
      </c>
      <c r="G120" s="105">
        <v>11328</v>
      </c>
      <c r="H120" s="105"/>
      <c r="I120" s="105">
        <f t="shared" si="1"/>
        <v>11328</v>
      </c>
    </row>
    <row r="121" spans="1:9">
      <c r="A121" s="103" t="s">
        <v>954</v>
      </c>
      <c r="B121" s="103" t="s">
        <v>708</v>
      </c>
      <c r="C121" s="103" t="s">
        <v>141</v>
      </c>
      <c r="D121" s="103" t="s">
        <v>142</v>
      </c>
      <c r="E121" s="103" t="s">
        <v>195</v>
      </c>
      <c r="F121" s="103" t="s">
        <v>140</v>
      </c>
      <c r="G121" s="105">
        <v>10879</v>
      </c>
      <c r="H121" s="105"/>
      <c r="I121" s="105">
        <f t="shared" si="1"/>
        <v>10879</v>
      </c>
    </row>
    <row r="122" spans="1:9">
      <c r="A122" s="103" t="s">
        <v>954</v>
      </c>
      <c r="B122" s="103" t="s">
        <v>709</v>
      </c>
      <c r="C122" s="103" t="s">
        <v>141</v>
      </c>
      <c r="D122" s="103" t="s">
        <v>142</v>
      </c>
      <c r="E122" s="103" t="s">
        <v>196</v>
      </c>
      <c r="F122" s="103" t="s">
        <v>140</v>
      </c>
      <c r="G122" s="105">
        <v>8184</v>
      </c>
      <c r="H122" s="105"/>
      <c r="I122" s="105">
        <f t="shared" si="1"/>
        <v>8184</v>
      </c>
    </row>
    <row r="123" spans="1:9">
      <c r="A123" s="103" t="s">
        <v>954</v>
      </c>
      <c r="B123" s="103" t="s">
        <v>710</v>
      </c>
      <c r="C123" s="103" t="s">
        <v>141</v>
      </c>
      <c r="D123" s="103" t="s">
        <v>142</v>
      </c>
      <c r="E123" s="103" t="s">
        <v>197</v>
      </c>
      <c r="F123" s="103" t="s">
        <v>147</v>
      </c>
      <c r="G123" s="105">
        <v>1885.69</v>
      </c>
      <c r="H123" s="105"/>
      <c r="I123" s="105">
        <f t="shared" si="1"/>
        <v>1885.69</v>
      </c>
    </row>
    <row r="124" spans="1:9">
      <c r="A124" s="103" t="s">
        <v>978</v>
      </c>
      <c r="B124" s="103" t="s">
        <v>711</v>
      </c>
      <c r="C124" s="103" t="s">
        <v>141</v>
      </c>
      <c r="D124" s="103" t="s">
        <v>142</v>
      </c>
      <c r="E124" s="103" t="s">
        <v>198</v>
      </c>
      <c r="F124" s="103" t="s">
        <v>199</v>
      </c>
      <c r="G124" s="105">
        <v>367</v>
      </c>
      <c r="H124" s="105"/>
      <c r="I124" s="105">
        <f t="shared" si="1"/>
        <v>367</v>
      </c>
    </row>
    <row r="125" spans="1:9">
      <c r="A125" s="103"/>
      <c r="B125" s="317" t="s">
        <v>712</v>
      </c>
      <c r="C125" s="103"/>
      <c r="D125" s="103"/>
      <c r="E125" s="103"/>
      <c r="F125" s="103"/>
      <c r="G125" s="105"/>
      <c r="H125" s="105"/>
      <c r="I125" s="105">
        <f t="shared" si="1"/>
        <v>0</v>
      </c>
    </row>
    <row r="126" spans="1:9">
      <c r="A126" s="103" t="s">
        <v>954</v>
      </c>
      <c r="B126" s="103" t="s">
        <v>713</v>
      </c>
      <c r="C126" s="103" t="s">
        <v>141</v>
      </c>
      <c r="D126" s="103" t="s">
        <v>142</v>
      </c>
      <c r="E126" s="103" t="s">
        <v>200</v>
      </c>
      <c r="F126" s="103" t="s">
        <v>158</v>
      </c>
      <c r="G126" s="105">
        <v>5852</v>
      </c>
      <c r="H126" s="105"/>
      <c r="I126" s="105">
        <f t="shared" si="1"/>
        <v>5852</v>
      </c>
    </row>
    <row r="127" spans="1:9">
      <c r="A127" s="103" t="s">
        <v>954</v>
      </c>
      <c r="B127" s="103" t="s">
        <v>714</v>
      </c>
      <c r="C127" s="103" t="s">
        <v>141</v>
      </c>
      <c r="D127" s="103" t="s">
        <v>142</v>
      </c>
      <c r="E127" s="103" t="s">
        <v>201</v>
      </c>
      <c r="F127" s="103" t="s">
        <v>147</v>
      </c>
      <c r="G127" s="105">
        <v>3365</v>
      </c>
      <c r="H127" s="105"/>
      <c r="I127" s="105">
        <f t="shared" si="1"/>
        <v>3365</v>
      </c>
    </row>
    <row r="128" spans="1:9">
      <c r="A128" s="103" t="s">
        <v>954</v>
      </c>
      <c r="B128" s="103" t="s">
        <v>715</v>
      </c>
      <c r="C128" s="103" t="s">
        <v>141</v>
      </c>
      <c r="D128" s="103" t="s">
        <v>142</v>
      </c>
      <c r="E128" s="103" t="s">
        <v>202</v>
      </c>
      <c r="F128" s="103" t="s">
        <v>140</v>
      </c>
      <c r="G128" s="105">
        <v>14818.98</v>
      </c>
      <c r="H128" s="105"/>
      <c r="I128" s="105">
        <f t="shared" si="1"/>
        <v>14818.98</v>
      </c>
    </row>
    <row r="129" spans="1:9">
      <c r="A129" s="103" t="s">
        <v>954</v>
      </c>
      <c r="B129" s="103" t="s">
        <v>715</v>
      </c>
      <c r="C129" s="103" t="s">
        <v>141</v>
      </c>
      <c r="D129" s="103" t="s">
        <v>142</v>
      </c>
      <c r="E129" s="103" t="s">
        <v>503</v>
      </c>
      <c r="F129" s="103"/>
      <c r="G129" s="105"/>
      <c r="H129" s="105"/>
      <c r="I129" s="105">
        <f t="shared" si="1"/>
        <v>0</v>
      </c>
    </row>
    <row r="130" spans="1:9">
      <c r="A130" s="103" t="s">
        <v>954</v>
      </c>
      <c r="B130" s="103" t="s">
        <v>716</v>
      </c>
      <c r="C130" s="103" t="s">
        <v>141</v>
      </c>
      <c r="D130" s="103" t="s">
        <v>142</v>
      </c>
      <c r="E130" s="103" t="s">
        <v>203</v>
      </c>
      <c r="F130" s="103" t="s">
        <v>140</v>
      </c>
      <c r="G130" s="105">
        <v>1920</v>
      </c>
      <c r="H130" s="105"/>
      <c r="I130" s="105">
        <f t="shared" si="1"/>
        <v>1920</v>
      </c>
    </row>
    <row r="131" spans="1:9">
      <c r="A131" s="103" t="s">
        <v>954</v>
      </c>
      <c r="B131" s="103" t="s">
        <v>717</v>
      </c>
      <c r="C131" s="103" t="s">
        <v>141</v>
      </c>
      <c r="D131" s="103" t="s">
        <v>142</v>
      </c>
      <c r="E131" s="103" t="s">
        <v>204</v>
      </c>
      <c r="F131" s="103" t="s">
        <v>140</v>
      </c>
      <c r="G131" s="105">
        <v>6000</v>
      </c>
      <c r="H131" s="105"/>
      <c r="I131" s="105">
        <f t="shared" ref="I131:I194" si="2">G131+H131</f>
        <v>6000</v>
      </c>
    </row>
    <row r="132" spans="1:9">
      <c r="A132" s="103"/>
      <c r="B132" s="317" t="s">
        <v>718</v>
      </c>
      <c r="C132" s="103"/>
      <c r="D132" s="103"/>
      <c r="E132" s="103"/>
      <c r="F132" s="103"/>
      <c r="G132" s="105"/>
      <c r="H132" s="105"/>
      <c r="I132" s="105">
        <f t="shared" si="2"/>
        <v>0</v>
      </c>
    </row>
    <row r="133" spans="1:9">
      <c r="A133" s="103" t="s">
        <v>954</v>
      </c>
      <c r="B133" s="103" t="s">
        <v>719</v>
      </c>
      <c r="C133" s="103" t="s">
        <v>141</v>
      </c>
      <c r="D133" s="103" t="s">
        <v>142</v>
      </c>
      <c r="E133" s="103" t="s">
        <v>205</v>
      </c>
      <c r="F133" s="103" t="s">
        <v>199</v>
      </c>
      <c r="G133" s="105">
        <v>3830</v>
      </c>
      <c r="H133" s="105"/>
      <c r="I133" s="105">
        <f t="shared" si="2"/>
        <v>3830</v>
      </c>
    </row>
    <row r="134" spans="1:9">
      <c r="A134" s="103" t="s">
        <v>954</v>
      </c>
      <c r="B134" s="103" t="s">
        <v>720</v>
      </c>
      <c r="C134" s="103" t="s">
        <v>141</v>
      </c>
      <c r="D134" s="103" t="s">
        <v>142</v>
      </c>
      <c r="E134" s="103" t="s">
        <v>206</v>
      </c>
      <c r="F134" s="103" t="s">
        <v>207</v>
      </c>
      <c r="G134" s="105">
        <v>1850</v>
      </c>
      <c r="H134" s="105"/>
      <c r="I134" s="105">
        <f t="shared" si="2"/>
        <v>1850</v>
      </c>
    </row>
    <row r="135" spans="1:9">
      <c r="A135" s="103"/>
      <c r="B135" s="317" t="s">
        <v>721</v>
      </c>
      <c r="C135" s="103"/>
      <c r="D135" s="103"/>
      <c r="E135" s="103"/>
      <c r="F135" s="103"/>
      <c r="G135" s="105"/>
      <c r="H135" s="105"/>
      <c r="I135" s="105">
        <f t="shared" si="2"/>
        <v>0</v>
      </c>
    </row>
    <row r="136" spans="1:9">
      <c r="A136" s="103" t="s">
        <v>954</v>
      </c>
      <c r="B136" s="103" t="s">
        <v>722</v>
      </c>
      <c r="C136" s="103" t="s">
        <v>141</v>
      </c>
      <c r="D136" s="103" t="s">
        <v>142</v>
      </c>
      <c r="E136" s="103" t="s">
        <v>208</v>
      </c>
      <c r="F136" s="103" t="s">
        <v>140</v>
      </c>
      <c r="G136" s="105">
        <v>19233</v>
      </c>
      <c r="H136" s="105">
        <v>0</v>
      </c>
      <c r="I136" s="105">
        <f t="shared" si="2"/>
        <v>19233</v>
      </c>
    </row>
    <row r="137" spans="1:9">
      <c r="A137" s="103" t="s">
        <v>954</v>
      </c>
      <c r="B137" s="103" t="s">
        <v>723</v>
      </c>
      <c r="C137" s="103" t="s">
        <v>141</v>
      </c>
      <c r="D137" s="103" t="s">
        <v>142</v>
      </c>
      <c r="E137" s="103" t="s">
        <v>209</v>
      </c>
      <c r="F137" s="103" t="s">
        <v>140</v>
      </c>
      <c r="G137" s="105">
        <v>962</v>
      </c>
      <c r="H137" s="105">
        <f>H136*5%</f>
        <v>0</v>
      </c>
      <c r="I137" s="105">
        <f t="shared" si="2"/>
        <v>962</v>
      </c>
    </row>
    <row r="138" spans="1:9">
      <c r="A138" s="103"/>
      <c r="B138" s="317" t="s">
        <v>724</v>
      </c>
      <c r="C138" s="103"/>
      <c r="D138" s="103"/>
      <c r="E138" s="103"/>
      <c r="F138" s="103"/>
      <c r="G138" s="105"/>
      <c r="H138" s="105"/>
      <c r="I138" s="105">
        <f t="shared" si="2"/>
        <v>0</v>
      </c>
    </row>
    <row r="139" spans="1:9">
      <c r="A139" s="103" t="s">
        <v>954</v>
      </c>
      <c r="B139" s="318" t="s">
        <v>725</v>
      </c>
      <c r="C139" s="103" t="s">
        <v>141</v>
      </c>
      <c r="D139" s="103" t="s">
        <v>142</v>
      </c>
      <c r="E139" s="103" t="s">
        <v>210</v>
      </c>
      <c r="F139" s="103"/>
      <c r="G139" s="105"/>
      <c r="H139" s="105">
        <f>294*2</f>
        <v>588</v>
      </c>
      <c r="I139" s="105">
        <f t="shared" si="2"/>
        <v>588</v>
      </c>
    </row>
    <row r="140" spans="1:9">
      <c r="A140" s="103" t="s">
        <v>954</v>
      </c>
      <c r="B140" s="103" t="s">
        <v>726</v>
      </c>
      <c r="C140" s="103" t="s">
        <v>141</v>
      </c>
      <c r="D140" s="103" t="s">
        <v>142</v>
      </c>
      <c r="E140" s="103" t="s">
        <v>211</v>
      </c>
      <c r="F140" s="103" t="s">
        <v>212</v>
      </c>
      <c r="G140" s="105">
        <v>0</v>
      </c>
      <c r="H140" s="105">
        <f>152.25*2</f>
        <v>304.5</v>
      </c>
      <c r="I140" s="105">
        <f t="shared" si="2"/>
        <v>304.5</v>
      </c>
    </row>
    <row r="141" spans="1:9">
      <c r="A141" s="103" t="s">
        <v>954</v>
      </c>
      <c r="B141" s="318" t="s">
        <v>727</v>
      </c>
      <c r="C141" s="103" t="s">
        <v>141</v>
      </c>
      <c r="D141" s="103" t="s">
        <v>142</v>
      </c>
      <c r="E141" s="103" t="s">
        <v>728</v>
      </c>
      <c r="F141" s="103" t="s">
        <v>212</v>
      </c>
      <c r="G141" s="105">
        <v>0</v>
      </c>
      <c r="H141" s="105"/>
      <c r="I141" s="105">
        <f t="shared" si="2"/>
        <v>0</v>
      </c>
    </row>
    <row r="142" spans="1:9">
      <c r="A142" s="103" t="s">
        <v>954</v>
      </c>
      <c r="B142" s="318" t="s">
        <v>729</v>
      </c>
      <c r="C142" s="103" t="s">
        <v>141</v>
      </c>
      <c r="D142" s="103" t="s">
        <v>142</v>
      </c>
      <c r="E142" s="103" t="s">
        <v>403</v>
      </c>
      <c r="F142" s="103" t="s">
        <v>212</v>
      </c>
      <c r="G142" s="105">
        <v>400</v>
      </c>
      <c r="H142" s="105"/>
      <c r="I142" s="105">
        <f t="shared" si="2"/>
        <v>400</v>
      </c>
    </row>
    <row r="143" spans="1:9">
      <c r="A143" s="103" t="s">
        <v>954</v>
      </c>
      <c r="B143" s="318" t="s">
        <v>730</v>
      </c>
      <c r="C143" s="103" t="s">
        <v>141</v>
      </c>
      <c r="D143" s="103" t="s">
        <v>142</v>
      </c>
      <c r="E143" s="103" t="s">
        <v>403</v>
      </c>
      <c r="F143" s="103" t="s">
        <v>212</v>
      </c>
      <c r="G143" s="105">
        <v>0</v>
      </c>
      <c r="H143" s="105"/>
      <c r="I143" s="105">
        <f t="shared" si="2"/>
        <v>0</v>
      </c>
    </row>
    <row r="144" spans="1:9">
      <c r="A144" s="103" t="s">
        <v>954</v>
      </c>
      <c r="B144" s="103" t="s">
        <v>731</v>
      </c>
      <c r="C144" s="103" t="s">
        <v>141</v>
      </c>
      <c r="D144" s="103" t="s">
        <v>142</v>
      </c>
      <c r="E144" s="103" t="s">
        <v>213</v>
      </c>
      <c r="F144" s="103" t="s">
        <v>168</v>
      </c>
      <c r="G144" s="105">
        <v>269.45</v>
      </c>
      <c r="H144" s="105"/>
      <c r="I144" s="105">
        <f t="shared" si="2"/>
        <v>269.45</v>
      </c>
    </row>
    <row r="145" spans="1:9">
      <c r="A145" s="103" t="s">
        <v>954</v>
      </c>
      <c r="B145" s="318" t="s">
        <v>979</v>
      </c>
      <c r="C145" s="103" t="s">
        <v>141</v>
      </c>
      <c r="D145" s="103" t="s">
        <v>142</v>
      </c>
      <c r="E145" s="103" t="s">
        <v>980</v>
      </c>
      <c r="F145" s="103" t="s">
        <v>140</v>
      </c>
      <c r="G145" s="105">
        <v>1275</v>
      </c>
      <c r="H145" s="105"/>
      <c r="I145" s="105">
        <f t="shared" si="2"/>
        <v>1275</v>
      </c>
    </row>
    <row r="146" spans="1:9">
      <c r="A146" s="103"/>
      <c r="B146" s="317" t="s">
        <v>732</v>
      </c>
      <c r="C146" s="103"/>
      <c r="D146" s="103"/>
      <c r="E146" s="103"/>
      <c r="F146" s="103"/>
      <c r="G146" s="105"/>
      <c r="H146" s="105"/>
      <c r="I146" s="105">
        <f t="shared" si="2"/>
        <v>0</v>
      </c>
    </row>
    <row r="147" spans="1:9">
      <c r="A147" s="103" t="s">
        <v>954</v>
      </c>
      <c r="B147" s="103" t="s">
        <v>733</v>
      </c>
      <c r="C147" s="103" t="s">
        <v>141</v>
      </c>
      <c r="D147" s="103" t="s">
        <v>142</v>
      </c>
      <c r="E147" s="103" t="s">
        <v>214</v>
      </c>
      <c r="F147" s="103" t="s">
        <v>144</v>
      </c>
      <c r="G147" s="105">
        <v>2110</v>
      </c>
      <c r="H147" s="105"/>
      <c r="I147" s="105">
        <f t="shared" si="2"/>
        <v>2110</v>
      </c>
    </row>
    <row r="148" spans="1:9">
      <c r="A148" s="103"/>
      <c r="B148" s="317" t="s">
        <v>734</v>
      </c>
      <c r="C148" s="103"/>
      <c r="D148" s="103"/>
      <c r="E148" s="103"/>
      <c r="F148" s="103"/>
      <c r="G148" s="105"/>
      <c r="H148" s="105"/>
      <c r="I148" s="105">
        <f t="shared" si="2"/>
        <v>0</v>
      </c>
    </row>
    <row r="149" spans="1:9">
      <c r="A149" s="103" t="s">
        <v>954</v>
      </c>
      <c r="B149" s="318" t="s">
        <v>735</v>
      </c>
      <c r="C149" s="103" t="s">
        <v>141</v>
      </c>
      <c r="D149" s="103" t="s">
        <v>142</v>
      </c>
      <c r="E149" s="103" t="s">
        <v>215</v>
      </c>
      <c r="F149" s="103"/>
      <c r="G149" s="105">
        <v>0</v>
      </c>
      <c r="H149" s="105">
        <v>15000</v>
      </c>
      <c r="I149" s="105">
        <f t="shared" si="2"/>
        <v>15000</v>
      </c>
    </row>
    <row r="150" spans="1:9">
      <c r="A150" s="103"/>
      <c r="B150" s="319" t="s">
        <v>736</v>
      </c>
      <c r="C150" s="103"/>
      <c r="D150" s="103"/>
      <c r="E150" s="103"/>
      <c r="F150" s="103"/>
      <c r="G150" s="105"/>
      <c r="H150" s="105"/>
      <c r="I150" s="105">
        <f t="shared" si="2"/>
        <v>0</v>
      </c>
    </row>
    <row r="151" spans="1:9">
      <c r="A151" s="103" t="s">
        <v>954</v>
      </c>
      <c r="B151" s="103" t="s">
        <v>737</v>
      </c>
      <c r="C151" s="103" t="s">
        <v>141</v>
      </c>
      <c r="D151" s="103" t="s">
        <v>142</v>
      </c>
      <c r="E151" s="103" t="s">
        <v>216</v>
      </c>
      <c r="F151" s="103" t="s">
        <v>199</v>
      </c>
      <c r="G151" s="105">
        <v>6225</v>
      </c>
      <c r="H151" s="105"/>
      <c r="I151" s="105">
        <f t="shared" si="2"/>
        <v>6225</v>
      </c>
    </row>
    <row r="152" spans="1:9">
      <c r="A152" s="103" t="s">
        <v>954</v>
      </c>
      <c r="B152" s="318" t="s">
        <v>738</v>
      </c>
      <c r="C152" s="103" t="s">
        <v>141</v>
      </c>
      <c r="D152" s="103" t="s">
        <v>142</v>
      </c>
      <c r="E152" s="103" t="s">
        <v>217</v>
      </c>
      <c r="F152" s="103" t="s">
        <v>199</v>
      </c>
      <c r="G152" s="105"/>
      <c r="H152" s="105"/>
      <c r="I152" s="105">
        <f t="shared" si="2"/>
        <v>0</v>
      </c>
    </row>
    <row r="153" spans="1:9">
      <c r="A153" s="103"/>
      <c r="B153" s="319" t="s">
        <v>739</v>
      </c>
      <c r="C153" s="103"/>
      <c r="D153" s="103"/>
      <c r="E153" s="103"/>
      <c r="F153" s="103"/>
      <c r="G153" s="105"/>
      <c r="H153" s="105"/>
      <c r="I153" s="105">
        <f t="shared" si="2"/>
        <v>0</v>
      </c>
    </row>
    <row r="154" spans="1:9">
      <c r="A154" s="103" t="s">
        <v>954</v>
      </c>
      <c r="B154" s="103" t="s">
        <v>740</v>
      </c>
      <c r="C154" s="103" t="s">
        <v>141</v>
      </c>
      <c r="D154" s="103" t="s">
        <v>142</v>
      </c>
      <c r="E154" s="103" t="s">
        <v>218</v>
      </c>
      <c r="F154" s="103" t="s">
        <v>219</v>
      </c>
      <c r="G154" s="105"/>
      <c r="H154" s="105"/>
      <c r="I154" s="105">
        <f t="shared" si="2"/>
        <v>0</v>
      </c>
    </row>
    <row r="155" spans="1:9">
      <c r="A155" s="103" t="s">
        <v>954</v>
      </c>
      <c r="B155" s="318" t="s">
        <v>741</v>
      </c>
      <c r="C155" s="103" t="s">
        <v>141</v>
      </c>
      <c r="D155" s="103" t="s">
        <v>742</v>
      </c>
      <c r="E155" s="103"/>
      <c r="F155" s="103" t="s">
        <v>140</v>
      </c>
      <c r="G155" s="105">
        <v>161.76</v>
      </c>
      <c r="H155" s="105"/>
      <c r="I155" s="105">
        <f t="shared" si="2"/>
        <v>161.76</v>
      </c>
    </row>
    <row r="156" spans="1:9">
      <c r="A156" s="103" t="s">
        <v>954</v>
      </c>
      <c r="B156" s="318" t="s">
        <v>981</v>
      </c>
      <c r="C156" s="103" t="s">
        <v>141</v>
      </c>
      <c r="D156" s="103" t="s">
        <v>142</v>
      </c>
      <c r="E156" s="103" t="s">
        <v>982</v>
      </c>
      <c r="F156" s="103" t="s">
        <v>140</v>
      </c>
      <c r="G156" s="105">
        <v>3591</v>
      </c>
      <c r="H156" s="105"/>
      <c r="I156" s="105">
        <f t="shared" si="2"/>
        <v>3591</v>
      </c>
    </row>
    <row r="157" spans="1:9">
      <c r="A157" s="103" t="s">
        <v>954</v>
      </c>
      <c r="B157" s="318" t="s">
        <v>743</v>
      </c>
      <c r="C157" s="103" t="s">
        <v>141</v>
      </c>
      <c r="D157" s="103" t="s">
        <v>744</v>
      </c>
      <c r="E157" s="103"/>
      <c r="F157" s="103" t="s">
        <v>140</v>
      </c>
      <c r="G157" s="105">
        <v>1022</v>
      </c>
      <c r="H157" s="105"/>
      <c r="I157" s="105">
        <f t="shared" si="2"/>
        <v>1022</v>
      </c>
    </row>
    <row r="158" spans="1:9">
      <c r="A158" s="103"/>
      <c r="B158" s="317" t="s">
        <v>745</v>
      </c>
      <c r="C158" s="103"/>
      <c r="D158" s="103"/>
      <c r="E158" s="103"/>
      <c r="F158" s="103"/>
      <c r="G158" s="105"/>
      <c r="H158" s="105"/>
      <c r="I158" s="105">
        <f t="shared" si="2"/>
        <v>0</v>
      </c>
    </row>
    <row r="159" spans="1:9">
      <c r="A159" s="318" t="s">
        <v>972</v>
      </c>
      <c r="B159" s="318" t="s">
        <v>746</v>
      </c>
      <c r="C159" s="103" t="s">
        <v>220</v>
      </c>
      <c r="D159" s="103" t="s">
        <v>142</v>
      </c>
      <c r="E159" s="103" t="s">
        <v>221</v>
      </c>
      <c r="F159" s="103"/>
      <c r="G159" s="105"/>
      <c r="H159" s="105">
        <v>500</v>
      </c>
      <c r="I159" s="105">
        <f t="shared" si="2"/>
        <v>500</v>
      </c>
    </row>
    <row r="160" spans="1:9">
      <c r="A160" s="318"/>
      <c r="B160" s="319" t="s">
        <v>747</v>
      </c>
      <c r="C160" s="103"/>
      <c r="D160" s="103"/>
      <c r="E160" s="103"/>
      <c r="F160" s="103"/>
      <c r="G160" s="105"/>
      <c r="H160" s="105"/>
      <c r="I160" s="105">
        <f t="shared" si="2"/>
        <v>0</v>
      </c>
    </row>
    <row r="161" spans="1:9">
      <c r="A161" s="103" t="s">
        <v>954</v>
      </c>
      <c r="B161" s="103" t="s">
        <v>748</v>
      </c>
      <c r="C161" s="103" t="s">
        <v>141</v>
      </c>
      <c r="D161" s="103" t="s">
        <v>142</v>
      </c>
      <c r="E161" s="103" t="s">
        <v>222</v>
      </c>
      <c r="F161" s="103" t="s">
        <v>199</v>
      </c>
      <c r="G161" s="105">
        <v>22615</v>
      </c>
      <c r="H161" s="105"/>
      <c r="I161" s="105">
        <f t="shared" si="2"/>
        <v>22615</v>
      </c>
    </row>
    <row r="162" spans="1:9">
      <c r="A162" s="103"/>
      <c r="B162" s="317" t="s">
        <v>749</v>
      </c>
      <c r="C162" s="103"/>
      <c r="D162" s="103"/>
      <c r="E162" s="103"/>
      <c r="F162" s="103"/>
      <c r="G162" s="105"/>
      <c r="H162" s="105"/>
      <c r="I162" s="105">
        <f t="shared" si="2"/>
        <v>0</v>
      </c>
    </row>
    <row r="163" spans="1:9">
      <c r="A163" s="103" t="s">
        <v>954</v>
      </c>
      <c r="B163" s="318" t="s">
        <v>750</v>
      </c>
      <c r="C163" s="103" t="s">
        <v>141</v>
      </c>
      <c r="D163" s="103" t="s">
        <v>142</v>
      </c>
      <c r="E163" s="103" t="s">
        <v>223</v>
      </c>
      <c r="F163" s="103" t="s">
        <v>224</v>
      </c>
      <c r="G163" s="105"/>
      <c r="H163" s="105">
        <v>5000</v>
      </c>
      <c r="I163" s="105">
        <f t="shared" si="2"/>
        <v>5000</v>
      </c>
    </row>
    <row r="164" spans="1:9">
      <c r="A164" s="103" t="s">
        <v>954</v>
      </c>
      <c r="B164" s="103" t="s">
        <v>751</v>
      </c>
      <c r="C164" s="103" t="s">
        <v>141</v>
      </c>
      <c r="D164" s="103" t="s">
        <v>142</v>
      </c>
      <c r="E164" s="103" t="s">
        <v>225</v>
      </c>
      <c r="F164" s="103" t="s">
        <v>224</v>
      </c>
      <c r="G164" s="105">
        <v>4725.6400000000003</v>
      </c>
      <c r="H164" s="105"/>
      <c r="I164" s="105">
        <f t="shared" si="2"/>
        <v>4725.6400000000003</v>
      </c>
    </row>
    <row r="165" spans="1:9">
      <c r="A165" s="103" t="s">
        <v>954</v>
      </c>
      <c r="B165" s="103" t="s">
        <v>752</v>
      </c>
      <c r="C165" s="103" t="s">
        <v>141</v>
      </c>
      <c r="D165" s="103" t="s">
        <v>142</v>
      </c>
      <c r="E165" s="103" t="s">
        <v>226</v>
      </c>
      <c r="F165" s="103" t="s">
        <v>224</v>
      </c>
      <c r="G165" s="105">
        <v>6321</v>
      </c>
      <c r="H165" s="105"/>
      <c r="I165" s="105">
        <f t="shared" si="2"/>
        <v>6321</v>
      </c>
    </row>
    <row r="166" spans="1:9">
      <c r="A166" s="103" t="s">
        <v>954</v>
      </c>
      <c r="B166" s="318" t="s">
        <v>753</v>
      </c>
      <c r="C166" s="103" t="s">
        <v>141</v>
      </c>
      <c r="D166" s="103" t="s">
        <v>142</v>
      </c>
      <c r="E166" s="103" t="s">
        <v>754</v>
      </c>
      <c r="F166" s="103" t="s">
        <v>144</v>
      </c>
      <c r="G166" s="105">
        <v>237.93</v>
      </c>
      <c r="H166" s="105"/>
      <c r="I166" s="105">
        <f t="shared" si="2"/>
        <v>237.93</v>
      </c>
    </row>
    <row r="167" spans="1:9">
      <c r="A167" s="103" t="s">
        <v>954</v>
      </c>
      <c r="B167" s="103" t="s">
        <v>755</v>
      </c>
      <c r="C167" s="103" t="s">
        <v>141</v>
      </c>
      <c r="D167" s="103" t="s">
        <v>142</v>
      </c>
      <c r="E167" s="103" t="s">
        <v>227</v>
      </c>
      <c r="F167" s="103" t="s">
        <v>144</v>
      </c>
      <c r="G167" s="105">
        <v>680</v>
      </c>
      <c r="H167" s="105"/>
      <c r="I167" s="105">
        <f t="shared" si="2"/>
        <v>680</v>
      </c>
    </row>
    <row r="168" spans="1:9">
      <c r="A168" s="103" t="s">
        <v>954</v>
      </c>
      <c r="B168" s="103" t="s">
        <v>756</v>
      </c>
      <c r="C168" s="103" t="s">
        <v>141</v>
      </c>
      <c r="D168" s="103" t="s">
        <v>142</v>
      </c>
      <c r="E168" s="103" t="s">
        <v>228</v>
      </c>
      <c r="F168" s="103" t="s">
        <v>224</v>
      </c>
      <c r="G168" s="105">
        <v>999.6</v>
      </c>
      <c r="H168" s="105"/>
      <c r="I168" s="105">
        <f t="shared" si="2"/>
        <v>999.6</v>
      </c>
    </row>
    <row r="169" spans="1:9">
      <c r="A169" s="103" t="s">
        <v>954</v>
      </c>
      <c r="B169" s="318" t="s">
        <v>757</v>
      </c>
      <c r="C169" s="103" t="s">
        <v>141</v>
      </c>
      <c r="D169" s="103" t="s">
        <v>142</v>
      </c>
      <c r="E169" s="103" t="s">
        <v>504</v>
      </c>
      <c r="F169" s="103" t="s">
        <v>140</v>
      </c>
      <c r="G169" s="105">
        <v>0</v>
      </c>
      <c r="H169" s="105">
        <v>0</v>
      </c>
      <c r="I169" s="105">
        <f t="shared" si="2"/>
        <v>0</v>
      </c>
    </row>
    <row r="170" spans="1:9">
      <c r="A170" s="103"/>
      <c r="B170" s="319" t="s">
        <v>758</v>
      </c>
      <c r="C170" s="103"/>
      <c r="D170" s="103"/>
      <c r="E170" s="103"/>
      <c r="F170" s="103"/>
      <c r="G170" s="105"/>
      <c r="H170" s="105"/>
      <c r="I170" s="105">
        <f t="shared" si="2"/>
        <v>0</v>
      </c>
    </row>
    <row r="171" spans="1:9">
      <c r="A171" s="103" t="s">
        <v>954</v>
      </c>
      <c r="B171" s="103" t="s">
        <v>759</v>
      </c>
      <c r="C171" s="103" t="s">
        <v>141</v>
      </c>
      <c r="D171" s="103" t="s">
        <v>142</v>
      </c>
      <c r="E171" s="103" t="s">
        <v>229</v>
      </c>
      <c r="F171" s="103" t="s">
        <v>174</v>
      </c>
      <c r="G171" s="105">
        <v>3010</v>
      </c>
      <c r="H171" s="105"/>
      <c r="I171" s="105">
        <f t="shared" si="2"/>
        <v>3010</v>
      </c>
    </row>
    <row r="172" spans="1:9">
      <c r="A172" s="103"/>
      <c r="B172" s="317" t="s">
        <v>760</v>
      </c>
      <c r="C172" s="103"/>
      <c r="D172" s="103"/>
      <c r="E172" s="103"/>
      <c r="F172" s="103"/>
      <c r="G172" s="105"/>
      <c r="H172" s="105"/>
      <c r="I172" s="105">
        <f t="shared" si="2"/>
        <v>0</v>
      </c>
    </row>
    <row r="173" spans="1:9">
      <c r="A173" s="103" t="s">
        <v>954</v>
      </c>
      <c r="B173" s="318" t="s">
        <v>761</v>
      </c>
      <c r="C173" s="103" t="s">
        <v>141</v>
      </c>
      <c r="D173" s="103" t="s">
        <v>142</v>
      </c>
      <c r="E173" s="103" t="s">
        <v>404</v>
      </c>
      <c r="F173" s="103" t="s">
        <v>140</v>
      </c>
      <c r="G173" s="105">
        <v>3613.4</v>
      </c>
      <c r="H173" s="105">
        <v>0</v>
      </c>
      <c r="I173" s="105">
        <f t="shared" si="2"/>
        <v>3613.4</v>
      </c>
    </row>
    <row r="174" spans="1:9">
      <c r="A174" s="103" t="s">
        <v>954</v>
      </c>
      <c r="B174" s="318" t="s">
        <v>762</v>
      </c>
      <c r="C174" s="103" t="s">
        <v>141</v>
      </c>
      <c r="D174" s="103" t="s">
        <v>142</v>
      </c>
      <c r="E174" s="103" t="s">
        <v>405</v>
      </c>
      <c r="F174" s="103" t="s">
        <v>140</v>
      </c>
      <c r="G174" s="105"/>
      <c r="H174" s="105">
        <v>0</v>
      </c>
      <c r="I174" s="105">
        <f t="shared" si="2"/>
        <v>0</v>
      </c>
    </row>
    <row r="175" spans="1:9">
      <c r="A175" s="103"/>
      <c r="B175" s="317" t="s">
        <v>763</v>
      </c>
      <c r="C175" s="103"/>
      <c r="D175" s="103"/>
      <c r="E175" s="103"/>
      <c r="F175" s="103"/>
      <c r="G175" s="105"/>
      <c r="H175" s="105"/>
      <c r="I175" s="105">
        <f t="shared" si="2"/>
        <v>0</v>
      </c>
    </row>
    <row r="176" spans="1:9">
      <c r="A176" s="103" t="s">
        <v>954</v>
      </c>
      <c r="B176" s="318" t="s">
        <v>764</v>
      </c>
      <c r="C176" s="103" t="s">
        <v>141</v>
      </c>
      <c r="D176" s="103" t="s">
        <v>142</v>
      </c>
      <c r="E176" s="103" t="s">
        <v>227</v>
      </c>
      <c r="F176" s="103"/>
      <c r="G176" s="105">
        <v>4800</v>
      </c>
      <c r="H176" s="105"/>
      <c r="I176" s="105">
        <f t="shared" si="2"/>
        <v>4800</v>
      </c>
    </row>
    <row r="177" spans="1:9">
      <c r="A177" s="103"/>
      <c r="B177" s="319" t="s">
        <v>765</v>
      </c>
      <c r="C177" s="103"/>
      <c r="D177" s="103"/>
      <c r="E177" s="103"/>
      <c r="F177" s="103"/>
      <c r="G177" s="105"/>
      <c r="H177" s="105"/>
      <c r="I177" s="105">
        <f t="shared" si="2"/>
        <v>0</v>
      </c>
    </row>
    <row r="178" spans="1:9">
      <c r="A178" s="103" t="s">
        <v>954</v>
      </c>
      <c r="B178" s="103" t="s">
        <v>766</v>
      </c>
      <c r="C178" s="103" t="s">
        <v>141</v>
      </c>
      <c r="D178" s="103" t="s">
        <v>142</v>
      </c>
      <c r="E178" s="103" t="s">
        <v>227</v>
      </c>
      <c r="F178" s="103" t="s">
        <v>199</v>
      </c>
      <c r="G178" s="105">
        <v>7855</v>
      </c>
      <c r="H178" s="105"/>
      <c r="I178" s="105">
        <f t="shared" si="2"/>
        <v>7855</v>
      </c>
    </row>
    <row r="179" spans="1:9">
      <c r="A179" s="103" t="s">
        <v>954</v>
      </c>
      <c r="B179" s="103" t="s">
        <v>767</v>
      </c>
      <c r="C179" s="103" t="s">
        <v>141</v>
      </c>
      <c r="D179" s="103" t="s">
        <v>142</v>
      </c>
      <c r="E179" s="103" t="s">
        <v>230</v>
      </c>
      <c r="F179" s="103" t="s">
        <v>147</v>
      </c>
      <c r="G179" s="105">
        <v>1892.7</v>
      </c>
      <c r="H179" s="105"/>
      <c r="I179" s="105">
        <f t="shared" si="2"/>
        <v>1892.7</v>
      </c>
    </row>
    <row r="180" spans="1:9">
      <c r="A180" s="103" t="s">
        <v>954</v>
      </c>
      <c r="B180" s="103" t="s">
        <v>768</v>
      </c>
      <c r="C180" s="103" t="s">
        <v>141</v>
      </c>
      <c r="D180" s="103" t="s">
        <v>142</v>
      </c>
      <c r="E180" s="103" t="s">
        <v>231</v>
      </c>
      <c r="F180" s="103" t="s">
        <v>199</v>
      </c>
      <c r="G180" s="105">
        <v>1275</v>
      </c>
      <c r="H180" s="105"/>
      <c r="I180" s="105">
        <f t="shared" si="2"/>
        <v>1275</v>
      </c>
    </row>
    <row r="181" spans="1:9">
      <c r="A181" s="103" t="s">
        <v>954</v>
      </c>
      <c r="B181" s="318" t="s">
        <v>769</v>
      </c>
      <c r="C181" s="103" t="s">
        <v>141</v>
      </c>
      <c r="D181" s="103" t="s">
        <v>142</v>
      </c>
      <c r="E181" s="103" t="s">
        <v>406</v>
      </c>
      <c r="F181" s="103" t="s">
        <v>158</v>
      </c>
      <c r="G181" s="105">
        <v>155</v>
      </c>
      <c r="H181" s="105"/>
      <c r="I181" s="105">
        <f t="shared" si="2"/>
        <v>155</v>
      </c>
    </row>
    <row r="182" spans="1:9">
      <c r="A182" s="103"/>
      <c r="B182" s="319" t="s">
        <v>770</v>
      </c>
      <c r="C182" s="103"/>
      <c r="D182" s="103"/>
      <c r="E182" s="103"/>
      <c r="F182" s="103"/>
      <c r="G182" s="105"/>
      <c r="H182" s="105"/>
      <c r="I182" s="105">
        <f t="shared" si="2"/>
        <v>0</v>
      </c>
    </row>
    <row r="183" spans="1:9">
      <c r="A183" s="103" t="s">
        <v>954</v>
      </c>
      <c r="B183" s="318" t="s">
        <v>771</v>
      </c>
      <c r="C183" s="103" t="s">
        <v>141</v>
      </c>
      <c r="D183" s="103" t="s">
        <v>142</v>
      </c>
      <c r="E183" s="103" t="s">
        <v>232</v>
      </c>
      <c r="F183" s="103" t="s">
        <v>140</v>
      </c>
      <c r="G183" s="105"/>
      <c r="H183" s="105">
        <f>10000-10000</f>
        <v>0</v>
      </c>
      <c r="I183" s="105">
        <f t="shared" si="2"/>
        <v>0</v>
      </c>
    </row>
    <row r="184" spans="1:9">
      <c r="A184" s="101" t="s">
        <v>983</v>
      </c>
      <c r="B184" s="101" t="s">
        <v>582</v>
      </c>
      <c r="C184" s="101" t="s">
        <v>233</v>
      </c>
      <c r="D184" s="101" t="s">
        <v>133</v>
      </c>
      <c r="E184" s="101" t="s">
        <v>44</v>
      </c>
      <c r="F184" s="101" t="s">
        <v>234</v>
      </c>
      <c r="G184" s="102">
        <v>80373</v>
      </c>
      <c r="H184" s="102"/>
      <c r="I184" s="102">
        <f t="shared" si="2"/>
        <v>80373</v>
      </c>
    </row>
    <row r="185" spans="1:9">
      <c r="A185" s="101" t="s">
        <v>984</v>
      </c>
      <c r="B185" s="101" t="s">
        <v>582</v>
      </c>
      <c r="C185" s="101" t="s">
        <v>235</v>
      </c>
      <c r="D185" s="101" t="s">
        <v>133</v>
      </c>
      <c r="E185" s="101" t="s">
        <v>236</v>
      </c>
      <c r="F185" s="101" t="s">
        <v>234</v>
      </c>
      <c r="G185" s="102">
        <v>46183</v>
      </c>
      <c r="H185" s="102"/>
      <c r="I185" s="102">
        <f t="shared" si="2"/>
        <v>46183</v>
      </c>
    </row>
    <row r="186" spans="1:9">
      <c r="A186" s="101" t="s">
        <v>985</v>
      </c>
      <c r="B186" s="101" t="s">
        <v>582</v>
      </c>
      <c r="C186" s="101" t="s">
        <v>235</v>
      </c>
      <c r="D186" s="101" t="s">
        <v>133</v>
      </c>
      <c r="E186" s="101" t="s">
        <v>237</v>
      </c>
      <c r="F186" s="101" t="s">
        <v>234</v>
      </c>
      <c r="G186" s="102">
        <v>46884</v>
      </c>
      <c r="H186" s="102"/>
      <c r="I186" s="102">
        <f t="shared" si="2"/>
        <v>46884</v>
      </c>
    </row>
    <row r="187" spans="1:9">
      <c r="A187" s="103" t="s">
        <v>986</v>
      </c>
      <c r="B187" s="103">
        <v>529.00099999999998</v>
      </c>
      <c r="C187" s="103" t="s">
        <v>238</v>
      </c>
      <c r="D187" s="103" t="s">
        <v>142</v>
      </c>
      <c r="E187" s="103" t="s">
        <v>987</v>
      </c>
      <c r="F187" s="103"/>
      <c r="G187" s="105">
        <v>0</v>
      </c>
      <c r="H187" s="105"/>
      <c r="I187" s="105">
        <f t="shared" si="2"/>
        <v>0</v>
      </c>
    </row>
    <row r="188" spans="1:9">
      <c r="A188" s="103" t="s">
        <v>986</v>
      </c>
      <c r="B188" s="103">
        <v>529.00300000000004</v>
      </c>
      <c r="C188" s="103" t="s">
        <v>238</v>
      </c>
      <c r="D188" s="103" t="s">
        <v>142</v>
      </c>
      <c r="E188" s="103" t="s">
        <v>988</v>
      </c>
      <c r="F188" s="103"/>
      <c r="G188" s="105">
        <v>9300</v>
      </c>
      <c r="H188" s="105"/>
      <c r="I188" s="105">
        <f t="shared" si="2"/>
        <v>9300</v>
      </c>
    </row>
    <row r="189" spans="1:9">
      <c r="A189" s="101" t="s">
        <v>989</v>
      </c>
      <c r="B189" s="101" t="s">
        <v>582</v>
      </c>
      <c r="C189" s="101" t="s">
        <v>238</v>
      </c>
      <c r="D189" s="101" t="s">
        <v>133</v>
      </c>
      <c r="E189" s="101" t="s">
        <v>239</v>
      </c>
      <c r="F189" s="101" t="s">
        <v>240</v>
      </c>
      <c r="G189" s="102">
        <v>705</v>
      </c>
      <c r="H189" s="102">
        <f>2*45</f>
        <v>90</v>
      </c>
      <c r="I189" s="102">
        <f t="shared" si="2"/>
        <v>795</v>
      </c>
    </row>
    <row r="190" spans="1:9">
      <c r="A190" s="140" t="s">
        <v>990</v>
      </c>
      <c r="B190" s="101" t="s">
        <v>582</v>
      </c>
      <c r="C190" s="101" t="s">
        <v>238</v>
      </c>
      <c r="D190" s="101" t="s">
        <v>133</v>
      </c>
      <c r="E190" s="101"/>
      <c r="F190" s="101" t="s">
        <v>772</v>
      </c>
      <c r="G190" s="102"/>
      <c r="H190" s="102"/>
      <c r="I190" s="102">
        <f t="shared" si="2"/>
        <v>0</v>
      </c>
    </row>
    <row r="191" spans="1:9">
      <c r="A191" s="101" t="s">
        <v>991</v>
      </c>
      <c r="B191" s="101" t="s">
        <v>582</v>
      </c>
      <c r="C191" s="101" t="s">
        <v>238</v>
      </c>
      <c r="D191" s="101" t="s">
        <v>133</v>
      </c>
      <c r="E191" s="101" t="s">
        <v>59</v>
      </c>
      <c r="F191" s="101" t="s">
        <v>140</v>
      </c>
      <c r="G191" s="102">
        <v>1000</v>
      </c>
      <c r="H191" s="102">
        <v>4000</v>
      </c>
      <c r="I191" s="102">
        <f t="shared" si="2"/>
        <v>5000</v>
      </c>
    </row>
    <row r="192" spans="1:9">
      <c r="A192" s="101" t="s">
        <v>992</v>
      </c>
      <c r="B192" s="101" t="s">
        <v>582</v>
      </c>
      <c r="C192" s="101" t="s">
        <v>238</v>
      </c>
      <c r="D192" s="101" t="s">
        <v>133</v>
      </c>
      <c r="E192" s="101" t="s">
        <v>46</v>
      </c>
      <c r="F192" s="101" t="s">
        <v>242</v>
      </c>
      <c r="G192" s="102">
        <v>4000</v>
      </c>
      <c r="H192" s="102">
        <v>2000</v>
      </c>
      <c r="I192" s="102">
        <f t="shared" si="2"/>
        <v>6000</v>
      </c>
    </row>
    <row r="193" spans="1:9">
      <c r="A193" s="140" t="s">
        <v>993</v>
      </c>
      <c r="B193" s="101"/>
      <c r="C193" s="101" t="s">
        <v>238</v>
      </c>
      <c r="D193" s="101" t="s">
        <v>133</v>
      </c>
      <c r="E193" s="101" t="s">
        <v>994</v>
      </c>
      <c r="F193" s="101"/>
      <c r="G193" s="102">
        <v>6725</v>
      </c>
      <c r="H193" s="102"/>
      <c r="I193" s="102">
        <f t="shared" si="2"/>
        <v>6725</v>
      </c>
    </row>
    <row r="194" spans="1:9">
      <c r="A194" s="101" t="s">
        <v>995</v>
      </c>
      <c r="B194" s="101" t="s">
        <v>582</v>
      </c>
      <c r="C194" s="101" t="s">
        <v>243</v>
      </c>
      <c r="D194" s="101" t="s">
        <v>133</v>
      </c>
      <c r="E194" s="101" t="s">
        <v>48</v>
      </c>
      <c r="F194" s="101" t="s">
        <v>134</v>
      </c>
      <c r="G194" s="102">
        <v>5565</v>
      </c>
      <c r="H194" s="102"/>
      <c r="I194" s="102">
        <f t="shared" si="2"/>
        <v>5565</v>
      </c>
    </row>
    <row r="195" spans="1:9">
      <c r="A195" s="101" t="s">
        <v>996</v>
      </c>
      <c r="B195" s="101" t="s">
        <v>582</v>
      </c>
      <c r="C195" s="101" t="s">
        <v>244</v>
      </c>
      <c r="D195" s="101" t="s">
        <v>133</v>
      </c>
      <c r="E195" s="101" t="s">
        <v>139</v>
      </c>
      <c r="F195" s="101" t="s">
        <v>134</v>
      </c>
      <c r="G195" s="102">
        <v>4005.62</v>
      </c>
      <c r="H195" s="102"/>
      <c r="I195" s="102">
        <f t="shared" ref="I195:I258" si="3">G195+H195</f>
        <v>4005.62</v>
      </c>
    </row>
    <row r="196" spans="1:9">
      <c r="A196" s="103" t="s">
        <v>997</v>
      </c>
      <c r="B196" s="103" t="s">
        <v>773</v>
      </c>
      <c r="C196" s="103" t="s">
        <v>244</v>
      </c>
      <c r="D196" s="103" t="s">
        <v>142</v>
      </c>
      <c r="E196" s="103" t="s">
        <v>245</v>
      </c>
      <c r="F196" s="103" t="s">
        <v>140</v>
      </c>
      <c r="G196" s="105">
        <v>5463</v>
      </c>
      <c r="H196" s="105"/>
      <c r="I196" s="105">
        <f t="shared" si="3"/>
        <v>5463</v>
      </c>
    </row>
    <row r="197" spans="1:9">
      <c r="A197" s="103" t="s">
        <v>998</v>
      </c>
      <c r="B197" s="103" t="s">
        <v>774</v>
      </c>
      <c r="C197" s="103" t="s">
        <v>244</v>
      </c>
      <c r="D197" s="103" t="s">
        <v>142</v>
      </c>
      <c r="E197" s="103" t="s">
        <v>246</v>
      </c>
      <c r="F197" s="103" t="s">
        <v>234</v>
      </c>
      <c r="G197" s="105">
        <v>3550</v>
      </c>
      <c r="H197" s="105"/>
      <c r="I197" s="105">
        <f t="shared" si="3"/>
        <v>3550</v>
      </c>
    </row>
    <row r="198" spans="1:9">
      <c r="A198" s="103" t="s">
        <v>998</v>
      </c>
      <c r="B198" s="103" t="s">
        <v>775</v>
      </c>
      <c r="C198" s="103" t="s">
        <v>244</v>
      </c>
      <c r="D198" s="103" t="s">
        <v>142</v>
      </c>
      <c r="E198" s="103" t="s">
        <v>247</v>
      </c>
      <c r="F198" s="103" t="s">
        <v>140</v>
      </c>
      <c r="G198" s="105">
        <v>3000</v>
      </c>
      <c r="H198" s="105"/>
      <c r="I198" s="105">
        <f t="shared" si="3"/>
        <v>3000</v>
      </c>
    </row>
    <row r="199" spans="1:9">
      <c r="A199" s="103" t="s">
        <v>998</v>
      </c>
      <c r="B199" s="103" t="s">
        <v>776</v>
      </c>
      <c r="C199" s="103" t="s">
        <v>244</v>
      </c>
      <c r="D199" s="103" t="s">
        <v>142</v>
      </c>
      <c r="E199" s="103" t="s">
        <v>248</v>
      </c>
      <c r="F199" s="103" t="s">
        <v>174</v>
      </c>
      <c r="G199" s="105">
        <v>2600</v>
      </c>
      <c r="H199" s="105"/>
      <c r="I199" s="105">
        <f t="shared" si="3"/>
        <v>2600</v>
      </c>
    </row>
    <row r="200" spans="1:9">
      <c r="A200" s="103" t="s">
        <v>998</v>
      </c>
      <c r="B200" s="103" t="s">
        <v>777</v>
      </c>
      <c r="C200" s="103" t="s">
        <v>244</v>
      </c>
      <c r="D200" s="103" t="s">
        <v>142</v>
      </c>
      <c r="E200" s="103" t="s">
        <v>249</v>
      </c>
      <c r="F200" s="103" t="s">
        <v>174</v>
      </c>
      <c r="G200" s="105">
        <v>2600</v>
      </c>
      <c r="H200" s="105"/>
      <c r="I200" s="105">
        <f t="shared" si="3"/>
        <v>2600</v>
      </c>
    </row>
    <row r="201" spans="1:9">
      <c r="A201" s="101" t="s">
        <v>778</v>
      </c>
      <c r="B201" s="101" t="s">
        <v>778</v>
      </c>
      <c r="C201" s="101" t="s">
        <v>244</v>
      </c>
      <c r="D201" s="101" t="s">
        <v>133</v>
      </c>
      <c r="E201" s="101" t="s">
        <v>779</v>
      </c>
      <c r="F201" s="102" t="s">
        <v>174</v>
      </c>
      <c r="G201" s="102">
        <f>6000+19000</f>
        <v>25000</v>
      </c>
      <c r="H201" s="102">
        <v>0</v>
      </c>
      <c r="I201" s="102">
        <f t="shared" si="3"/>
        <v>25000</v>
      </c>
    </row>
    <row r="202" spans="1:9">
      <c r="A202" s="106" t="s">
        <v>999</v>
      </c>
      <c r="B202" s="106" t="s">
        <v>582</v>
      </c>
      <c r="C202" s="106" t="s">
        <v>250</v>
      </c>
      <c r="D202" s="106" t="s">
        <v>251</v>
      </c>
      <c r="E202" s="106" t="s">
        <v>252</v>
      </c>
      <c r="F202" s="106" t="s">
        <v>253</v>
      </c>
      <c r="G202" s="107">
        <v>2500</v>
      </c>
      <c r="H202" s="107"/>
      <c r="I202" s="107">
        <f t="shared" si="3"/>
        <v>2500</v>
      </c>
    </row>
    <row r="203" spans="1:9">
      <c r="A203" s="101" t="s">
        <v>1000</v>
      </c>
      <c r="B203" s="101" t="s">
        <v>582</v>
      </c>
      <c r="C203" s="101" t="s">
        <v>250</v>
      </c>
      <c r="D203" s="101" t="s">
        <v>133</v>
      </c>
      <c r="E203" s="101" t="s">
        <v>254</v>
      </c>
      <c r="F203" s="101" t="s">
        <v>255</v>
      </c>
      <c r="G203" s="102">
        <v>2760</v>
      </c>
      <c r="H203" s="102">
        <v>0</v>
      </c>
      <c r="I203" s="102">
        <f t="shared" si="3"/>
        <v>2760</v>
      </c>
    </row>
    <row r="204" spans="1:9">
      <c r="A204" s="101" t="s">
        <v>1001</v>
      </c>
      <c r="B204" s="101" t="s">
        <v>582</v>
      </c>
      <c r="C204" s="101" t="s">
        <v>250</v>
      </c>
      <c r="D204" s="101" t="s">
        <v>133</v>
      </c>
      <c r="E204" s="101" t="s">
        <v>256</v>
      </c>
      <c r="F204" s="101" t="s">
        <v>255</v>
      </c>
      <c r="G204" s="102">
        <v>125</v>
      </c>
      <c r="H204" s="102">
        <v>0</v>
      </c>
      <c r="I204" s="102">
        <f t="shared" si="3"/>
        <v>125</v>
      </c>
    </row>
    <row r="205" spans="1:9">
      <c r="A205" s="140" t="s">
        <v>1002</v>
      </c>
      <c r="B205" s="101" t="s">
        <v>582</v>
      </c>
      <c r="C205" s="101" t="s">
        <v>250</v>
      </c>
      <c r="D205" s="101" t="s">
        <v>133</v>
      </c>
      <c r="E205" s="101" t="s">
        <v>49</v>
      </c>
      <c r="F205" s="101" t="s">
        <v>257</v>
      </c>
      <c r="G205" s="102">
        <v>0</v>
      </c>
      <c r="H205" s="102">
        <v>0</v>
      </c>
      <c r="I205" s="102">
        <f t="shared" si="3"/>
        <v>0</v>
      </c>
    </row>
    <row r="206" spans="1:9">
      <c r="A206" s="101" t="s">
        <v>1003</v>
      </c>
      <c r="B206" s="101" t="s">
        <v>582</v>
      </c>
      <c r="C206" s="101" t="s">
        <v>250</v>
      </c>
      <c r="D206" s="101" t="s">
        <v>133</v>
      </c>
      <c r="E206" s="101" t="s">
        <v>258</v>
      </c>
      <c r="F206" s="101" t="s">
        <v>134</v>
      </c>
      <c r="G206" s="102">
        <f>1294</f>
        <v>1294</v>
      </c>
      <c r="H206" s="102">
        <v>2964</v>
      </c>
      <c r="I206" s="102">
        <f t="shared" si="3"/>
        <v>4258</v>
      </c>
    </row>
    <row r="207" spans="1:9">
      <c r="A207" s="140" t="s">
        <v>1004</v>
      </c>
      <c r="B207" s="101"/>
      <c r="C207" s="101" t="s">
        <v>250</v>
      </c>
      <c r="D207" s="101" t="s">
        <v>133</v>
      </c>
      <c r="E207" s="101" t="s">
        <v>259</v>
      </c>
      <c r="F207" s="101" t="s">
        <v>140</v>
      </c>
      <c r="G207" s="102">
        <v>28000</v>
      </c>
      <c r="H207" s="102">
        <v>0</v>
      </c>
      <c r="I207" s="102">
        <f t="shared" si="3"/>
        <v>28000</v>
      </c>
    </row>
    <row r="208" spans="1:9">
      <c r="A208" s="101" t="s">
        <v>1005</v>
      </c>
      <c r="B208" s="101" t="s">
        <v>582</v>
      </c>
      <c r="C208" s="101" t="s">
        <v>250</v>
      </c>
      <c r="D208" s="101" t="s">
        <v>133</v>
      </c>
      <c r="E208" s="101" t="s">
        <v>260</v>
      </c>
      <c r="F208" s="101" t="s">
        <v>134</v>
      </c>
      <c r="G208" s="102">
        <v>2463</v>
      </c>
      <c r="H208" s="102"/>
      <c r="I208" s="102">
        <f t="shared" si="3"/>
        <v>2463</v>
      </c>
    </row>
    <row r="209" spans="1:9">
      <c r="A209" s="140" t="s">
        <v>1006</v>
      </c>
      <c r="B209" s="101" t="s">
        <v>582</v>
      </c>
      <c r="C209" s="101" t="s">
        <v>250</v>
      </c>
      <c r="D209" s="101" t="s">
        <v>133</v>
      </c>
      <c r="E209" s="101" t="s">
        <v>261</v>
      </c>
      <c r="F209" s="101" t="s">
        <v>140</v>
      </c>
      <c r="G209" s="102">
        <v>340</v>
      </c>
      <c r="H209" s="102">
        <v>0</v>
      </c>
      <c r="I209" s="102">
        <f t="shared" si="3"/>
        <v>340</v>
      </c>
    </row>
    <row r="210" spans="1:9">
      <c r="A210" s="140" t="s">
        <v>1007</v>
      </c>
      <c r="B210" s="101" t="s">
        <v>582</v>
      </c>
      <c r="C210" s="101" t="s">
        <v>250</v>
      </c>
      <c r="D210" s="101" t="s">
        <v>133</v>
      </c>
      <c r="E210" s="101" t="s">
        <v>95</v>
      </c>
      <c r="F210" s="101" t="s">
        <v>240</v>
      </c>
      <c r="G210" s="102"/>
      <c r="H210" s="102">
        <v>124</v>
      </c>
      <c r="I210" s="102">
        <f t="shared" si="3"/>
        <v>124</v>
      </c>
    </row>
    <row r="211" spans="1:9">
      <c r="A211" s="140" t="s">
        <v>1008</v>
      </c>
      <c r="B211" s="101" t="s">
        <v>582</v>
      </c>
      <c r="C211" s="101" t="s">
        <v>250</v>
      </c>
      <c r="D211" s="101" t="s">
        <v>133</v>
      </c>
      <c r="E211" s="101" t="s">
        <v>781</v>
      </c>
      <c r="F211" s="101" t="s">
        <v>240</v>
      </c>
      <c r="G211" s="102">
        <v>1860</v>
      </c>
      <c r="H211" s="102">
        <v>0</v>
      </c>
      <c r="I211" s="102">
        <f t="shared" si="3"/>
        <v>1860</v>
      </c>
    </row>
    <row r="212" spans="1:9">
      <c r="A212" s="140" t="s">
        <v>1009</v>
      </c>
      <c r="B212" s="101"/>
      <c r="C212" s="101" t="s">
        <v>250</v>
      </c>
      <c r="D212" s="101" t="s">
        <v>133</v>
      </c>
      <c r="E212" s="101" t="s">
        <v>262</v>
      </c>
      <c r="F212" s="101" t="s">
        <v>263</v>
      </c>
      <c r="G212" s="102">
        <v>348</v>
      </c>
      <c r="H212" s="102">
        <v>0</v>
      </c>
      <c r="I212" s="102">
        <f t="shared" si="3"/>
        <v>348</v>
      </c>
    </row>
    <row r="213" spans="1:9">
      <c r="A213" s="108" t="s">
        <v>1010</v>
      </c>
      <c r="B213" s="108" t="s">
        <v>582</v>
      </c>
      <c r="C213" s="108" t="s">
        <v>250</v>
      </c>
      <c r="D213" s="108" t="s">
        <v>264</v>
      </c>
      <c r="E213" s="108" t="s">
        <v>265</v>
      </c>
      <c r="F213" s="108" t="s">
        <v>253</v>
      </c>
      <c r="G213" s="109">
        <v>3000</v>
      </c>
      <c r="H213" s="109">
        <v>0</v>
      </c>
      <c r="I213" s="109">
        <f t="shared" si="3"/>
        <v>3000</v>
      </c>
    </row>
    <row r="214" spans="1:9">
      <c r="A214" s="101" t="s">
        <v>1011</v>
      </c>
      <c r="B214" s="101" t="s">
        <v>582</v>
      </c>
      <c r="C214" s="101" t="s">
        <v>250</v>
      </c>
      <c r="D214" s="101" t="s">
        <v>133</v>
      </c>
      <c r="E214" s="101" t="s">
        <v>266</v>
      </c>
      <c r="F214" s="101" t="s">
        <v>134</v>
      </c>
      <c r="G214" s="102">
        <v>29825</v>
      </c>
      <c r="H214" s="102">
        <v>0</v>
      </c>
      <c r="I214" s="102">
        <f t="shared" si="3"/>
        <v>29825</v>
      </c>
    </row>
    <row r="215" spans="1:9">
      <c r="A215" s="140" t="s">
        <v>1012</v>
      </c>
      <c r="B215" s="101" t="s">
        <v>582</v>
      </c>
      <c r="C215" s="101" t="s">
        <v>250</v>
      </c>
      <c r="D215" s="101" t="s">
        <v>133</v>
      </c>
      <c r="E215" s="101" t="s">
        <v>45</v>
      </c>
      <c r="F215" s="101" t="s">
        <v>241</v>
      </c>
      <c r="G215" s="102">
        <v>0</v>
      </c>
      <c r="H215" s="102">
        <v>3000</v>
      </c>
      <c r="I215" s="102">
        <f t="shared" si="3"/>
        <v>3000</v>
      </c>
    </row>
    <row r="216" spans="1:9">
      <c r="A216" s="101" t="s">
        <v>1013</v>
      </c>
      <c r="B216" s="101" t="s">
        <v>582</v>
      </c>
      <c r="C216" s="101" t="s">
        <v>267</v>
      </c>
      <c r="D216" s="101" t="s">
        <v>133</v>
      </c>
      <c r="E216" s="101" t="s">
        <v>268</v>
      </c>
      <c r="F216" s="101" t="s">
        <v>269</v>
      </c>
      <c r="G216" s="102">
        <f>6*455</f>
        <v>2730</v>
      </c>
      <c r="H216" s="102">
        <f>6*455</f>
        <v>2730</v>
      </c>
      <c r="I216" s="102">
        <f t="shared" si="3"/>
        <v>5460</v>
      </c>
    </row>
    <row r="217" spans="1:9">
      <c r="A217" s="101" t="s">
        <v>1014</v>
      </c>
      <c r="B217" s="101" t="s">
        <v>582</v>
      </c>
      <c r="C217" s="101" t="s">
        <v>267</v>
      </c>
      <c r="D217" s="101" t="s">
        <v>133</v>
      </c>
      <c r="E217" s="101" t="s">
        <v>270</v>
      </c>
      <c r="F217" s="101" t="s">
        <v>271</v>
      </c>
      <c r="G217" s="102">
        <f>30*33</f>
        <v>990</v>
      </c>
      <c r="H217" s="102">
        <f>3*33</f>
        <v>99</v>
      </c>
      <c r="I217" s="102">
        <f t="shared" si="3"/>
        <v>1089</v>
      </c>
    </row>
    <row r="218" spans="1:9">
      <c r="A218" s="101" t="s">
        <v>1015</v>
      </c>
      <c r="B218" s="101" t="s">
        <v>582</v>
      </c>
      <c r="C218" s="101" t="s">
        <v>267</v>
      </c>
      <c r="D218" s="101" t="s">
        <v>133</v>
      </c>
      <c r="E218" s="101" t="s">
        <v>272</v>
      </c>
      <c r="F218" s="101" t="s">
        <v>273</v>
      </c>
      <c r="G218" s="102">
        <f>14*200</f>
        <v>2800</v>
      </c>
      <c r="H218" s="102">
        <f>5*200</f>
        <v>1000</v>
      </c>
      <c r="I218" s="102">
        <f t="shared" si="3"/>
        <v>3800</v>
      </c>
    </row>
    <row r="219" spans="1:9">
      <c r="A219" s="140" t="s">
        <v>1016</v>
      </c>
      <c r="B219" s="101"/>
      <c r="C219" s="101" t="s">
        <v>782</v>
      </c>
      <c r="D219" s="101" t="s">
        <v>133</v>
      </c>
      <c r="E219" s="101" t="s">
        <v>505</v>
      </c>
      <c r="F219" s="101" t="s">
        <v>506</v>
      </c>
      <c r="G219" s="102">
        <v>3000</v>
      </c>
      <c r="H219" s="102">
        <v>1000</v>
      </c>
      <c r="I219" s="102">
        <f t="shared" si="3"/>
        <v>4000</v>
      </c>
    </row>
    <row r="220" spans="1:9">
      <c r="A220" s="140" t="s">
        <v>1017</v>
      </c>
      <c r="B220" s="101" t="s">
        <v>582</v>
      </c>
      <c r="C220" s="101" t="s">
        <v>267</v>
      </c>
      <c r="D220" s="101" t="s">
        <v>133</v>
      </c>
      <c r="E220" s="101" t="s">
        <v>276</v>
      </c>
      <c r="F220" s="101" t="s">
        <v>277</v>
      </c>
      <c r="G220" s="102"/>
      <c r="H220" s="102">
        <v>0</v>
      </c>
      <c r="I220" s="102">
        <f t="shared" si="3"/>
        <v>0</v>
      </c>
    </row>
    <row r="221" spans="1:9">
      <c r="A221" s="101" t="s">
        <v>1018</v>
      </c>
      <c r="B221" s="101" t="s">
        <v>582</v>
      </c>
      <c r="C221" s="101" t="s">
        <v>267</v>
      </c>
      <c r="D221" s="101" t="s">
        <v>133</v>
      </c>
      <c r="E221" s="101" t="s">
        <v>278</v>
      </c>
      <c r="F221" s="101" t="s">
        <v>277</v>
      </c>
      <c r="G221" s="102">
        <f>1*28665</f>
        <v>28665</v>
      </c>
      <c r="H221" s="102">
        <f>1*28665</f>
        <v>28665</v>
      </c>
      <c r="I221" s="102">
        <f t="shared" si="3"/>
        <v>57330</v>
      </c>
    </row>
    <row r="222" spans="1:9">
      <c r="A222" s="140" t="s">
        <v>1019</v>
      </c>
      <c r="B222" s="101" t="s">
        <v>582</v>
      </c>
      <c r="C222" s="101" t="s">
        <v>783</v>
      </c>
      <c r="D222" s="101" t="s">
        <v>133</v>
      </c>
      <c r="E222" s="101" t="s">
        <v>409</v>
      </c>
      <c r="F222" s="101" t="s">
        <v>277</v>
      </c>
      <c r="G222" s="102"/>
      <c r="H222" s="102">
        <v>0</v>
      </c>
      <c r="I222" s="102">
        <f t="shared" si="3"/>
        <v>0</v>
      </c>
    </row>
    <row r="223" spans="1:9">
      <c r="A223" s="140" t="s">
        <v>1020</v>
      </c>
      <c r="B223" s="101" t="s">
        <v>582</v>
      </c>
      <c r="C223" s="101" t="s">
        <v>783</v>
      </c>
      <c r="D223" s="101" t="s">
        <v>133</v>
      </c>
      <c r="E223" s="101" t="s">
        <v>784</v>
      </c>
      <c r="F223" s="101" t="s">
        <v>277</v>
      </c>
      <c r="G223" s="102"/>
      <c r="H223" s="102">
        <f>1*3600</f>
        <v>3600</v>
      </c>
      <c r="I223" s="102">
        <f t="shared" si="3"/>
        <v>3600</v>
      </c>
    </row>
    <row r="224" spans="1:9">
      <c r="A224" s="140" t="s">
        <v>1021</v>
      </c>
      <c r="B224" s="101" t="s">
        <v>582</v>
      </c>
      <c r="C224" s="101" t="s">
        <v>267</v>
      </c>
      <c r="D224" s="101" t="s">
        <v>133</v>
      </c>
      <c r="E224" s="101" t="s">
        <v>279</v>
      </c>
      <c r="F224" s="101" t="s">
        <v>134</v>
      </c>
      <c r="G224" s="102">
        <v>2000</v>
      </c>
      <c r="H224" s="102"/>
      <c r="I224" s="102">
        <f t="shared" si="3"/>
        <v>2000</v>
      </c>
    </row>
    <row r="225" spans="1:9">
      <c r="A225" s="101" t="s">
        <v>1022</v>
      </c>
      <c r="B225" s="101" t="s">
        <v>582</v>
      </c>
      <c r="C225" s="101" t="s">
        <v>267</v>
      </c>
      <c r="D225" s="101" t="s">
        <v>133</v>
      </c>
      <c r="E225" s="101" t="s">
        <v>280</v>
      </c>
      <c r="F225" s="101" t="s">
        <v>281</v>
      </c>
      <c r="G225" s="102">
        <v>11550</v>
      </c>
      <c r="H225" s="102"/>
      <c r="I225" s="102">
        <f t="shared" si="3"/>
        <v>11550</v>
      </c>
    </row>
    <row r="226" spans="1:9">
      <c r="A226" s="101" t="s">
        <v>1023</v>
      </c>
      <c r="B226" s="101" t="s">
        <v>582</v>
      </c>
      <c r="C226" s="101" t="s">
        <v>267</v>
      </c>
      <c r="D226" s="101" t="s">
        <v>133</v>
      </c>
      <c r="E226" s="101" t="s">
        <v>282</v>
      </c>
      <c r="F226" s="101" t="s">
        <v>134</v>
      </c>
      <c r="G226" s="102">
        <v>5000</v>
      </c>
      <c r="H226" s="102"/>
      <c r="I226" s="102">
        <f t="shared" si="3"/>
        <v>5000</v>
      </c>
    </row>
    <row r="227" spans="1:9">
      <c r="A227" s="140" t="s">
        <v>1024</v>
      </c>
      <c r="B227" s="101" t="s">
        <v>582</v>
      </c>
      <c r="C227" s="101" t="s">
        <v>267</v>
      </c>
      <c r="D227" s="101" t="s">
        <v>133</v>
      </c>
      <c r="E227" s="101" t="s">
        <v>283</v>
      </c>
      <c r="F227" s="101" t="s">
        <v>140</v>
      </c>
      <c r="G227" s="102">
        <v>11550</v>
      </c>
      <c r="H227" s="102"/>
      <c r="I227" s="102">
        <f t="shared" si="3"/>
        <v>11550</v>
      </c>
    </row>
    <row r="228" spans="1:9">
      <c r="A228" s="101" t="s">
        <v>1025</v>
      </c>
      <c r="B228" s="101" t="s">
        <v>582</v>
      </c>
      <c r="C228" s="101" t="s">
        <v>267</v>
      </c>
      <c r="D228" s="101" t="s">
        <v>133</v>
      </c>
      <c r="E228" s="101" t="s">
        <v>284</v>
      </c>
      <c r="F228" s="101" t="s">
        <v>140</v>
      </c>
      <c r="G228" s="102">
        <v>2550</v>
      </c>
      <c r="H228" s="102"/>
      <c r="I228" s="102">
        <f t="shared" si="3"/>
        <v>2550</v>
      </c>
    </row>
    <row r="229" spans="1:9">
      <c r="A229" s="101" t="s">
        <v>1026</v>
      </c>
      <c r="B229" s="101" t="s">
        <v>582</v>
      </c>
      <c r="C229" s="101" t="s">
        <v>267</v>
      </c>
      <c r="D229" s="101" t="s">
        <v>133</v>
      </c>
      <c r="E229" s="101" t="s">
        <v>285</v>
      </c>
      <c r="F229" s="101" t="s">
        <v>140</v>
      </c>
      <c r="G229" s="102">
        <v>0</v>
      </c>
      <c r="H229" s="102"/>
      <c r="I229" s="102">
        <f t="shared" si="3"/>
        <v>0</v>
      </c>
    </row>
    <row r="230" spans="1:9">
      <c r="A230" s="140" t="s">
        <v>1027</v>
      </c>
      <c r="B230" s="101" t="s">
        <v>582</v>
      </c>
      <c r="C230" s="101" t="s">
        <v>267</v>
      </c>
      <c r="D230" s="101" t="s">
        <v>133</v>
      </c>
      <c r="E230" s="101" t="s">
        <v>507</v>
      </c>
      <c r="F230" s="101" t="s">
        <v>140</v>
      </c>
      <c r="G230" s="102">
        <v>6700</v>
      </c>
      <c r="H230" s="102"/>
      <c r="I230" s="102">
        <f t="shared" si="3"/>
        <v>6700</v>
      </c>
    </row>
    <row r="231" spans="1:9">
      <c r="A231" s="140" t="s">
        <v>1028</v>
      </c>
      <c r="B231" s="101"/>
      <c r="C231" s="101" t="s">
        <v>267</v>
      </c>
      <c r="D231" s="101" t="s">
        <v>133</v>
      </c>
      <c r="E231" s="101" t="s">
        <v>286</v>
      </c>
      <c r="F231" s="101" t="s">
        <v>140</v>
      </c>
      <c r="G231" s="102">
        <v>0</v>
      </c>
      <c r="H231" s="102">
        <v>1500</v>
      </c>
      <c r="I231" s="102">
        <f t="shared" si="3"/>
        <v>1500</v>
      </c>
    </row>
    <row r="232" spans="1:9">
      <c r="A232" s="101" t="s">
        <v>1029</v>
      </c>
      <c r="B232" s="101"/>
      <c r="C232" s="101" t="s">
        <v>267</v>
      </c>
      <c r="D232" s="101" t="s">
        <v>133</v>
      </c>
      <c r="E232" s="101" t="s">
        <v>287</v>
      </c>
      <c r="F232" s="101" t="s">
        <v>140</v>
      </c>
      <c r="G232" s="102"/>
      <c r="H232" s="102">
        <v>1600</v>
      </c>
      <c r="I232" s="102">
        <f t="shared" si="3"/>
        <v>1600</v>
      </c>
    </row>
    <row r="233" spans="1:9">
      <c r="A233" s="101" t="s">
        <v>1030</v>
      </c>
      <c r="B233" s="101" t="s">
        <v>582</v>
      </c>
      <c r="C233" s="101" t="s">
        <v>267</v>
      </c>
      <c r="D233" s="101" t="s">
        <v>133</v>
      </c>
      <c r="E233" s="101" t="s">
        <v>288</v>
      </c>
      <c r="F233" s="101" t="s">
        <v>289</v>
      </c>
      <c r="G233" s="102">
        <v>8163</v>
      </c>
      <c r="H233" s="102"/>
      <c r="I233" s="102">
        <f t="shared" si="3"/>
        <v>8163</v>
      </c>
    </row>
    <row r="234" spans="1:9">
      <c r="A234" s="386" t="s">
        <v>1031</v>
      </c>
      <c r="B234" s="110"/>
      <c r="C234" s="110" t="s">
        <v>267</v>
      </c>
      <c r="D234" s="110" t="s">
        <v>274</v>
      </c>
      <c r="E234" s="110" t="s">
        <v>275</v>
      </c>
      <c r="F234" s="110" t="s">
        <v>253</v>
      </c>
      <c r="G234" s="111">
        <v>0</v>
      </c>
      <c r="H234" s="111">
        <v>500</v>
      </c>
      <c r="I234" s="111">
        <f t="shared" si="3"/>
        <v>500</v>
      </c>
    </row>
    <row r="235" spans="1:9">
      <c r="A235" s="101" t="s">
        <v>1032</v>
      </c>
      <c r="B235" s="101"/>
      <c r="C235" s="101" t="s">
        <v>267</v>
      </c>
      <c r="D235" s="101" t="s">
        <v>1033</v>
      </c>
      <c r="E235" s="101"/>
      <c r="F235" s="101" t="s">
        <v>1034</v>
      </c>
      <c r="G235" s="102">
        <v>16500</v>
      </c>
      <c r="H235" s="102"/>
      <c r="I235" s="102">
        <f t="shared" si="3"/>
        <v>16500</v>
      </c>
    </row>
    <row r="236" spans="1:9">
      <c r="A236" s="101" t="s">
        <v>1035</v>
      </c>
      <c r="B236" s="101" t="s">
        <v>582</v>
      </c>
      <c r="C236" s="101" t="s">
        <v>267</v>
      </c>
      <c r="D236" s="101" t="s">
        <v>133</v>
      </c>
      <c r="E236" s="101" t="s">
        <v>290</v>
      </c>
      <c r="F236" s="101" t="s">
        <v>134</v>
      </c>
      <c r="G236" s="102">
        <v>3945</v>
      </c>
      <c r="H236" s="102"/>
      <c r="I236" s="102">
        <f t="shared" si="3"/>
        <v>3945</v>
      </c>
    </row>
    <row r="237" spans="1:9">
      <c r="A237" s="101" t="s">
        <v>1036</v>
      </c>
      <c r="B237" s="101" t="s">
        <v>582</v>
      </c>
      <c r="C237" s="101" t="s">
        <v>267</v>
      </c>
      <c r="D237" s="101" t="s">
        <v>133</v>
      </c>
      <c r="E237" s="101" t="s">
        <v>291</v>
      </c>
      <c r="F237" s="101" t="s">
        <v>292</v>
      </c>
      <c r="G237" s="102">
        <f>60*42.95</f>
        <v>2577</v>
      </c>
      <c r="H237" s="102"/>
      <c r="I237" s="102">
        <f t="shared" si="3"/>
        <v>2577</v>
      </c>
    </row>
    <row r="238" spans="1:9">
      <c r="A238" s="140" t="s">
        <v>1037</v>
      </c>
      <c r="B238" s="101" t="s">
        <v>582</v>
      </c>
      <c r="C238" s="101" t="s">
        <v>267</v>
      </c>
      <c r="D238" s="101" t="s">
        <v>133</v>
      </c>
      <c r="E238" s="101" t="s">
        <v>1038</v>
      </c>
      <c r="F238" s="101" t="s">
        <v>1039</v>
      </c>
      <c r="G238" s="102">
        <f>50*42.95</f>
        <v>2147.5</v>
      </c>
      <c r="H238" s="102"/>
      <c r="I238" s="102">
        <f t="shared" si="3"/>
        <v>2147.5</v>
      </c>
    </row>
    <row r="239" spans="1:9">
      <c r="A239" s="140" t="s">
        <v>1040</v>
      </c>
      <c r="B239" s="101" t="s">
        <v>582</v>
      </c>
      <c r="C239" s="101" t="s">
        <v>267</v>
      </c>
      <c r="D239" s="101" t="s">
        <v>133</v>
      </c>
      <c r="E239" s="101" t="s">
        <v>785</v>
      </c>
      <c r="F239" s="101" t="s">
        <v>292</v>
      </c>
      <c r="G239" s="102">
        <f>10*42.95</f>
        <v>429.5</v>
      </c>
      <c r="H239" s="102"/>
      <c r="I239" s="102">
        <f t="shared" si="3"/>
        <v>429.5</v>
      </c>
    </row>
    <row r="240" spans="1:9">
      <c r="A240" s="101" t="s">
        <v>1041</v>
      </c>
      <c r="B240" s="101" t="s">
        <v>582</v>
      </c>
      <c r="C240" s="101" t="s">
        <v>267</v>
      </c>
      <c r="D240" s="101" t="s">
        <v>133</v>
      </c>
      <c r="E240" s="101" t="s">
        <v>293</v>
      </c>
      <c r="F240" s="101" t="s">
        <v>292</v>
      </c>
      <c r="G240" s="102">
        <f>350*42.95</f>
        <v>15032.500000000002</v>
      </c>
      <c r="H240" s="102"/>
      <c r="I240" s="102">
        <f t="shared" si="3"/>
        <v>15032.500000000002</v>
      </c>
    </row>
    <row r="241" spans="1:9">
      <c r="A241" s="140" t="s">
        <v>1042</v>
      </c>
      <c r="B241" s="101"/>
      <c r="C241" s="101" t="s">
        <v>267</v>
      </c>
      <c r="D241" s="101" t="s">
        <v>133</v>
      </c>
      <c r="E241" s="101" t="s">
        <v>1043</v>
      </c>
      <c r="F241" s="101" t="s">
        <v>292</v>
      </c>
      <c r="G241" s="102">
        <f>450*7.9</f>
        <v>3555</v>
      </c>
      <c r="H241" s="102"/>
      <c r="I241" s="102">
        <f t="shared" si="3"/>
        <v>3555</v>
      </c>
    </row>
    <row r="242" spans="1:9">
      <c r="A242" s="101" t="s">
        <v>1044</v>
      </c>
      <c r="B242" s="101" t="s">
        <v>582</v>
      </c>
      <c r="C242" s="101" t="s">
        <v>267</v>
      </c>
      <c r="D242" s="101" t="s">
        <v>133</v>
      </c>
      <c r="E242" s="101" t="s">
        <v>294</v>
      </c>
      <c r="F242" s="101" t="s">
        <v>134</v>
      </c>
      <c r="G242" s="102">
        <v>2478</v>
      </c>
      <c r="H242" s="102"/>
      <c r="I242" s="102">
        <f t="shared" si="3"/>
        <v>2478</v>
      </c>
    </row>
    <row r="243" spans="1:9">
      <c r="A243" s="101" t="s">
        <v>1045</v>
      </c>
      <c r="B243" s="101" t="s">
        <v>582</v>
      </c>
      <c r="C243" s="101" t="s">
        <v>267</v>
      </c>
      <c r="D243" s="101" t="s">
        <v>133</v>
      </c>
      <c r="E243" s="101" t="s">
        <v>295</v>
      </c>
      <c r="F243" s="101" t="s">
        <v>273</v>
      </c>
      <c r="G243" s="102">
        <v>21696</v>
      </c>
      <c r="H243" s="102"/>
      <c r="I243" s="102">
        <f t="shared" si="3"/>
        <v>21696</v>
      </c>
    </row>
    <row r="244" spans="1:9">
      <c r="A244" s="101" t="s">
        <v>1046</v>
      </c>
      <c r="B244" s="101" t="s">
        <v>582</v>
      </c>
      <c r="C244" s="101" t="s">
        <v>267</v>
      </c>
      <c r="D244" s="101" t="s">
        <v>133</v>
      </c>
      <c r="E244" s="101" t="s">
        <v>50</v>
      </c>
      <c r="F244" s="101" t="s">
        <v>296</v>
      </c>
      <c r="G244" s="102">
        <f>28*228</f>
        <v>6384</v>
      </c>
      <c r="H244" s="102">
        <f>3*228</f>
        <v>684</v>
      </c>
      <c r="I244" s="102">
        <f t="shared" si="3"/>
        <v>7068</v>
      </c>
    </row>
    <row r="245" spans="1:9">
      <c r="A245" s="140" t="s">
        <v>1047</v>
      </c>
      <c r="B245" s="101" t="s">
        <v>582</v>
      </c>
      <c r="C245" s="101" t="s">
        <v>267</v>
      </c>
      <c r="D245" s="101" t="s">
        <v>133</v>
      </c>
      <c r="E245" s="101" t="s">
        <v>1048</v>
      </c>
      <c r="F245" s="101" t="s">
        <v>140</v>
      </c>
      <c r="G245" s="102">
        <v>1450</v>
      </c>
      <c r="H245" s="102"/>
      <c r="I245" s="102">
        <f t="shared" si="3"/>
        <v>1450</v>
      </c>
    </row>
    <row r="246" spans="1:9">
      <c r="A246" s="140" t="s">
        <v>1049</v>
      </c>
      <c r="B246" s="101" t="s">
        <v>582</v>
      </c>
      <c r="C246" s="101" t="s">
        <v>267</v>
      </c>
      <c r="D246" s="101" t="s">
        <v>133</v>
      </c>
      <c r="E246" s="101" t="s">
        <v>297</v>
      </c>
      <c r="F246" s="101" t="s">
        <v>298</v>
      </c>
      <c r="G246" s="102">
        <v>225</v>
      </c>
      <c r="H246" s="102">
        <v>200</v>
      </c>
      <c r="I246" s="102">
        <f t="shared" si="3"/>
        <v>425</v>
      </c>
    </row>
    <row r="247" spans="1:9">
      <c r="A247" s="101" t="s">
        <v>1050</v>
      </c>
      <c r="B247" s="101" t="s">
        <v>582</v>
      </c>
      <c r="C247" s="101" t="s">
        <v>267</v>
      </c>
      <c r="D247" s="101" t="s">
        <v>133</v>
      </c>
      <c r="E247" s="101" t="s">
        <v>299</v>
      </c>
      <c r="F247" s="101" t="s">
        <v>134</v>
      </c>
      <c r="G247" s="102"/>
      <c r="H247" s="102"/>
      <c r="I247" s="102">
        <f t="shared" si="3"/>
        <v>0</v>
      </c>
    </row>
    <row r="248" spans="1:9">
      <c r="A248" s="101" t="s">
        <v>1051</v>
      </c>
      <c r="B248" s="101" t="s">
        <v>582</v>
      </c>
      <c r="C248" s="101" t="s">
        <v>267</v>
      </c>
      <c r="D248" s="101" t="s">
        <v>133</v>
      </c>
      <c r="E248" s="101" t="s">
        <v>124</v>
      </c>
      <c r="F248" s="101" t="s">
        <v>134</v>
      </c>
      <c r="G248" s="102"/>
      <c r="H248" s="102"/>
      <c r="I248" s="102">
        <f t="shared" si="3"/>
        <v>0</v>
      </c>
    </row>
    <row r="249" spans="1:9">
      <c r="A249" s="140" t="s">
        <v>1052</v>
      </c>
      <c r="B249" s="101" t="s">
        <v>582</v>
      </c>
      <c r="C249" s="101" t="s">
        <v>267</v>
      </c>
      <c r="D249" s="101" t="s">
        <v>133</v>
      </c>
      <c r="E249" s="101" t="s">
        <v>300</v>
      </c>
      <c r="F249" s="101" t="s">
        <v>301</v>
      </c>
      <c r="G249" s="102"/>
      <c r="H249" s="102">
        <v>8000</v>
      </c>
      <c r="I249" s="102">
        <f t="shared" si="3"/>
        <v>8000</v>
      </c>
    </row>
    <row r="250" spans="1:9">
      <c r="A250" s="140" t="s">
        <v>1053</v>
      </c>
      <c r="B250" s="113"/>
      <c r="C250" s="101" t="s">
        <v>267</v>
      </c>
      <c r="D250" s="101" t="s">
        <v>133</v>
      </c>
      <c r="E250" s="114" t="s">
        <v>1054</v>
      </c>
      <c r="F250" s="114" t="s">
        <v>134</v>
      </c>
      <c r="G250" s="102">
        <v>6840</v>
      </c>
      <c r="H250" s="102">
        <v>0</v>
      </c>
      <c r="I250" s="102">
        <f t="shared" si="3"/>
        <v>6840</v>
      </c>
    </row>
    <row r="251" spans="1:9">
      <c r="A251" s="110" t="s">
        <v>1055</v>
      </c>
      <c r="B251" s="110"/>
      <c r="C251" s="110" t="s">
        <v>267</v>
      </c>
      <c r="D251" s="110" t="s">
        <v>274</v>
      </c>
      <c r="E251" s="110" t="s">
        <v>302</v>
      </c>
      <c r="F251" s="110" t="s">
        <v>253</v>
      </c>
      <c r="G251" s="111"/>
      <c r="H251" s="111">
        <v>1500</v>
      </c>
      <c r="I251" s="111">
        <f t="shared" si="3"/>
        <v>1500</v>
      </c>
    </row>
    <row r="252" spans="1:9">
      <c r="A252" s="101" t="s">
        <v>1056</v>
      </c>
      <c r="B252" s="101" t="s">
        <v>582</v>
      </c>
      <c r="C252" s="101" t="s">
        <v>267</v>
      </c>
      <c r="D252" s="101" t="s">
        <v>133</v>
      </c>
      <c r="E252" s="101" t="s">
        <v>303</v>
      </c>
      <c r="F252" s="101" t="s">
        <v>134</v>
      </c>
      <c r="G252" s="102">
        <v>4243</v>
      </c>
      <c r="H252" s="102"/>
      <c r="I252" s="102">
        <f t="shared" si="3"/>
        <v>4243</v>
      </c>
    </row>
    <row r="253" spans="1:9">
      <c r="A253" s="101" t="s">
        <v>1057</v>
      </c>
      <c r="B253" s="101" t="s">
        <v>582</v>
      </c>
      <c r="C253" s="101" t="s">
        <v>267</v>
      </c>
      <c r="D253" s="101" t="s">
        <v>133</v>
      </c>
      <c r="E253" s="101" t="s">
        <v>304</v>
      </c>
      <c r="F253" s="101" t="s">
        <v>305</v>
      </c>
      <c r="G253" s="102">
        <v>66820</v>
      </c>
      <c r="H253" s="102"/>
      <c r="I253" s="102">
        <f t="shared" si="3"/>
        <v>66820</v>
      </c>
    </row>
    <row r="254" spans="1:9">
      <c r="A254" s="101" t="s">
        <v>1058</v>
      </c>
      <c r="B254" s="101" t="s">
        <v>582</v>
      </c>
      <c r="C254" s="101" t="s">
        <v>267</v>
      </c>
      <c r="D254" s="101" t="s">
        <v>133</v>
      </c>
      <c r="E254" s="101" t="s">
        <v>306</v>
      </c>
      <c r="F254" s="101" t="s">
        <v>307</v>
      </c>
      <c r="G254" s="102">
        <v>20439</v>
      </c>
      <c r="H254" s="102"/>
      <c r="I254" s="102">
        <f t="shared" si="3"/>
        <v>20439</v>
      </c>
    </row>
    <row r="255" spans="1:9">
      <c r="A255" s="140" t="s">
        <v>1059</v>
      </c>
      <c r="B255" s="101" t="s">
        <v>582</v>
      </c>
      <c r="C255" s="101" t="s">
        <v>267</v>
      </c>
      <c r="D255" s="101" t="s">
        <v>133</v>
      </c>
      <c r="E255" s="101" t="s">
        <v>308</v>
      </c>
      <c r="F255" s="101" t="s">
        <v>140</v>
      </c>
      <c r="G255" s="102">
        <v>6700</v>
      </c>
      <c r="H255" s="102"/>
      <c r="I255" s="102">
        <f t="shared" si="3"/>
        <v>6700</v>
      </c>
    </row>
    <row r="256" spans="1:9">
      <c r="A256" s="103"/>
      <c r="B256" s="317" t="s">
        <v>786</v>
      </c>
      <c r="C256" s="103"/>
      <c r="D256" s="103"/>
      <c r="E256" s="103"/>
      <c r="F256" s="103"/>
      <c r="G256" s="103"/>
      <c r="H256" s="103"/>
      <c r="I256" s="105">
        <f t="shared" si="3"/>
        <v>0</v>
      </c>
    </row>
    <row r="257" spans="1:9">
      <c r="A257" s="103" t="s">
        <v>1060</v>
      </c>
      <c r="B257" s="103" t="s">
        <v>787</v>
      </c>
      <c r="C257" s="103" t="s">
        <v>267</v>
      </c>
      <c r="D257" s="103" t="s">
        <v>142</v>
      </c>
      <c r="E257" s="103" t="s">
        <v>309</v>
      </c>
      <c r="F257" s="103" t="s">
        <v>140</v>
      </c>
      <c r="G257" s="103">
        <v>0</v>
      </c>
      <c r="H257" s="103">
        <v>1700</v>
      </c>
      <c r="I257" s="105">
        <f t="shared" si="3"/>
        <v>1700</v>
      </c>
    </row>
    <row r="258" spans="1:9">
      <c r="A258" s="103" t="s">
        <v>1061</v>
      </c>
      <c r="B258" s="103" t="s">
        <v>788</v>
      </c>
      <c r="C258" s="103" t="s">
        <v>267</v>
      </c>
      <c r="D258" s="103" t="s">
        <v>142</v>
      </c>
      <c r="E258" s="103" t="s">
        <v>310</v>
      </c>
      <c r="F258" s="103" t="s">
        <v>181</v>
      </c>
      <c r="G258" s="103">
        <v>10800</v>
      </c>
      <c r="H258" s="103">
        <v>0</v>
      </c>
      <c r="I258" s="105">
        <f t="shared" si="3"/>
        <v>10800</v>
      </c>
    </row>
    <row r="259" spans="1:9">
      <c r="A259" s="103"/>
      <c r="B259" s="317" t="s">
        <v>789</v>
      </c>
      <c r="C259" s="103"/>
      <c r="D259" s="103"/>
      <c r="E259" s="103"/>
      <c r="F259" s="103"/>
      <c r="G259" s="103"/>
      <c r="H259" s="103"/>
      <c r="I259" s="105">
        <f t="shared" ref="I259:I322" si="4">G259+H259</f>
        <v>0</v>
      </c>
    </row>
    <row r="260" spans="1:9">
      <c r="A260" s="103" t="s">
        <v>1061</v>
      </c>
      <c r="B260" s="318" t="s">
        <v>790</v>
      </c>
      <c r="C260" s="103" t="s">
        <v>267</v>
      </c>
      <c r="D260" s="103" t="s">
        <v>142</v>
      </c>
      <c r="E260" s="103" t="s">
        <v>791</v>
      </c>
      <c r="F260" s="103"/>
      <c r="G260" s="105"/>
      <c r="H260" s="103"/>
      <c r="I260" s="105">
        <f t="shared" si="4"/>
        <v>0</v>
      </c>
    </row>
    <row r="261" spans="1:9">
      <c r="A261" s="101" t="s">
        <v>1062</v>
      </c>
      <c r="B261" s="101" t="s">
        <v>582</v>
      </c>
      <c r="C261" s="101" t="s">
        <v>311</v>
      </c>
      <c r="D261" s="101" t="s">
        <v>133</v>
      </c>
      <c r="E261" s="101" t="s">
        <v>312</v>
      </c>
      <c r="F261" s="101" t="s">
        <v>273</v>
      </c>
      <c r="G261" s="102">
        <f>12*56409</f>
        <v>676908</v>
      </c>
      <c r="H261" s="321">
        <f>(3*56409)</f>
        <v>169227</v>
      </c>
      <c r="I261" s="102">
        <f t="shared" si="4"/>
        <v>846135</v>
      </c>
    </row>
    <row r="262" spans="1:9">
      <c r="A262" s="101" t="s">
        <v>1063</v>
      </c>
      <c r="B262" s="101" t="s">
        <v>582</v>
      </c>
      <c r="C262" s="101" t="s">
        <v>311</v>
      </c>
      <c r="D262" s="101" t="s">
        <v>133</v>
      </c>
      <c r="E262" s="101" t="s">
        <v>313</v>
      </c>
      <c r="F262" s="101" t="s">
        <v>263</v>
      </c>
      <c r="G262" s="102">
        <f>1260*278</f>
        <v>350280</v>
      </c>
      <c r="H262" s="321">
        <f>180*278*1</f>
        <v>50040</v>
      </c>
      <c r="I262" s="102">
        <f t="shared" si="4"/>
        <v>400320</v>
      </c>
    </row>
    <row r="263" spans="1:9">
      <c r="A263" s="140" t="s">
        <v>1064</v>
      </c>
      <c r="B263" s="101"/>
      <c r="C263" s="101" t="s">
        <v>314</v>
      </c>
      <c r="D263" s="101" t="s">
        <v>133</v>
      </c>
      <c r="E263" s="101" t="s">
        <v>315</v>
      </c>
      <c r="F263" s="101" t="s">
        <v>273</v>
      </c>
      <c r="G263" s="102">
        <f>1*47038</f>
        <v>47038</v>
      </c>
      <c r="H263" s="102">
        <f>1*47038</f>
        <v>47038</v>
      </c>
      <c r="I263" s="102">
        <f t="shared" si="4"/>
        <v>94076</v>
      </c>
    </row>
    <row r="264" spans="1:9">
      <c r="A264" s="140" t="s">
        <v>1065</v>
      </c>
      <c r="B264" s="101" t="s">
        <v>582</v>
      </c>
      <c r="C264" s="101" t="s">
        <v>311</v>
      </c>
      <c r="D264" s="101" t="s">
        <v>133</v>
      </c>
      <c r="E264" s="101" t="s">
        <v>508</v>
      </c>
      <c r="F264" s="101" t="s">
        <v>509</v>
      </c>
      <c r="G264" s="102">
        <v>0</v>
      </c>
      <c r="H264" s="102">
        <f>1*495</f>
        <v>495</v>
      </c>
      <c r="I264" s="102">
        <f t="shared" si="4"/>
        <v>495</v>
      </c>
    </row>
    <row r="265" spans="1:9">
      <c r="A265" s="140" t="s">
        <v>1066</v>
      </c>
      <c r="B265" s="101" t="s">
        <v>582</v>
      </c>
      <c r="C265" s="101" t="s">
        <v>311</v>
      </c>
      <c r="D265" s="101" t="s">
        <v>133</v>
      </c>
      <c r="E265" s="101" t="s">
        <v>792</v>
      </c>
      <c r="F265" s="101" t="s">
        <v>317</v>
      </c>
      <c r="G265" s="102">
        <v>0</v>
      </c>
      <c r="H265" s="102">
        <v>0</v>
      </c>
      <c r="I265" s="102">
        <f t="shared" si="4"/>
        <v>0</v>
      </c>
    </row>
    <row r="266" spans="1:9">
      <c r="A266" s="101" t="s">
        <v>1067</v>
      </c>
      <c r="B266" s="101" t="s">
        <v>582</v>
      </c>
      <c r="C266" s="101" t="s">
        <v>311</v>
      </c>
      <c r="D266" s="101" t="s">
        <v>133</v>
      </c>
      <c r="E266" s="101" t="s">
        <v>316</v>
      </c>
      <c r="F266" s="101" t="s">
        <v>317</v>
      </c>
      <c r="G266" s="102">
        <f>20*3528</f>
        <v>70560</v>
      </c>
      <c r="H266" s="102">
        <f>2*3528</f>
        <v>7056</v>
      </c>
      <c r="I266" s="102">
        <f t="shared" si="4"/>
        <v>77616</v>
      </c>
    </row>
    <row r="267" spans="1:9">
      <c r="A267" s="101" t="s">
        <v>1068</v>
      </c>
      <c r="B267" s="101" t="s">
        <v>582</v>
      </c>
      <c r="C267" s="101" t="s">
        <v>311</v>
      </c>
      <c r="D267" s="101" t="s">
        <v>133</v>
      </c>
      <c r="E267" s="101" t="s">
        <v>318</v>
      </c>
      <c r="F267" s="101" t="s">
        <v>317</v>
      </c>
      <c r="G267" s="102">
        <f>4*2630</f>
        <v>10520</v>
      </c>
      <c r="H267" s="102">
        <f>2*2630</f>
        <v>5260</v>
      </c>
      <c r="I267" s="102">
        <f t="shared" si="4"/>
        <v>15780</v>
      </c>
    </row>
    <row r="268" spans="1:9">
      <c r="A268" s="101" t="s">
        <v>1069</v>
      </c>
      <c r="B268" s="101" t="s">
        <v>582</v>
      </c>
      <c r="C268" s="101" t="s">
        <v>311</v>
      </c>
      <c r="D268" s="101" t="s">
        <v>133</v>
      </c>
      <c r="E268" s="101" t="s">
        <v>319</v>
      </c>
      <c r="F268" s="101" t="s">
        <v>317</v>
      </c>
      <c r="G268" s="102">
        <f>10*5344</f>
        <v>53440</v>
      </c>
      <c r="H268" s="321">
        <f>2*5344</f>
        <v>10688</v>
      </c>
      <c r="I268" s="102">
        <f t="shared" si="4"/>
        <v>64128</v>
      </c>
    </row>
    <row r="269" spans="1:9">
      <c r="A269" s="101" t="s">
        <v>1070</v>
      </c>
      <c r="B269" s="101" t="s">
        <v>582</v>
      </c>
      <c r="C269" s="101" t="s">
        <v>311</v>
      </c>
      <c r="D269" s="101" t="s">
        <v>133</v>
      </c>
      <c r="E269" s="101" t="s">
        <v>320</v>
      </c>
      <c r="F269" s="101" t="s">
        <v>317</v>
      </c>
      <c r="G269" s="102">
        <f>9*4105</f>
        <v>36945</v>
      </c>
      <c r="H269" s="102">
        <f>(2*4105)+16553</f>
        <v>24763</v>
      </c>
      <c r="I269" s="102">
        <f t="shared" si="4"/>
        <v>61708</v>
      </c>
    </row>
    <row r="270" spans="1:9">
      <c r="A270" s="140" t="s">
        <v>1071</v>
      </c>
      <c r="B270" s="101" t="s">
        <v>582</v>
      </c>
      <c r="C270" s="101" t="s">
        <v>311</v>
      </c>
      <c r="D270" s="101" t="s">
        <v>133</v>
      </c>
      <c r="E270" s="101" t="s">
        <v>510</v>
      </c>
      <c r="F270" s="101" t="s">
        <v>509</v>
      </c>
      <c r="G270" s="102"/>
      <c r="H270" s="102">
        <v>572</v>
      </c>
      <c r="I270" s="102">
        <f t="shared" si="4"/>
        <v>572</v>
      </c>
    </row>
    <row r="271" spans="1:9">
      <c r="A271" s="140" t="s">
        <v>1072</v>
      </c>
      <c r="B271" s="101" t="s">
        <v>582</v>
      </c>
      <c r="C271" s="101" t="s">
        <v>311</v>
      </c>
      <c r="D271" s="101" t="s">
        <v>133</v>
      </c>
      <c r="E271" s="101" t="s">
        <v>793</v>
      </c>
      <c r="F271" s="101" t="s">
        <v>327</v>
      </c>
      <c r="G271" s="102"/>
      <c r="H271" s="102">
        <v>0</v>
      </c>
      <c r="I271" s="102">
        <f t="shared" si="4"/>
        <v>0</v>
      </c>
    </row>
    <row r="272" spans="1:9">
      <c r="A272" s="101" t="s">
        <v>1073</v>
      </c>
      <c r="B272" s="101" t="s">
        <v>582</v>
      </c>
      <c r="C272" s="101" t="s">
        <v>311</v>
      </c>
      <c r="D272" s="101" t="s">
        <v>133</v>
      </c>
      <c r="E272" s="101" t="s">
        <v>321</v>
      </c>
      <c r="F272" s="101" t="s">
        <v>317</v>
      </c>
      <c r="G272" s="102">
        <f>20*3911</f>
        <v>78220</v>
      </c>
      <c r="H272" s="321">
        <f>2*3911</f>
        <v>7822</v>
      </c>
      <c r="I272" s="102">
        <f t="shared" si="4"/>
        <v>86042</v>
      </c>
    </row>
    <row r="273" spans="1:9">
      <c r="A273" s="101" t="s">
        <v>1074</v>
      </c>
      <c r="B273" s="101" t="s">
        <v>582</v>
      </c>
      <c r="C273" s="101" t="s">
        <v>311</v>
      </c>
      <c r="D273" s="101" t="s">
        <v>133</v>
      </c>
      <c r="E273" s="101" t="s">
        <v>322</v>
      </c>
      <c r="F273" s="101" t="s">
        <v>317</v>
      </c>
      <c r="G273" s="102">
        <v>0</v>
      </c>
      <c r="H273" s="102">
        <f>3*2971</f>
        <v>8913</v>
      </c>
      <c r="I273" s="102">
        <f t="shared" si="4"/>
        <v>8913</v>
      </c>
    </row>
    <row r="274" spans="1:9">
      <c r="A274" s="140" t="s">
        <v>1075</v>
      </c>
      <c r="B274" s="101" t="s">
        <v>582</v>
      </c>
      <c r="C274" s="101" t="s">
        <v>311</v>
      </c>
      <c r="D274" s="101" t="s">
        <v>133</v>
      </c>
      <c r="E274" s="101" t="s">
        <v>511</v>
      </c>
      <c r="F274" s="101" t="s">
        <v>509</v>
      </c>
      <c r="G274" s="102"/>
      <c r="H274" s="102">
        <v>562</v>
      </c>
      <c r="I274" s="102">
        <f t="shared" si="4"/>
        <v>562</v>
      </c>
    </row>
    <row r="275" spans="1:9">
      <c r="A275" s="140" t="s">
        <v>1076</v>
      </c>
      <c r="B275" s="101" t="s">
        <v>582</v>
      </c>
      <c r="C275" s="101" t="s">
        <v>311</v>
      </c>
      <c r="D275" s="101" t="s">
        <v>133</v>
      </c>
      <c r="E275" s="101" t="s">
        <v>794</v>
      </c>
      <c r="F275" s="101" t="s">
        <v>327</v>
      </c>
      <c r="G275" s="102"/>
      <c r="H275" s="102">
        <v>800</v>
      </c>
      <c r="I275" s="102">
        <f t="shared" si="4"/>
        <v>800</v>
      </c>
    </row>
    <row r="276" spans="1:9">
      <c r="A276" s="101" t="s">
        <v>1077</v>
      </c>
      <c r="B276" s="101" t="s">
        <v>582</v>
      </c>
      <c r="C276" s="101" t="s">
        <v>311</v>
      </c>
      <c r="D276" s="101" t="s">
        <v>133</v>
      </c>
      <c r="E276" s="101" t="s">
        <v>323</v>
      </c>
      <c r="F276" s="101" t="s">
        <v>317</v>
      </c>
      <c r="G276" s="102">
        <f>7*4252</f>
        <v>29764</v>
      </c>
      <c r="H276" s="102">
        <f>2*4252</f>
        <v>8504</v>
      </c>
      <c r="I276" s="102">
        <f t="shared" si="4"/>
        <v>38268</v>
      </c>
    </row>
    <row r="277" spans="1:9">
      <c r="A277" s="140" t="s">
        <v>1078</v>
      </c>
      <c r="B277" s="101" t="s">
        <v>582</v>
      </c>
      <c r="C277" s="101" t="s">
        <v>311</v>
      </c>
      <c r="D277" s="101" t="s">
        <v>133</v>
      </c>
      <c r="E277" s="101" t="s">
        <v>512</v>
      </c>
      <c r="F277" s="101" t="s">
        <v>317</v>
      </c>
      <c r="G277" s="102">
        <f>2*4252</f>
        <v>8504</v>
      </c>
      <c r="H277" s="102">
        <f>1*4252</f>
        <v>4252</v>
      </c>
      <c r="I277" s="102">
        <f t="shared" si="4"/>
        <v>12756</v>
      </c>
    </row>
    <row r="278" spans="1:9">
      <c r="A278" s="140" t="s">
        <v>1079</v>
      </c>
      <c r="B278" s="101" t="s">
        <v>582</v>
      </c>
      <c r="C278" s="101" t="s">
        <v>311</v>
      </c>
      <c r="D278" s="101" t="s">
        <v>133</v>
      </c>
      <c r="E278" s="101" t="s">
        <v>513</v>
      </c>
      <c r="F278" s="101" t="s">
        <v>317</v>
      </c>
      <c r="G278" s="102"/>
      <c r="H278" s="102"/>
      <c r="I278" s="102">
        <f t="shared" si="4"/>
        <v>0</v>
      </c>
    </row>
    <row r="279" spans="1:9">
      <c r="A279" s="140" t="s">
        <v>1080</v>
      </c>
      <c r="B279" s="101" t="s">
        <v>582</v>
      </c>
      <c r="C279" s="101" t="s">
        <v>311</v>
      </c>
      <c r="D279" s="101" t="s">
        <v>133</v>
      </c>
      <c r="E279" s="101" t="s">
        <v>514</v>
      </c>
      <c r="F279" s="101" t="s">
        <v>317</v>
      </c>
      <c r="G279" s="102"/>
      <c r="H279" s="102"/>
      <c r="I279" s="102">
        <f t="shared" si="4"/>
        <v>0</v>
      </c>
    </row>
    <row r="280" spans="1:9">
      <c r="A280" s="140" t="s">
        <v>1081</v>
      </c>
      <c r="B280" s="101" t="s">
        <v>582</v>
      </c>
      <c r="C280" s="101" t="s">
        <v>311</v>
      </c>
      <c r="D280" s="101" t="s">
        <v>133</v>
      </c>
      <c r="E280" s="101" t="s">
        <v>515</v>
      </c>
      <c r="F280" s="140" t="s">
        <v>516</v>
      </c>
      <c r="G280" s="102"/>
      <c r="H280" s="102"/>
      <c r="I280" s="102">
        <f t="shared" si="4"/>
        <v>0</v>
      </c>
    </row>
    <row r="281" spans="1:9">
      <c r="A281" s="101" t="s">
        <v>1082</v>
      </c>
      <c r="B281" s="101" t="s">
        <v>582</v>
      </c>
      <c r="C281" s="101" t="s">
        <v>311</v>
      </c>
      <c r="D281" s="101" t="s">
        <v>133</v>
      </c>
      <c r="E281" s="101" t="s">
        <v>324</v>
      </c>
      <c r="F281" s="101" t="s">
        <v>325</v>
      </c>
      <c r="G281" s="102">
        <f>8*9240</f>
        <v>73920</v>
      </c>
      <c r="H281" s="321">
        <f>2*9240</f>
        <v>18480</v>
      </c>
      <c r="I281" s="102">
        <f t="shared" si="4"/>
        <v>92400</v>
      </c>
    </row>
    <row r="282" spans="1:9">
      <c r="A282" s="140" t="s">
        <v>1083</v>
      </c>
      <c r="B282" s="101" t="s">
        <v>582</v>
      </c>
      <c r="C282" s="101" t="s">
        <v>311</v>
      </c>
      <c r="D282" s="101" t="s">
        <v>133</v>
      </c>
      <c r="E282" s="101" t="s">
        <v>326</v>
      </c>
      <c r="F282" s="101" t="s">
        <v>327</v>
      </c>
      <c r="G282" s="102"/>
      <c r="H282" s="102">
        <f>4500+4245</f>
        <v>8745</v>
      </c>
      <c r="I282" s="102">
        <f t="shared" si="4"/>
        <v>8745</v>
      </c>
    </row>
    <row r="283" spans="1:9">
      <c r="A283" s="101" t="s">
        <v>1084</v>
      </c>
      <c r="B283" s="101" t="s">
        <v>582</v>
      </c>
      <c r="C283" s="101" t="s">
        <v>311</v>
      </c>
      <c r="D283" s="101" t="s">
        <v>133</v>
      </c>
      <c r="E283" s="101" t="s">
        <v>328</v>
      </c>
      <c r="F283" s="101" t="s">
        <v>263</v>
      </c>
      <c r="G283" s="102">
        <f>30*1019</f>
        <v>30570</v>
      </c>
      <c r="H283" s="102">
        <v>0</v>
      </c>
      <c r="I283" s="102">
        <f t="shared" si="4"/>
        <v>30570</v>
      </c>
    </row>
    <row r="284" spans="1:9">
      <c r="A284" s="101" t="s">
        <v>1085</v>
      </c>
      <c r="B284" s="101" t="s">
        <v>582</v>
      </c>
      <c r="C284" s="101" t="s">
        <v>329</v>
      </c>
      <c r="D284" s="101" t="s">
        <v>133</v>
      </c>
      <c r="E284" s="101" t="s">
        <v>330</v>
      </c>
      <c r="F284" s="101" t="s">
        <v>331</v>
      </c>
      <c r="G284" s="102">
        <v>324270</v>
      </c>
      <c r="H284" s="102"/>
      <c r="I284" s="102">
        <f t="shared" si="4"/>
        <v>324270</v>
      </c>
    </row>
    <row r="285" spans="1:9">
      <c r="A285" s="140" t="s">
        <v>1086</v>
      </c>
      <c r="B285" s="101"/>
      <c r="C285" s="101" t="s">
        <v>329</v>
      </c>
      <c r="D285" s="101" t="s">
        <v>133</v>
      </c>
      <c r="E285" s="101" t="s">
        <v>412</v>
      </c>
      <c r="F285" s="101" t="s">
        <v>273</v>
      </c>
      <c r="G285" s="102">
        <v>16685</v>
      </c>
      <c r="H285" s="102">
        <v>0</v>
      </c>
      <c r="I285" s="102">
        <f t="shared" si="4"/>
        <v>16685</v>
      </c>
    </row>
    <row r="286" spans="1:9">
      <c r="A286" s="140" t="s">
        <v>1020</v>
      </c>
      <c r="B286" s="101"/>
      <c r="C286" s="101" t="s">
        <v>329</v>
      </c>
      <c r="D286" s="101" t="s">
        <v>133</v>
      </c>
      <c r="E286" s="101" t="s">
        <v>332</v>
      </c>
      <c r="F286" s="101" t="s">
        <v>273</v>
      </c>
      <c r="G286" s="102">
        <f>1*3780</f>
        <v>3780</v>
      </c>
      <c r="H286" s="102">
        <v>0</v>
      </c>
      <c r="I286" s="102">
        <f t="shared" si="4"/>
        <v>3780</v>
      </c>
    </row>
    <row r="287" spans="1:9">
      <c r="A287" s="140" t="s">
        <v>1087</v>
      </c>
      <c r="B287" s="101"/>
      <c r="C287" s="101" t="s">
        <v>329</v>
      </c>
      <c r="D287" s="101" t="s">
        <v>133</v>
      </c>
      <c r="E287" s="101" t="s">
        <v>517</v>
      </c>
      <c r="F287" s="101" t="s">
        <v>273</v>
      </c>
      <c r="G287" s="102">
        <v>0</v>
      </c>
      <c r="H287" s="102"/>
      <c r="I287" s="102">
        <f t="shared" si="4"/>
        <v>0</v>
      </c>
    </row>
    <row r="288" spans="1:9">
      <c r="A288" s="140" t="s">
        <v>1088</v>
      </c>
      <c r="B288" s="101"/>
      <c r="C288" s="101" t="s">
        <v>329</v>
      </c>
      <c r="D288" s="101" t="s">
        <v>133</v>
      </c>
      <c r="E288" s="101" t="s">
        <v>51</v>
      </c>
      <c r="F288" s="101" t="s">
        <v>273</v>
      </c>
      <c r="G288" s="102">
        <v>0</v>
      </c>
      <c r="H288" s="102">
        <v>0</v>
      </c>
      <c r="I288" s="102">
        <f t="shared" si="4"/>
        <v>0</v>
      </c>
    </row>
    <row r="289" spans="1:9">
      <c r="A289" s="140" t="s">
        <v>1089</v>
      </c>
      <c r="B289" s="101"/>
      <c r="C289" s="101" t="s">
        <v>333</v>
      </c>
      <c r="D289" s="101" t="s">
        <v>133</v>
      </c>
      <c r="E289" s="101" t="s">
        <v>47</v>
      </c>
      <c r="F289" s="101" t="s">
        <v>334</v>
      </c>
      <c r="G289" s="102">
        <v>896.44</v>
      </c>
      <c r="H289" s="102"/>
      <c r="I289" s="102">
        <f t="shared" si="4"/>
        <v>896.44</v>
      </c>
    </row>
    <row r="290" spans="1:9">
      <c r="A290" s="101" t="s">
        <v>1090</v>
      </c>
      <c r="B290" s="101" t="s">
        <v>582</v>
      </c>
      <c r="C290" s="101" t="s">
        <v>333</v>
      </c>
      <c r="D290" s="101" t="s">
        <v>133</v>
      </c>
      <c r="E290" s="101" t="s">
        <v>335</v>
      </c>
      <c r="F290" s="101" t="s">
        <v>334</v>
      </c>
      <c r="G290" s="102">
        <v>12057.15</v>
      </c>
      <c r="H290" s="102">
        <v>1200</v>
      </c>
      <c r="I290" s="102">
        <f t="shared" si="4"/>
        <v>13257.15</v>
      </c>
    </row>
    <row r="291" spans="1:9">
      <c r="A291" s="101" t="s">
        <v>1091</v>
      </c>
      <c r="B291" s="101" t="s">
        <v>582</v>
      </c>
      <c r="C291" s="101" t="s">
        <v>333</v>
      </c>
      <c r="D291" s="101" t="s">
        <v>133</v>
      </c>
      <c r="E291" s="101" t="s">
        <v>336</v>
      </c>
      <c r="F291" s="101" t="s">
        <v>134</v>
      </c>
      <c r="G291" s="102">
        <v>2054</v>
      </c>
      <c r="H291" s="102"/>
      <c r="I291" s="102">
        <f t="shared" si="4"/>
        <v>2054</v>
      </c>
    </row>
    <row r="292" spans="1:9">
      <c r="A292" s="140" t="s">
        <v>1092</v>
      </c>
      <c r="B292" s="101"/>
      <c r="C292" s="101" t="s">
        <v>337</v>
      </c>
      <c r="D292" s="101" t="s">
        <v>133</v>
      </c>
      <c r="E292" s="101" t="s">
        <v>338</v>
      </c>
      <c r="F292" s="101" t="s">
        <v>126</v>
      </c>
      <c r="G292" s="102"/>
      <c r="H292" s="102">
        <v>500</v>
      </c>
      <c r="I292" s="102">
        <f t="shared" si="4"/>
        <v>500</v>
      </c>
    </row>
    <row r="293" spans="1:9">
      <c r="A293" s="140" t="s">
        <v>1093</v>
      </c>
      <c r="B293" s="101"/>
      <c r="C293" s="101" t="s">
        <v>339</v>
      </c>
      <c r="D293" s="101" t="s">
        <v>133</v>
      </c>
      <c r="E293" s="101" t="s">
        <v>340</v>
      </c>
      <c r="F293" s="101" t="s">
        <v>327</v>
      </c>
      <c r="G293" s="102"/>
      <c r="H293" s="102">
        <v>1000</v>
      </c>
      <c r="I293" s="102">
        <f t="shared" si="4"/>
        <v>1000</v>
      </c>
    </row>
    <row r="294" spans="1:9">
      <c r="A294" s="101" t="s">
        <v>1094</v>
      </c>
      <c r="B294" s="101" t="s">
        <v>582</v>
      </c>
      <c r="C294" s="101" t="s">
        <v>333</v>
      </c>
      <c r="D294" s="101" t="s">
        <v>133</v>
      </c>
      <c r="E294" s="101" t="s">
        <v>52</v>
      </c>
      <c r="F294" s="101" t="s">
        <v>273</v>
      </c>
      <c r="G294" s="102">
        <v>21018</v>
      </c>
      <c r="H294" s="102">
        <f>20*30</f>
        <v>600</v>
      </c>
      <c r="I294" s="102">
        <f t="shared" si="4"/>
        <v>21618</v>
      </c>
    </row>
    <row r="295" spans="1:9">
      <c r="A295" s="101" t="s">
        <v>1095</v>
      </c>
      <c r="B295" s="101" t="s">
        <v>582</v>
      </c>
      <c r="C295" s="101" t="s">
        <v>333</v>
      </c>
      <c r="D295" s="101" t="s">
        <v>133</v>
      </c>
      <c r="E295" s="101" t="s">
        <v>341</v>
      </c>
      <c r="F295" s="101" t="s">
        <v>273</v>
      </c>
      <c r="G295" s="102">
        <v>5593.5</v>
      </c>
      <c r="H295" s="102"/>
      <c r="I295" s="102">
        <f t="shared" si="4"/>
        <v>5593.5</v>
      </c>
    </row>
    <row r="296" spans="1:9">
      <c r="A296" s="140" t="s">
        <v>1096</v>
      </c>
      <c r="B296" s="101" t="s">
        <v>582</v>
      </c>
      <c r="C296" s="101" t="s">
        <v>333</v>
      </c>
      <c r="D296" s="101" t="s">
        <v>133</v>
      </c>
      <c r="E296" s="101" t="s">
        <v>1097</v>
      </c>
      <c r="F296" s="101"/>
      <c r="G296" s="102">
        <v>0</v>
      </c>
      <c r="H296" s="102"/>
      <c r="I296" s="102">
        <f t="shared" si="4"/>
        <v>0</v>
      </c>
    </row>
    <row r="297" spans="1:9">
      <c r="A297" s="101" t="s">
        <v>1098</v>
      </c>
      <c r="B297" s="101" t="s">
        <v>582</v>
      </c>
      <c r="C297" s="101" t="s">
        <v>333</v>
      </c>
      <c r="D297" s="101" t="s">
        <v>133</v>
      </c>
      <c r="E297" s="101" t="s">
        <v>342</v>
      </c>
      <c r="F297" s="101" t="s">
        <v>134</v>
      </c>
      <c r="G297" s="102">
        <v>665</v>
      </c>
      <c r="H297" s="102"/>
      <c r="I297" s="102">
        <f t="shared" si="4"/>
        <v>665</v>
      </c>
    </row>
    <row r="298" spans="1:9">
      <c r="A298" s="140" t="s">
        <v>1099</v>
      </c>
      <c r="B298" s="101"/>
      <c r="C298" s="101" t="s">
        <v>337</v>
      </c>
      <c r="D298" s="101" t="s">
        <v>133</v>
      </c>
      <c r="E298" s="101" t="s">
        <v>343</v>
      </c>
      <c r="F298" s="101" t="s">
        <v>298</v>
      </c>
      <c r="G298" s="102"/>
      <c r="H298" s="102">
        <v>6000</v>
      </c>
      <c r="I298" s="102">
        <f t="shared" si="4"/>
        <v>6000</v>
      </c>
    </row>
    <row r="299" spans="1:9">
      <c r="A299" s="101" t="s">
        <v>1100</v>
      </c>
      <c r="B299" s="101" t="s">
        <v>582</v>
      </c>
      <c r="C299" s="101" t="s">
        <v>333</v>
      </c>
      <c r="D299" s="101" t="s">
        <v>133</v>
      </c>
      <c r="E299" s="101" t="s">
        <v>344</v>
      </c>
      <c r="F299" s="101" t="s">
        <v>257</v>
      </c>
      <c r="G299" s="102">
        <v>535</v>
      </c>
      <c r="H299" s="102"/>
      <c r="I299" s="102">
        <f t="shared" si="4"/>
        <v>535</v>
      </c>
    </row>
    <row r="300" spans="1:9">
      <c r="A300" s="386" t="s">
        <v>1101</v>
      </c>
      <c r="B300" s="110"/>
      <c r="C300" s="110" t="s">
        <v>267</v>
      </c>
      <c r="D300" s="110" t="s">
        <v>274</v>
      </c>
      <c r="E300" s="110" t="s">
        <v>795</v>
      </c>
      <c r="F300" s="110" t="s">
        <v>253</v>
      </c>
      <c r="G300" s="110"/>
      <c r="H300" s="110"/>
      <c r="I300" s="110">
        <f t="shared" si="4"/>
        <v>0</v>
      </c>
    </row>
    <row r="301" spans="1:9">
      <c r="A301" s="387" t="s">
        <v>1102</v>
      </c>
      <c r="B301" s="122"/>
      <c r="C301" s="122" t="s">
        <v>333</v>
      </c>
      <c r="D301" s="122" t="s">
        <v>410</v>
      </c>
      <c r="E301" s="122" t="s">
        <v>411</v>
      </c>
      <c r="F301" s="122" t="s">
        <v>140</v>
      </c>
      <c r="G301" s="123">
        <v>0</v>
      </c>
      <c r="H301" s="123">
        <v>200</v>
      </c>
      <c r="I301" s="123">
        <f t="shared" si="4"/>
        <v>200</v>
      </c>
    </row>
    <row r="302" spans="1:9">
      <c r="A302" s="317" t="s">
        <v>1103</v>
      </c>
      <c r="B302" s="103"/>
      <c r="C302" s="103"/>
      <c r="D302" s="103"/>
      <c r="E302" s="103"/>
      <c r="F302" s="103"/>
      <c r="G302" s="105"/>
      <c r="H302" s="105"/>
      <c r="I302" s="105">
        <f t="shared" si="4"/>
        <v>0</v>
      </c>
    </row>
    <row r="303" spans="1:9">
      <c r="A303" s="103" t="s">
        <v>1104</v>
      </c>
      <c r="B303" s="103" t="s">
        <v>796</v>
      </c>
      <c r="C303" s="103" t="s">
        <v>333</v>
      </c>
      <c r="D303" s="103" t="s">
        <v>142</v>
      </c>
      <c r="E303" s="103" t="s">
        <v>345</v>
      </c>
      <c r="F303" s="103" t="s">
        <v>346</v>
      </c>
      <c r="G303" s="105">
        <v>5836</v>
      </c>
      <c r="H303" s="105">
        <v>1000</v>
      </c>
      <c r="I303" s="105">
        <f t="shared" si="4"/>
        <v>6836</v>
      </c>
    </row>
    <row r="304" spans="1:9">
      <c r="A304" s="103" t="s">
        <v>1104</v>
      </c>
      <c r="B304" s="103" t="s">
        <v>797</v>
      </c>
      <c r="C304" s="103" t="s">
        <v>333</v>
      </c>
      <c r="D304" s="103" t="s">
        <v>142</v>
      </c>
      <c r="E304" s="103" t="s">
        <v>347</v>
      </c>
      <c r="F304" s="103" t="s">
        <v>346</v>
      </c>
      <c r="G304" s="105">
        <v>2672</v>
      </c>
      <c r="H304" s="105"/>
      <c r="I304" s="105">
        <f t="shared" si="4"/>
        <v>2672</v>
      </c>
    </row>
    <row r="305" spans="1:9">
      <c r="A305" s="103" t="s">
        <v>1104</v>
      </c>
      <c r="B305" s="103" t="s">
        <v>798</v>
      </c>
      <c r="C305" s="103" t="s">
        <v>333</v>
      </c>
      <c r="D305" s="103" t="s">
        <v>142</v>
      </c>
      <c r="E305" s="103" t="s">
        <v>348</v>
      </c>
      <c r="F305" s="103" t="s">
        <v>140</v>
      </c>
      <c r="G305" s="105">
        <v>1850</v>
      </c>
      <c r="H305" s="105"/>
      <c r="I305" s="105">
        <f t="shared" si="4"/>
        <v>1850</v>
      </c>
    </row>
    <row r="306" spans="1:9">
      <c r="A306" s="103" t="s">
        <v>1104</v>
      </c>
      <c r="B306" s="103" t="s">
        <v>799</v>
      </c>
      <c r="C306" s="103" t="s">
        <v>333</v>
      </c>
      <c r="D306" s="103" t="s">
        <v>142</v>
      </c>
      <c r="E306" s="103" t="s">
        <v>349</v>
      </c>
      <c r="F306" s="103" t="s">
        <v>346</v>
      </c>
      <c r="G306" s="105">
        <v>920</v>
      </c>
      <c r="H306" s="105"/>
      <c r="I306" s="105">
        <f t="shared" si="4"/>
        <v>920</v>
      </c>
    </row>
    <row r="307" spans="1:9">
      <c r="A307" s="103" t="s">
        <v>1104</v>
      </c>
      <c r="B307" s="318" t="s">
        <v>1105</v>
      </c>
      <c r="C307" s="103" t="s">
        <v>333</v>
      </c>
      <c r="D307" s="103" t="s">
        <v>142</v>
      </c>
      <c r="E307" s="103" t="s">
        <v>1106</v>
      </c>
      <c r="F307" s="103" t="s">
        <v>144</v>
      </c>
      <c r="G307" s="105">
        <v>300</v>
      </c>
      <c r="H307" s="105"/>
      <c r="I307" s="105">
        <f t="shared" si="4"/>
        <v>300</v>
      </c>
    </row>
    <row r="308" spans="1:9">
      <c r="A308" s="317" t="s">
        <v>1107</v>
      </c>
      <c r="B308" s="103"/>
      <c r="C308" s="103"/>
      <c r="D308" s="103"/>
      <c r="E308" s="103"/>
      <c r="F308" s="103"/>
      <c r="G308" s="105"/>
      <c r="H308" s="105"/>
      <c r="I308" s="105"/>
    </row>
    <row r="309" spans="1:9">
      <c r="A309" s="103" t="s">
        <v>1108</v>
      </c>
      <c r="B309" s="103" t="s">
        <v>800</v>
      </c>
      <c r="C309" s="103" t="s">
        <v>350</v>
      </c>
      <c r="D309" s="103" t="s">
        <v>142</v>
      </c>
      <c r="E309" s="103" t="s">
        <v>351</v>
      </c>
      <c r="F309" s="103"/>
      <c r="G309" s="103">
        <v>1592</v>
      </c>
      <c r="H309" s="103"/>
      <c r="I309" s="105">
        <f t="shared" si="4"/>
        <v>1592</v>
      </c>
    </row>
    <row r="310" spans="1:9">
      <c r="A310" s="103" t="s">
        <v>1108</v>
      </c>
      <c r="B310" s="103" t="s">
        <v>801</v>
      </c>
      <c r="C310" s="103" t="s">
        <v>350</v>
      </c>
      <c r="D310" s="103" t="s">
        <v>142</v>
      </c>
      <c r="E310" s="103" t="s">
        <v>352</v>
      </c>
      <c r="F310" s="103" t="s">
        <v>234</v>
      </c>
      <c r="G310" s="103">
        <v>813.16</v>
      </c>
      <c r="H310" s="103"/>
      <c r="I310" s="105">
        <f t="shared" si="4"/>
        <v>813.16</v>
      </c>
    </row>
    <row r="311" spans="1:9">
      <c r="A311" s="317" t="s">
        <v>1109</v>
      </c>
      <c r="B311" s="317"/>
      <c r="C311" s="317"/>
      <c r="D311" s="317"/>
      <c r="E311" s="317"/>
      <c r="F311" s="317"/>
      <c r="G311" s="317"/>
      <c r="H311" s="317"/>
      <c r="I311" s="388">
        <f t="shared" si="4"/>
        <v>0</v>
      </c>
    </row>
    <row r="312" spans="1:9">
      <c r="A312" s="103" t="s">
        <v>1108</v>
      </c>
      <c r="B312" s="103" t="s">
        <v>802</v>
      </c>
      <c r="C312" s="103" t="s">
        <v>350</v>
      </c>
      <c r="D312" s="103" t="s">
        <v>142</v>
      </c>
      <c r="E312" s="103" t="s">
        <v>353</v>
      </c>
      <c r="F312" s="112">
        <v>0.08</v>
      </c>
      <c r="G312" s="105">
        <v>2758.73</v>
      </c>
      <c r="H312" s="105">
        <v>500</v>
      </c>
      <c r="I312" s="105">
        <f t="shared" si="4"/>
        <v>3258.73</v>
      </c>
    </row>
    <row r="313" spans="1:9">
      <c r="A313" s="103" t="s">
        <v>1108</v>
      </c>
      <c r="B313" s="103" t="s">
        <v>803</v>
      </c>
      <c r="C313" s="103" t="s">
        <v>350</v>
      </c>
      <c r="D313" s="103" t="s">
        <v>142</v>
      </c>
      <c r="E313" s="103" t="s">
        <v>354</v>
      </c>
      <c r="F313" s="103" t="s">
        <v>140</v>
      </c>
      <c r="G313" s="105">
        <v>3004.58</v>
      </c>
      <c r="H313" s="105"/>
      <c r="I313" s="105">
        <f t="shared" si="4"/>
        <v>3004.58</v>
      </c>
    </row>
    <row r="314" spans="1:9">
      <c r="A314" s="103" t="s">
        <v>1108</v>
      </c>
      <c r="B314" s="103" t="s">
        <v>804</v>
      </c>
      <c r="C314" s="103" t="s">
        <v>350</v>
      </c>
      <c r="D314" s="103" t="s">
        <v>142</v>
      </c>
      <c r="E314" s="103" t="s">
        <v>355</v>
      </c>
      <c r="F314" s="103" t="s">
        <v>140</v>
      </c>
      <c r="G314" s="105">
        <v>1432.86</v>
      </c>
      <c r="H314" s="105"/>
      <c r="I314" s="105">
        <f t="shared" si="4"/>
        <v>1432.86</v>
      </c>
    </row>
    <row r="315" spans="1:9">
      <c r="A315" s="103" t="s">
        <v>1108</v>
      </c>
      <c r="B315" s="318" t="s">
        <v>1110</v>
      </c>
      <c r="C315" s="103" t="s">
        <v>350</v>
      </c>
      <c r="D315" s="103" t="s">
        <v>142</v>
      </c>
      <c r="E315" s="103" t="s">
        <v>1111</v>
      </c>
      <c r="F315" s="103" t="s">
        <v>140</v>
      </c>
      <c r="G315" s="105">
        <v>1320</v>
      </c>
      <c r="H315" s="105">
        <v>1320</v>
      </c>
      <c r="I315" s="105">
        <f t="shared" si="4"/>
        <v>2640</v>
      </c>
    </row>
    <row r="316" spans="1:9">
      <c r="A316" s="103" t="s">
        <v>1108</v>
      </c>
      <c r="B316" s="318" t="s">
        <v>805</v>
      </c>
      <c r="C316" s="103" t="s">
        <v>350</v>
      </c>
      <c r="D316" s="103" t="s">
        <v>142</v>
      </c>
      <c r="E316" s="103" t="s">
        <v>806</v>
      </c>
      <c r="F316" s="103" t="s">
        <v>140</v>
      </c>
      <c r="G316" s="105">
        <v>4497</v>
      </c>
      <c r="H316" s="105"/>
      <c r="I316" s="105">
        <f t="shared" si="4"/>
        <v>4497</v>
      </c>
    </row>
    <row r="317" spans="1:9">
      <c r="A317" s="103" t="s">
        <v>1108</v>
      </c>
      <c r="B317" s="103" t="s">
        <v>807</v>
      </c>
      <c r="C317" s="103" t="s">
        <v>350</v>
      </c>
      <c r="D317" s="103" t="s">
        <v>142</v>
      </c>
      <c r="E317" s="103" t="s">
        <v>356</v>
      </c>
      <c r="F317" s="103" t="s">
        <v>140</v>
      </c>
      <c r="G317" s="105">
        <v>575</v>
      </c>
      <c r="H317" s="105"/>
      <c r="I317" s="105">
        <f t="shared" si="4"/>
        <v>575</v>
      </c>
    </row>
    <row r="318" spans="1:9">
      <c r="A318" s="103" t="s">
        <v>1108</v>
      </c>
      <c r="B318" s="318" t="s">
        <v>808</v>
      </c>
      <c r="C318" s="103" t="s">
        <v>350</v>
      </c>
      <c r="D318" s="103" t="s">
        <v>142</v>
      </c>
      <c r="E318" s="103" t="s">
        <v>809</v>
      </c>
      <c r="F318" s="103" t="s">
        <v>140</v>
      </c>
      <c r="G318" s="105">
        <v>0</v>
      </c>
      <c r="H318" s="105">
        <v>550</v>
      </c>
      <c r="I318" s="105">
        <f t="shared" si="4"/>
        <v>550</v>
      </c>
    </row>
    <row r="319" spans="1:9">
      <c r="A319" s="103" t="s">
        <v>1108</v>
      </c>
      <c r="B319" s="103" t="s">
        <v>810</v>
      </c>
      <c r="C319" s="103" t="s">
        <v>350</v>
      </c>
      <c r="D319" s="103" t="s">
        <v>142</v>
      </c>
      <c r="E319" s="103" t="s">
        <v>357</v>
      </c>
      <c r="F319" s="103" t="s">
        <v>140</v>
      </c>
      <c r="G319" s="105">
        <v>6000.5</v>
      </c>
      <c r="H319" s="105"/>
      <c r="I319" s="105">
        <f t="shared" si="4"/>
        <v>6000.5</v>
      </c>
    </row>
    <row r="320" spans="1:9">
      <c r="A320" s="103" t="s">
        <v>1108</v>
      </c>
      <c r="B320" s="103" t="s">
        <v>811</v>
      </c>
      <c r="C320" s="103" t="s">
        <v>350</v>
      </c>
      <c r="D320" s="103" t="s">
        <v>142</v>
      </c>
      <c r="E320" s="103" t="s">
        <v>358</v>
      </c>
      <c r="F320" s="103" t="s">
        <v>140</v>
      </c>
      <c r="G320" s="105">
        <v>4380.8999999999996</v>
      </c>
      <c r="H320" s="105"/>
      <c r="I320" s="105">
        <f t="shared" si="4"/>
        <v>4380.8999999999996</v>
      </c>
    </row>
    <row r="321" spans="1:9">
      <c r="A321" s="318" t="s">
        <v>1112</v>
      </c>
      <c r="B321" s="318" t="s">
        <v>812</v>
      </c>
      <c r="C321" s="103" t="s">
        <v>350</v>
      </c>
      <c r="D321" s="103" t="s">
        <v>142</v>
      </c>
      <c r="E321" s="103" t="s">
        <v>359</v>
      </c>
      <c r="F321" s="103" t="s">
        <v>140</v>
      </c>
      <c r="G321" s="105">
        <v>2381</v>
      </c>
      <c r="H321" s="105">
        <f>2335-1222.35</f>
        <v>1112.6500000000001</v>
      </c>
      <c r="I321" s="105">
        <f t="shared" si="4"/>
        <v>3493.65</v>
      </c>
    </row>
    <row r="322" spans="1:9">
      <c r="A322" s="318" t="s">
        <v>1112</v>
      </c>
      <c r="B322" s="103" t="s">
        <v>813</v>
      </c>
      <c r="C322" s="103" t="s">
        <v>350</v>
      </c>
      <c r="D322" s="103" t="s">
        <v>142</v>
      </c>
      <c r="E322" s="103" t="s">
        <v>360</v>
      </c>
      <c r="F322" s="103" t="s">
        <v>140</v>
      </c>
      <c r="G322" s="105">
        <v>3032.4</v>
      </c>
      <c r="H322" s="105"/>
      <c r="I322" s="105">
        <f t="shared" si="4"/>
        <v>3032.4</v>
      </c>
    </row>
    <row r="323" spans="1:9">
      <c r="A323" s="103" t="s">
        <v>1108</v>
      </c>
      <c r="B323" s="103" t="s">
        <v>814</v>
      </c>
      <c r="C323" s="103" t="s">
        <v>350</v>
      </c>
      <c r="D323" s="103" t="s">
        <v>142</v>
      </c>
      <c r="E323" s="103" t="s">
        <v>361</v>
      </c>
      <c r="F323" s="103" t="s">
        <v>140</v>
      </c>
      <c r="G323" s="105">
        <v>1647.2</v>
      </c>
      <c r="H323" s="105"/>
      <c r="I323" s="105">
        <f t="shared" ref="I323:I378" si="5">G323+H323</f>
        <v>1647.2</v>
      </c>
    </row>
    <row r="324" spans="1:9">
      <c r="A324" s="318" t="s">
        <v>1112</v>
      </c>
      <c r="B324" s="318" t="s">
        <v>815</v>
      </c>
      <c r="C324" s="103" t="s">
        <v>350</v>
      </c>
      <c r="D324" s="103" t="s">
        <v>142</v>
      </c>
      <c r="E324" s="103" t="s">
        <v>362</v>
      </c>
      <c r="F324" s="103" t="s">
        <v>140</v>
      </c>
      <c r="G324" s="105">
        <v>4392.6400000000003</v>
      </c>
      <c r="H324" s="105"/>
      <c r="I324" s="105">
        <f t="shared" si="5"/>
        <v>4392.6400000000003</v>
      </c>
    </row>
    <row r="325" spans="1:9">
      <c r="A325" s="318" t="s">
        <v>1112</v>
      </c>
      <c r="B325" s="318" t="s">
        <v>1113</v>
      </c>
      <c r="C325" s="103" t="s">
        <v>350</v>
      </c>
      <c r="D325" s="103" t="s">
        <v>142</v>
      </c>
      <c r="E325" s="103" t="s">
        <v>1114</v>
      </c>
      <c r="F325" s="103" t="s">
        <v>140</v>
      </c>
      <c r="G325" s="105">
        <v>910</v>
      </c>
      <c r="H325" s="105"/>
      <c r="I325" s="105">
        <f t="shared" si="5"/>
        <v>910</v>
      </c>
    </row>
    <row r="326" spans="1:9">
      <c r="A326" s="318" t="s">
        <v>1112</v>
      </c>
      <c r="B326" s="318" t="s">
        <v>816</v>
      </c>
      <c r="C326" s="103" t="s">
        <v>350</v>
      </c>
      <c r="D326" s="103" t="s">
        <v>142</v>
      </c>
      <c r="E326" s="103" t="s">
        <v>1115</v>
      </c>
      <c r="F326" s="103" t="s">
        <v>140</v>
      </c>
      <c r="G326" s="105">
        <v>910</v>
      </c>
      <c r="H326" s="105"/>
      <c r="I326" s="105">
        <f t="shared" si="5"/>
        <v>910</v>
      </c>
    </row>
    <row r="327" spans="1:9">
      <c r="A327" s="318" t="s">
        <v>1112</v>
      </c>
      <c r="B327" s="318" t="s">
        <v>817</v>
      </c>
      <c r="C327" s="103" t="s">
        <v>350</v>
      </c>
      <c r="D327" s="103" t="s">
        <v>142</v>
      </c>
      <c r="E327" s="103" t="s">
        <v>363</v>
      </c>
      <c r="F327" s="103" t="s">
        <v>140</v>
      </c>
      <c r="G327" s="105">
        <v>0</v>
      </c>
      <c r="H327" s="105">
        <v>0</v>
      </c>
      <c r="I327" s="105">
        <f t="shared" si="5"/>
        <v>0</v>
      </c>
    </row>
    <row r="328" spans="1:9">
      <c r="A328" s="319" t="s">
        <v>1116</v>
      </c>
      <c r="B328" s="318"/>
      <c r="C328" s="103"/>
      <c r="D328" s="103"/>
      <c r="E328" s="103"/>
      <c r="F328" s="103"/>
      <c r="G328" s="105"/>
      <c r="H328" s="105"/>
      <c r="I328" s="105">
        <f t="shared" si="5"/>
        <v>0</v>
      </c>
    </row>
    <row r="329" spans="1:9">
      <c r="A329" s="318" t="s">
        <v>1112</v>
      </c>
      <c r="B329" s="318" t="s">
        <v>818</v>
      </c>
      <c r="C329" s="103" t="s">
        <v>350</v>
      </c>
      <c r="D329" s="103" t="s">
        <v>142</v>
      </c>
      <c r="E329" s="103" t="s">
        <v>125</v>
      </c>
      <c r="F329" s="103" t="s">
        <v>140</v>
      </c>
      <c r="G329" s="105">
        <v>221.84</v>
      </c>
      <c r="H329" s="105"/>
      <c r="I329" s="105">
        <f t="shared" si="5"/>
        <v>221.84</v>
      </c>
    </row>
    <row r="330" spans="1:9">
      <c r="A330" s="318" t="s">
        <v>1112</v>
      </c>
      <c r="B330" s="318" t="s">
        <v>1117</v>
      </c>
      <c r="C330" s="103" t="s">
        <v>350</v>
      </c>
      <c r="D330" s="103" t="s">
        <v>142</v>
      </c>
      <c r="E330" s="103" t="s">
        <v>364</v>
      </c>
      <c r="F330" s="103" t="s">
        <v>140</v>
      </c>
      <c r="G330" s="105">
        <v>2773</v>
      </c>
      <c r="H330" s="105"/>
      <c r="I330" s="105">
        <f t="shared" si="5"/>
        <v>2773</v>
      </c>
    </row>
    <row r="331" spans="1:9">
      <c r="A331" s="319" t="s">
        <v>1118</v>
      </c>
      <c r="B331" s="318"/>
      <c r="C331" s="103"/>
      <c r="D331" s="103"/>
      <c r="E331" s="103"/>
      <c r="F331" s="103"/>
      <c r="G331" s="105"/>
      <c r="H331" s="105"/>
      <c r="I331" s="105">
        <f t="shared" si="5"/>
        <v>0</v>
      </c>
    </row>
    <row r="332" spans="1:9">
      <c r="A332" s="103" t="s">
        <v>1108</v>
      </c>
      <c r="B332" s="103" t="s">
        <v>819</v>
      </c>
      <c r="C332" s="103" t="s">
        <v>350</v>
      </c>
      <c r="D332" s="103" t="s">
        <v>142</v>
      </c>
      <c r="E332" s="103" t="s">
        <v>365</v>
      </c>
      <c r="F332" s="103" t="s">
        <v>366</v>
      </c>
      <c r="G332" s="105">
        <v>1350</v>
      </c>
      <c r="H332" s="105"/>
      <c r="I332" s="105">
        <f t="shared" si="5"/>
        <v>1350</v>
      </c>
    </row>
    <row r="333" spans="1:9">
      <c r="A333" s="103" t="s">
        <v>1108</v>
      </c>
      <c r="B333" s="103" t="s">
        <v>820</v>
      </c>
      <c r="C333" s="103" t="s">
        <v>350</v>
      </c>
      <c r="D333" s="103" t="s">
        <v>142</v>
      </c>
      <c r="E333" s="103" t="s">
        <v>367</v>
      </c>
      <c r="F333" s="103" t="s">
        <v>140</v>
      </c>
      <c r="G333" s="105">
        <v>7512.05</v>
      </c>
      <c r="H333" s="105"/>
      <c r="I333" s="105">
        <f t="shared" si="5"/>
        <v>7512.05</v>
      </c>
    </row>
    <row r="334" spans="1:9">
      <c r="A334" s="317" t="s">
        <v>1119</v>
      </c>
      <c r="B334" s="103"/>
      <c r="C334" s="103"/>
      <c r="D334" s="103"/>
      <c r="E334" s="103"/>
      <c r="F334" s="103"/>
      <c r="G334" s="105"/>
      <c r="H334" s="105"/>
      <c r="I334" s="105">
        <f t="shared" si="5"/>
        <v>0</v>
      </c>
    </row>
    <row r="335" spans="1:9">
      <c r="A335" s="103" t="s">
        <v>1108</v>
      </c>
      <c r="B335" s="103" t="s">
        <v>821</v>
      </c>
      <c r="C335" s="103" t="s">
        <v>350</v>
      </c>
      <c r="D335" s="103" t="s">
        <v>142</v>
      </c>
      <c r="E335" s="103" t="s">
        <v>368</v>
      </c>
      <c r="F335" s="103" t="s">
        <v>147</v>
      </c>
      <c r="G335" s="105">
        <v>1542.2</v>
      </c>
      <c r="H335" s="105"/>
      <c r="I335" s="105">
        <f t="shared" si="5"/>
        <v>1542.2</v>
      </c>
    </row>
    <row r="336" spans="1:9">
      <c r="A336" s="317" t="s">
        <v>1120</v>
      </c>
      <c r="B336" s="103"/>
      <c r="C336" s="103"/>
      <c r="D336" s="103"/>
      <c r="E336" s="103"/>
      <c r="F336" s="103"/>
      <c r="G336" s="105"/>
      <c r="H336" s="105"/>
      <c r="I336" s="105">
        <f t="shared" si="5"/>
        <v>0</v>
      </c>
    </row>
    <row r="337" spans="1:9">
      <c r="A337" s="318" t="s">
        <v>1112</v>
      </c>
      <c r="B337" s="318" t="s">
        <v>1121</v>
      </c>
      <c r="C337" s="103" t="s">
        <v>350</v>
      </c>
      <c r="D337" s="103" t="s">
        <v>142</v>
      </c>
      <c r="E337" s="103" t="s">
        <v>125</v>
      </c>
      <c r="F337" s="103" t="s">
        <v>140</v>
      </c>
      <c r="G337" s="105">
        <v>1036.98</v>
      </c>
      <c r="H337" s="105"/>
      <c r="I337" s="105">
        <f t="shared" si="5"/>
        <v>1036.98</v>
      </c>
    </row>
    <row r="338" spans="1:9">
      <c r="A338" s="318" t="s">
        <v>1112</v>
      </c>
      <c r="B338" s="318" t="s">
        <v>1122</v>
      </c>
      <c r="C338" s="103" t="s">
        <v>350</v>
      </c>
      <c r="D338" s="103" t="s">
        <v>142</v>
      </c>
      <c r="E338" s="103" t="s">
        <v>1123</v>
      </c>
      <c r="F338" s="103" t="s">
        <v>140</v>
      </c>
      <c r="G338" s="105">
        <v>12962.24</v>
      </c>
      <c r="H338" s="105"/>
      <c r="I338" s="105">
        <f t="shared" si="5"/>
        <v>12962.24</v>
      </c>
    </row>
    <row r="339" spans="1:9">
      <c r="A339" s="317" t="s">
        <v>1124</v>
      </c>
      <c r="B339" s="318"/>
      <c r="C339" s="103"/>
      <c r="D339" s="103"/>
      <c r="E339" s="103"/>
      <c r="F339" s="103"/>
      <c r="G339" s="105"/>
      <c r="H339" s="105"/>
      <c r="I339" s="105">
        <f t="shared" si="5"/>
        <v>0</v>
      </c>
    </row>
    <row r="340" spans="1:9">
      <c r="A340" s="318" t="s">
        <v>1112</v>
      </c>
      <c r="B340" s="318" t="s">
        <v>1125</v>
      </c>
      <c r="C340" s="103" t="s">
        <v>350</v>
      </c>
      <c r="D340" s="103" t="s">
        <v>142</v>
      </c>
      <c r="E340" s="103" t="s">
        <v>125</v>
      </c>
      <c r="F340" s="103" t="s">
        <v>140</v>
      </c>
      <c r="G340" s="105">
        <v>420.29</v>
      </c>
      <c r="H340" s="105"/>
      <c r="I340" s="105">
        <f t="shared" si="5"/>
        <v>420.29</v>
      </c>
    </row>
    <row r="341" spans="1:9">
      <c r="A341" s="318" t="s">
        <v>1112</v>
      </c>
      <c r="B341" s="318" t="s">
        <v>1126</v>
      </c>
      <c r="C341" s="103" t="s">
        <v>350</v>
      </c>
      <c r="D341" s="103" t="s">
        <v>142</v>
      </c>
      <c r="E341" s="103" t="s">
        <v>1127</v>
      </c>
      <c r="F341" s="103" t="s">
        <v>140</v>
      </c>
      <c r="G341" s="105">
        <v>5253.6</v>
      </c>
      <c r="H341" s="105"/>
      <c r="I341" s="105">
        <f t="shared" si="5"/>
        <v>5253.6</v>
      </c>
    </row>
    <row r="342" spans="1:9">
      <c r="A342" s="317" t="s">
        <v>1128</v>
      </c>
      <c r="B342" s="103"/>
      <c r="C342" s="103"/>
      <c r="D342" s="103"/>
      <c r="E342" s="103"/>
      <c r="F342" s="103"/>
      <c r="G342" s="105"/>
      <c r="H342" s="105"/>
      <c r="I342" s="105">
        <f t="shared" si="5"/>
        <v>0</v>
      </c>
    </row>
    <row r="343" spans="1:9">
      <c r="A343" s="103" t="s">
        <v>1108</v>
      </c>
      <c r="B343" s="103" t="s">
        <v>822</v>
      </c>
      <c r="C343" s="103" t="s">
        <v>350</v>
      </c>
      <c r="D343" s="103" t="s">
        <v>142</v>
      </c>
      <c r="E343" s="103" t="s">
        <v>125</v>
      </c>
      <c r="F343" s="103" t="s">
        <v>369</v>
      </c>
      <c r="G343" s="105">
        <v>1220.56</v>
      </c>
      <c r="H343" s="105">
        <v>500</v>
      </c>
      <c r="I343" s="105">
        <f t="shared" si="5"/>
        <v>1720.56</v>
      </c>
    </row>
    <row r="344" spans="1:9">
      <c r="A344" s="103" t="s">
        <v>1129</v>
      </c>
      <c r="B344" s="318" t="s">
        <v>823</v>
      </c>
      <c r="C344" s="103" t="s">
        <v>350</v>
      </c>
      <c r="D344" s="103" t="s">
        <v>142</v>
      </c>
      <c r="E344" s="103" t="s">
        <v>370</v>
      </c>
      <c r="F344" s="103" t="s">
        <v>140</v>
      </c>
      <c r="G344" s="105">
        <v>5525</v>
      </c>
      <c r="H344" s="105"/>
      <c r="I344" s="105">
        <f t="shared" si="5"/>
        <v>5525</v>
      </c>
    </row>
    <row r="345" spans="1:9">
      <c r="A345" s="103" t="s">
        <v>1129</v>
      </c>
      <c r="B345" s="103" t="s">
        <v>824</v>
      </c>
      <c r="C345" s="103" t="s">
        <v>350</v>
      </c>
      <c r="D345" s="103" t="s">
        <v>142</v>
      </c>
      <c r="E345" s="103" t="s">
        <v>371</v>
      </c>
      <c r="F345" s="103" t="s">
        <v>140</v>
      </c>
      <c r="G345" s="105">
        <v>880.4</v>
      </c>
      <c r="H345" s="105"/>
      <c r="I345" s="105">
        <f t="shared" si="5"/>
        <v>880.4</v>
      </c>
    </row>
    <row r="346" spans="1:9">
      <c r="A346" s="103" t="s">
        <v>1108</v>
      </c>
      <c r="B346" s="318" t="s">
        <v>1130</v>
      </c>
      <c r="C346" s="103" t="s">
        <v>350</v>
      </c>
      <c r="D346" s="103" t="s">
        <v>142</v>
      </c>
      <c r="E346" s="103" t="s">
        <v>1131</v>
      </c>
      <c r="F346" s="103" t="s">
        <v>140</v>
      </c>
      <c r="G346" s="105">
        <v>506.85</v>
      </c>
      <c r="H346" s="105"/>
      <c r="I346" s="105">
        <f t="shared" si="5"/>
        <v>506.85</v>
      </c>
    </row>
    <row r="347" spans="1:9">
      <c r="A347" s="103" t="s">
        <v>1108</v>
      </c>
      <c r="B347" s="103" t="s">
        <v>825</v>
      </c>
      <c r="C347" s="103" t="s">
        <v>350</v>
      </c>
      <c r="D347" s="103" t="s">
        <v>142</v>
      </c>
      <c r="E347" s="103" t="s">
        <v>1132</v>
      </c>
      <c r="F347" s="103" t="s">
        <v>140</v>
      </c>
      <c r="G347" s="105">
        <v>900</v>
      </c>
      <c r="H347" s="105"/>
      <c r="I347" s="105">
        <f t="shared" si="5"/>
        <v>900</v>
      </c>
    </row>
    <row r="348" spans="1:9">
      <c r="A348" s="103" t="s">
        <v>1108</v>
      </c>
      <c r="B348" s="318" t="s">
        <v>826</v>
      </c>
      <c r="C348" s="103" t="s">
        <v>350</v>
      </c>
      <c r="D348" s="103" t="s">
        <v>142</v>
      </c>
      <c r="E348" s="103" t="s">
        <v>372</v>
      </c>
      <c r="F348" s="103" t="s">
        <v>140</v>
      </c>
      <c r="G348" s="105">
        <f>1038.4+421.85</f>
        <v>1460.25</v>
      </c>
      <c r="H348" s="105"/>
      <c r="I348" s="105">
        <f t="shared" si="5"/>
        <v>1460.25</v>
      </c>
    </row>
    <row r="349" spans="1:9">
      <c r="A349" s="103" t="s">
        <v>1108</v>
      </c>
      <c r="B349" s="318" t="s">
        <v>827</v>
      </c>
      <c r="C349" s="103" t="s">
        <v>350</v>
      </c>
      <c r="D349" s="103" t="s">
        <v>142</v>
      </c>
      <c r="E349" s="103" t="s">
        <v>828</v>
      </c>
      <c r="F349" s="103" t="s">
        <v>140</v>
      </c>
      <c r="G349" s="105">
        <v>3110.04</v>
      </c>
      <c r="H349" s="105"/>
      <c r="I349" s="105">
        <f t="shared" si="5"/>
        <v>3110.04</v>
      </c>
    </row>
    <row r="350" spans="1:9">
      <c r="A350" s="103" t="s">
        <v>1108</v>
      </c>
      <c r="B350" s="318" t="s">
        <v>829</v>
      </c>
      <c r="C350" s="103" t="s">
        <v>350</v>
      </c>
      <c r="D350" s="103" t="s">
        <v>142</v>
      </c>
      <c r="E350" s="103" t="s">
        <v>413</v>
      </c>
      <c r="F350" s="103" t="s">
        <v>140</v>
      </c>
      <c r="G350" s="105">
        <v>2450</v>
      </c>
      <c r="H350" s="105"/>
      <c r="I350" s="105">
        <f t="shared" si="5"/>
        <v>2450</v>
      </c>
    </row>
    <row r="351" spans="1:9">
      <c r="A351" s="103" t="s">
        <v>1129</v>
      </c>
      <c r="B351" s="103" t="s">
        <v>830</v>
      </c>
      <c r="C351" s="103" t="s">
        <v>350</v>
      </c>
      <c r="D351" s="103" t="s">
        <v>142</v>
      </c>
      <c r="E351" s="103" t="s">
        <v>1133</v>
      </c>
      <c r="F351" s="103" t="s">
        <v>140</v>
      </c>
      <c r="G351" s="105">
        <v>3310.75</v>
      </c>
      <c r="H351" s="105"/>
      <c r="I351" s="105">
        <f t="shared" si="5"/>
        <v>3310.75</v>
      </c>
    </row>
    <row r="352" spans="1:9">
      <c r="A352" s="103" t="s">
        <v>1129</v>
      </c>
      <c r="B352" s="318" t="s">
        <v>831</v>
      </c>
      <c r="C352" s="103" t="s">
        <v>350</v>
      </c>
      <c r="D352" s="103" t="s">
        <v>142</v>
      </c>
      <c r="E352" s="103" t="s">
        <v>414</v>
      </c>
      <c r="F352" s="103" t="s">
        <v>140</v>
      </c>
      <c r="G352" s="105">
        <v>930</v>
      </c>
      <c r="H352" s="105">
        <v>0</v>
      </c>
      <c r="I352" s="105">
        <f t="shared" si="5"/>
        <v>930</v>
      </c>
    </row>
    <row r="353" spans="1:9">
      <c r="A353" s="317" t="s">
        <v>1134</v>
      </c>
      <c r="B353" s="318"/>
      <c r="C353" s="103"/>
      <c r="D353" s="103"/>
      <c r="E353" s="103"/>
      <c r="F353" s="103"/>
      <c r="G353" s="105"/>
      <c r="H353" s="105"/>
      <c r="I353" s="105">
        <f t="shared" si="5"/>
        <v>0</v>
      </c>
    </row>
    <row r="354" spans="1:9">
      <c r="A354" s="103" t="s">
        <v>1108</v>
      </c>
      <c r="B354" s="103" t="s">
        <v>832</v>
      </c>
      <c r="C354" s="103" t="s">
        <v>350</v>
      </c>
      <c r="D354" s="103" t="s">
        <v>142</v>
      </c>
      <c r="E354" s="103" t="s">
        <v>227</v>
      </c>
      <c r="F354" s="103" t="s">
        <v>158</v>
      </c>
      <c r="G354" s="105">
        <v>1060</v>
      </c>
      <c r="H354" s="105"/>
      <c r="I354" s="105">
        <f t="shared" si="5"/>
        <v>1060</v>
      </c>
    </row>
    <row r="355" spans="1:9">
      <c r="A355" s="318" t="s">
        <v>1135</v>
      </c>
      <c r="B355" s="103" t="s">
        <v>833</v>
      </c>
      <c r="C355" s="103" t="s">
        <v>350</v>
      </c>
      <c r="D355" s="103" t="s">
        <v>142</v>
      </c>
      <c r="E355" s="103" t="s">
        <v>373</v>
      </c>
      <c r="F355" s="103" t="s">
        <v>144</v>
      </c>
      <c r="G355" s="105">
        <v>2730.6</v>
      </c>
      <c r="H355" s="105"/>
      <c r="I355" s="105">
        <f t="shared" si="5"/>
        <v>2730.6</v>
      </c>
    </row>
    <row r="356" spans="1:9">
      <c r="A356" s="319" t="s">
        <v>1136</v>
      </c>
      <c r="B356" s="103"/>
      <c r="C356" s="103"/>
      <c r="D356" s="103"/>
      <c r="E356" s="103"/>
      <c r="F356" s="103"/>
      <c r="G356" s="105"/>
      <c r="H356" s="105"/>
      <c r="I356" s="105">
        <f t="shared" si="5"/>
        <v>0</v>
      </c>
    </row>
    <row r="357" spans="1:9">
      <c r="A357" s="318" t="s">
        <v>1135</v>
      </c>
      <c r="B357" s="318" t="s">
        <v>834</v>
      </c>
      <c r="C357" s="103" t="s">
        <v>350</v>
      </c>
      <c r="D357" s="103" t="s">
        <v>142</v>
      </c>
      <c r="E357" s="103" t="s">
        <v>835</v>
      </c>
      <c r="F357" s="103"/>
      <c r="G357" s="105">
        <v>0</v>
      </c>
      <c r="H357" s="105"/>
      <c r="I357" s="105">
        <f t="shared" si="5"/>
        <v>0</v>
      </c>
    </row>
    <row r="358" spans="1:9">
      <c r="A358" s="319" t="s">
        <v>701</v>
      </c>
      <c r="B358" s="318"/>
      <c r="C358" s="103"/>
      <c r="D358" s="103"/>
      <c r="E358" s="103"/>
      <c r="F358" s="103"/>
      <c r="G358" s="105"/>
      <c r="H358" s="105"/>
      <c r="I358" s="105">
        <f t="shared" si="5"/>
        <v>0</v>
      </c>
    </row>
    <row r="359" spans="1:9">
      <c r="A359" s="103" t="s">
        <v>1137</v>
      </c>
      <c r="B359" s="318" t="s">
        <v>836</v>
      </c>
      <c r="C359" s="103" t="s">
        <v>350</v>
      </c>
      <c r="D359" s="103" t="s">
        <v>142</v>
      </c>
      <c r="E359" s="103" t="s">
        <v>374</v>
      </c>
      <c r="F359" s="103" t="s">
        <v>375</v>
      </c>
      <c r="G359" s="105"/>
      <c r="H359" s="105">
        <v>0</v>
      </c>
      <c r="I359" s="105">
        <f t="shared" si="5"/>
        <v>0</v>
      </c>
    </row>
    <row r="360" spans="1:9">
      <c r="A360" s="319" t="s">
        <v>1138</v>
      </c>
      <c r="B360" s="318"/>
      <c r="C360" s="103"/>
      <c r="D360" s="103"/>
      <c r="E360" s="103"/>
      <c r="F360" s="103"/>
      <c r="G360" s="105"/>
      <c r="H360" s="105"/>
      <c r="I360" s="105">
        <f t="shared" si="5"/>
        <v>0</v>
      </c>
    </row>
    <row r="361" spans="1:9">
      <c r="A361" s="103" t="s">
        <v>1137</v>
      </c>
      <c r="B361" s="318" t="s">
        <v>837</v>
      </c>
      <c r="C361" s="103" t="s">
        <v>350</v>
      </c>
      <c r="D361" s="103" t="s">
        <v>142</v>
      </c>
      <c r="E361" s="103" t="s">
        <v>374</v>
      </c>
      <c r="F361" s="103" t="s">
        <v>140</v>
      </c>
      <c r="G361" s="105"/>
      <c r="H361" s="105">
        <v>10000</v>
      </c>
      <c r="I361" s="105">
        <f t="shared" si="5"/>
        <v>10000</v>
      </c>
    </row>
    <row r="362" spans="1:9">
      <c r="A362" s="317" t="s">
        <v>376</v>
      </c>
      <c r="B362" s="318"/>
      <c r="C362" s="103"/>
      <c r="D362" s="103"/>
      <c r="E362" s="103"/>
      <c r="F362" s="103"/>
      <c r="G362" s="105"/>
      <c r="H362" s="105"/>
      <c r="I362" s="105">
        <f t="shared" si="5"/>
        <v>0</v>
      </c>
    </row>
    <row r="363" spans="1:9">
      <c r="A363" s="103" t="s">
        <v>1137</v>
      </c>
      <c r="B363" s="318" t="s">
        <v>838</v>
      </c>
      <c r="C363" s="103" t="s">
        <v>350</v>
      </c>
      <c r="D363" s="103" t="s">
        <v>142</v>
      </c>
      <c r="E363" s="103" t="s">
        <v>376</v>
      </c>
      <c r="F363" s="103" t="s">
        <v>140</v>
      </c>
      <c r="G363" s="105"/>
      <c r="H363" s="105">
        <f>320000+1176+20000-41176-10121-20000</f>
        <v>269879</v>
      </c>
      <c r="I363" s="105">
        <f t="shared" si="5"/>
        <v>269879</v>
      </c>
    </row>
    <row r="364" spans="1:9">
      <c r="A364" s="140" t="s">
        <v>1139</v>
      </c>
      <c r="B364" s="101"/>
      <c r="C364" s="101" t="s">
        <v>350</v>
      </c>
      <c r="D364" s="101" t="s">
        <v>142</v>
      </c>
      <c r="E364" s="101" t="s">
        <v>1140</v>
      </c>
      <c r="F364" s="101"/>
      <c r="G364" s="102"/>
      <c r="H364" s="102">
        <v>2000</v>
      </c>
      <c r="I364" s="102">
        <f t="shared" si="5"/>
        <v>2000</v>
      </c>
    </row>
    <row r="365" spans="1:9">
      <c r="A365" s="101" t="s">
        <v>1141</v>
      </c>
      <c r="B365" s="101" t="s">
        <v>582</v>
      </c>
      <c r="C365" s="101" t="s">
        <v>350</v>
      </c>
      <c r="D365" s="101" t="s">
        <v>133</v>
      </c>
      <c r="E365" s="101" t="s">
        <v>377</v>
      </c>
      <c r="F365" s="101" t="s">
        <v>378</v>
      </c>
      <c r="G365" s="102"/>
      <c r="H365" s="102"/>
      <c r="I365" s="102">
        <f t="shared" si="5"/>
        <v>0</v>
      </c>
    </row>
    <row r="366" spans="1:9">
      <c r="A366" s="140" t="s">
        <v>1142</v>
      </c>
      <c r="B366" s="113"/>
      <c r="C366" s="114" t="s">
        <v>350</v>
      </c>
      <c r="D366" s="101" t="s">
        <v>133</v>
      </c>
      <c r="E366" s="114" t="s">
        <v>91</v>
      </c>
      <c r="F366" s="113" t="s">
        <v>379</v>
      </c>
      <c r="G366" s="102">
        <v>57900</v>
      </c>
      <c r="H366" s="102">
        <v>0</v>
      </c>
      <c r="I366" s="102">
        <f t="shared" si="5"/>
        <v>57900</v>
      </c>
    </row>
    <row r="367" spans="1:9">
      <c r="A367" s="140" t="s">
        <v>1143</v>
      </c>
      <c r="B367" s="113"/>
      <c r="C367" s="114" t="s">
        <v>350</v>
      </c>
      <c r="D367" s="101" t="s">
        <v>133</v>
      </c>
      <c r="E367" s="114" t="s">
        <v>380</v>
      </c>
      <c r="F367" s="114" t="s">
        <v>134</v>
      </c>
      <c r="G367" s="102">
        <v>6675</v>
      </c>
      <c r="H367" s="102">
        <v>0</v>
      </c>
      <c r="I367" s="102">
        <f t="shared" si="5"/>
        <v>6675</v>
      </c>
    </row>
    <row r="368" spans="1:9">
      <c r="A368" s="140" t="s">
        <v>1144</v>
      </c>
      <c r="B368" s="113"/>
      <c r="C368" s="114" t="s">
        <v>350</v>
      </c>
      <c r="D368" s="101" t="s">
        <v>133</v>
      </c>
      <c r="E368" s="114" t="s">
        <v>1145</v>
      </c>
      <c r="F368" s="114" t="s">
        <v>134</v>
      </c>
      <c r="G368" s="102">
        <v>2135</v>
      </c>
      <c r="H368" s="102">
        <v>0</v>
      </c>
      <c r="I368" s="102">
        <f t="shared" si="5"/>
        <v>2135</v>
      </c>
    </row>
    <row r="369" spans="1:9">
      <c r="A369" s="140" t="s">
        <v>1146</v>
      </c>
      <c r="B369" s="113"/>
      <c r="C369" s="114" t="s">
        <v>350</v>
      </c>
      <c r="D369" s="101" t="s">
        <v>133</v>
      </c>
      <c r="E369" s="114" t="s">
        <v>1147</v>
      </c>
      <c r="F369" s="114" t="s">
        <v>140</v>
      </c>
      <c r="G369" s="102">
        <v>1000</v>
      </c>
      <c r="H369" s="102">
        <v>4000</v>
      </c>
      <c r="I369" s="102">
        <f t="shared" si="5"/>
        <v>5000</v>
      </c>
    </row>
    <row r="370" spans="1:9">
      <c r="A370" s="101" t="s">
        <v>1148</v>
      </c>
      <c r="B370" s="101" t="s">
        <v>582</v>
      </c>
      <c r="C370" s="101" t="s">
        <v>381</v>
      </c>
      <c r="D370" s="101" t="s">
        <v>133</v>
      </c>
      <c r="E370" s="101" t="s">
        <v>382</v>
      </c>
      <c r="F370" s="101" t="s">
        <v>134</v>
      </c>
      <c r="G370" s="102"/>
      <c r="H370" s="102">
        <v>0</v>
      </c>
      <c r="I370" s="102">
        <f t="shared" si="5"/>
        <v>0</v>
      </c>
    </row>
    <row r="371" spans="1:9">
      <c r="A371" s="101" t="s">
        <v>1149</v>
      </c>
      <c r="B371" s="101" t="s">
        <v>582</v>
      </c>
      <c r="C371" s="101" t="s">
        <v>381</v>
      </c>
      <c r="D371" s="101" t="s">
        <v>133</v>
      </c>
      <c r="E371" s="101" t="s">
        <v>383</v>
      </c>
      <c r="F371" s="101" t="s">
        <v>327</v>
      </c>
      <c r="G371" s="102"/>
      <c r="H371" s="102">
        <v>0</v>
      </c>
      <c r="I371" s="102">
        <f t="shared" si="5"/>
        <v>0</v>
      </c>
    </row>
    <row r="372" spans="1:9">
      <c r="A372" s="317" t="s">
        <v>384</v>
      </c>
      <c r="B372" s="103"/>
      <c r="C372" s="103"/>
      <c r="D372" s="103"/>
      <c r="E372" s="103"/>
      <c r="F372" s="103"/>
      <c r="G372" s="105"/>
      <c r="H372" s="105"/>
      <c r="I372" s="105">
        <f t="shared" si="5"/>
        <v>0</v>
      </c>
    </row>
    <row r="373" spans="1:9">
      <c r="A373" s="103" t="s">
        <v>1150</v>
      </c>
      <c r="B373" s="103" t="s">
        <v>839</v>
      </c>
      <c r="C373" s="103" t="s">
        <v>381</v>
      </c>
      <c r="D373" s="103" t="s">
        <v>142</v>
      </c>
      <c r="E373" s="103" t="s">
        <v>384</v>
      </c>
      <c r="F373" s="103" t="s">
        <v>140</v>
      </c>
      <c r="G373" s="105">
        <v>8245</v>
      </c>
      <c r="H373" s="105">
        <v>300</v>
      </c>
      <c r="I373" s="105">
        <f t="shared" si="5"/>
        <v>8545</v>
      </c>
    </row>
    <row r="374" spans="1:9">
      <c r="A374" s="103" t="s">
        <v>1150</v>
      </c>
      <c r="B374" s="103" t="s">
        <v>840</v>
      </c>
      <c r="C374" s="103" t="s">
        <v>381</v>
      </c>
      <c r="D374" s="103" t="s">
        <v>142</v>
      </c>
      <c r="E374" s="103" t="s">
        <v>385</v>
      </c>
      <c r="F374" s="103" t="s">
        <v>140</v>
      </c>
      <c r="G374" s="105">
        <v>595</v>
      </c>
      <c r="H374" s="105"/>
      <c r="I374" s="105">
        <f t="shared" si="5"/>
        <v>595</v>
      </c>
    </row>
    <row r="375" spans="1:9">
      <c r="A375" s="103" t="s">
        <v>1150</v>
      </c>
      <c r="B375" s="103" t="s">
        <v>840</v>
      </c>
      <c r="C375" s="103" t="s">
        <v>381</v>
      </c>
      <c r="D375" s="103" t="s">
        <v>142</v>
      </c>
      <c r="E375" s="103" t="s">
        <v>415</v>
      </c>
      <c r="F375" s="103" t="s">
        <v>140</v>
      </c>
      <c r="G375" s="105">
        <v>1225</v>
      </c>
      <c r="H375" s="105"/>
      <c r="I375" s="105">
        <f t="shared" si="5"/>
        <v>1225</v>
      </c>
    </row>
    <row r="376" spans="1:9">
      <c r="A376" s="103" t="s">
        <v>1150</v>
      </c>
      <c r="B376" s="103" t="s">
        <v>841</v>
      </c>
      <c r="C376" s="103" t="s">
        <v>381</v>
      </c>
      <c r="D376" s="103" t="s">
        <v>142</v>
      </c>
      <c r="E376" s="103" t="s">
        <v>386</v>
      </c>
      <c r="F376" s="103" t="s">
        <v>140</v>
      </c>
      <c r="G376" s="105">
        <v>689</v>
      </c>
      <c r="H376" s="105"/>
      <c r="I376" s="105">
        <f t="shared" si="5"/>
        <v>689</v>
      </c>
    </row>
    <row r="377" spans="1:9">
      <c r="A377" s="101" t="s">
        <v>1151</v>
      </c>
      <c r="B377" s="101" t="s">
        <v>582</v>
      </c>
      <c r="C377" s="101" t="s">
        <v>387</v>
      </c>
      <c r="D377" s="101" t="s">
        <v>133</v>
      </c>
      <c r="E377" s="101" t="s">
        <v>53</v>
      </c>
      <c r="F377" s="101" t="s">
        <v>134</v>
      </c>
      <c r="G377" s="102">
        <v>0</v>
      </c>
      <c r="H377" s="102">
        <v>0</v>
      </c>
      <c r="I377" s="102">
        <f t="shared" si="5"/>
        <v>0</v>
      </c>
    </row>
    <row r="378" spans="1:9">
      <c r="A378" s="140" t="s">
        <v>1152</v>
      </c>
      <c r="B378" s="101" t="s">
        <v>582</v>
      </c>
      <c r="C378" s="101" t="s">
        <v>387</v>
      </c>
      <c r="D378" s="101" t="s">
        <v>133</v>
      </c>
      <c r="E378" s="114" t="s">
        <v>388</v>
      </c>
      <c r="F378" s="113" t="s">
        <v>389</v>
      </c>
      <c r="G378" s="102">
        <v>0</v>
      </c>
      <c r="H378" s="102">
        <v>0</v>
      </c>
      <c r="I378" s="102">
        <f t="shared" si="5"/>
        <v>0</v>
      </c>
    </row>
    <row r="379" spans="1:9">
      <c r="A379" s="140"/>
      <c r="B379" s="140"/>
      <c r="C379" s="101"/>
      <c r="D379" s="101"/>
      <c r="E379" s="114"/>
      <c r="F379" s="113"/>
      <c r="G379" s="102"/>
      <c r="H379" s="102"/>
      <c r="I379" s="102"/>
    </row>
    <row r="380" spans="1:9" ht="19.5" thickBot="1">
      <c r="E380" s="100"/>
      <c r="F380" s="100"/>
      <c r="G380" s="115">
        <f>SUM(G2:G379)</f>
        <v>3001890.6000000006</v>
      </c>
      <c r="H380" s="115">
        <f>SUM(H2:H379)</f>
        <v>788365.15</v>
      </c>
      <c r="I380" s="115">
        <f>SUM(I2:I379)</f>
        <v>3790255.7500000005</v>
      </c>
    </row>
    <row r="381" spans="1:9" ht="19.5" thickTop="1">
      <c r="E381" s="100"/>
      <c r="F381" s="100"/>
      <c r="G381" s="117"/>
      <c r="H381" s="117"/>
    </row>
    <row r="382" spans="1:9">
      <c r="E382" s="118" t="s">
        <v>390</v>
      </c>
      <c r="F382" s="118"/>
      <c r="G382" s="105">
        <f>SUM(G8:G183)+SUM(G196:G200)+SUM(G257:G260)+SUM(G303:G307)+SUM(G309:G363)+SUM(G373:G376)+SUM(G187:G188)</f>
        <v>493072.39</v>
      </c>
      <c r="H382" s="105">
        <f>SUM(H8:H183)+SUM(H196:H200)+SUM(H257:H260)+SUM(H303:H307)+SUM(H309:H363)+SUM(H373:H376)+SUM(H187:H188)</f>
        <v>330644.15000000002</v>
      </c>
      <c r="I382" s="105">
        <f>SUM(I8:I183)+SUM(I196:I200)+SUM(I257:I260)+SUM(I303:I307)+SUM(I309:I363)+SUM(I373:I376)+SUM(I187:I188)</f>
        <v>823716.54</v>
      </c>
    </row>
    <row r="383" spans="1:9">
      <c r="E383" s="101" t="s">
        <v>391</v>
      </c>
      <c r="F383" s="101"/>
      <c r="G383" s="102">
        <f>SUM(G364:G371)+SUM(G261:G299)+SUM(G235:G250)+SUM(G252:G255)+SUM(G203:G212)+SUM(G214:G233)+SUM(G184:G186)+SUM(G189:G195)+G2+SUM(G377:G379)+G201+SUM(G4:G5)</f>
        <v>2500118.21</v>
      </c>
      <c r="H383" s="102">
        <f>SUM(H364:H371)+SUM(H261:H299)+SUM(H235:H250)+SUM(H252:H255)+SUM(H203:H212)+SUM(H214:H233)+SUM(H184:H186)+SUM(H189:H195)+H2+SUM(H377:H379)+H201+SUM(H4:H5)</f>
        <v>451521</v>
      </c>
      <c r="I383" s="322">
        <f>SUM(I364:I371)+SUM(I261:I299)+SUM(I235:I250)+SUM(I252:I255)+SUM(I203:I212)+SUM(I214:I233)+SUM(I184:I186)+SUM(I189:I195)+I2+SUM(I377:I379)+I201+SUM(I4:I5)</f>
        <v>2951639.21</v>
      </c>
    </row>
    <row r="384" spans="1:9">
      <c r="E384" s="110" t="s">
        <v>392</v>
      </c>
      <c r="F384" s="110"/>
      <c r="G384" s="111">
        <f>G300+G251+G234+G6</f>
        <v>0</v>
      </c>
      <c r="H384" s="111">
        <f>H300+H251+H234+H6</f>
        <v>6000</v>
      </c>
      <c r="I384" s="111">
        <f>I300+I251+I234+I6</f>
        <v>6000</v>
      </c>
    </row>
    <row r="385" spans="5:9">
      <c r="E385" s="106" t="s">
        <v>393</v>
      </c>
      <c r="F385" s="106"/>
      <c r="G385" s="107">
        <f>G202</f>
        <v>2500</v>
      </c>
      <c r="H385" s="107">
        <f>H202</f>
        <v>0</v>
      </c>
      <c r="I385" s="107">
        <f>I202</f>
        <v>2500</v>
      </c>
    </row>
    <row r="386" spans="5:9">
      <c r="E386" s="124" t="s">
        <v>416</v>
      </c>
      <c r="F386" s="124"/>
      <c r="G386" s="125">
        <f>G3</f>
        <v>3200</v>
      </c>
      <c r="H386" s="125">
        <f>H3</f>
        <v>0</v>
      </c>
      <c r="I386" s="125">
        <f>I3</f>
        <v>3200</v>
      </c>
    </row>
    <row r="387" spans="5:9">
      <c r="E387" s="108" t="s">
        <v>264</v>
      </c>
      <c r="F387" s="108"/>
      <c r="G387" s="109">
        <f>G213</f>
        <v>3000</v>
      </c>
      <c r="H387" s="109">
        <f>H213</f>
        <v>0</v>
      </c>
      <c r="I387" s="109">
        <f>I213</f>
        <v>3000</v>
      </c>
    </row>
    <row r="388" spans="5:9">
      <c r="E388" s="122" t="s">
        <v>410</v>
      </c>
      <c r="F388" s="122"/>
      <c r="G388" s="123">
        <f>G301</f>
        <v>0</v>
      </c>
      <c r="H388" s="123">
        <f>H301</f>
        <v>200</v>
      </c>
      <c r="I388" s="123">
        <f>I301</f>
        <v>200</v>
      </c>
    </row>
    <row r="389" spans="5:9" ht="19.5" thickBot="1">
      <c r="E389" s="119" t="s">
        <v>394</v>
      </c>
      <c r="F389" s="119"/>
      <c r="G389" s="120">
        <f>SUM(G382:G388)</f>
        <v>3001890.6</v>
      </c>
      <c r="H389" s="120">
        <f t="shared" ref="H389:I389" si="6">SUM(H382:H388)</f>
        <v>788365.15</v>
      </c>
      <c r="I389" s="120">
        <f t="shared" si="6"/>
        <v>3790255.75</v>
      </c>
    </row>
    <row r="390" spans="5:9" ht="19.5" thickTop="1"/>
  </sheetData>
  <printOptions horizontalCentered="1"/>
  <pageMargins left="0.7" right="0.7" top="0.75" bottom="0.75" header="0.3" footer="0.3"/>
  <pageSetup scale="56" orientation="portrait" r:id="rId1"/>
  <rowBreaks count="1" manualBreakCount="1">
    <brk id="326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38D26-4461-4FE6-A27F-3BDFE6FAC713}">
  <dimension ref="A1:F49"/>
  <sheetViews>
    <sheetView workbookViewId="0">
      <selection activeCell="C5" sqref="C5"/>
    </sheetView>
  </sheetViews>
  <sheetFormatPr defaultColWidth="9.140625" defaultRowHeight="15"/>
  <cols>
    <col min="1" max="4" width="28" style="11" customWidth="1"/>
    <col min="5" max="16384" width="9.140625" style="11"/>
  </cols>
  <sheetData>
    <row r="1" spans="1:6" s="150" customFormat="1" ht="28.5" customHeight="1">
      <c r="A1" s="297" t="s">
        <v>128</v>
      </c>
      <c r="B1" s="294"/>
      <c r="C1" s="294"/>
      <c r="D1" s="294"/>
      <c r="E1" s="293"/>
      <c r="F1" s="293"/>
    </row>
    <row r="2" spans="1:6" ht="28.5" customHeight="1">
      <c r="A2" s="298"/>
      <c r="B2" s="295"/>
      <c r="C2" s="295"/>
    </row>
    <row r="3" spans="1:6" ht="28.5" customHeight="1">
      <c r="A3" s="296"/>
      <c r="B3" s="155" t="s">
        <v>933</v>
      </c>
      <c r="C3" s="155" t="s">
        <v>934</v>
      </c>
      <c r="D3" s="155" t="s">
        <v>96</v>
      </c>
    </row>
    <row r="4" spans="1:6" ht="28.5" customHeight="1">
      <c r="A4" s="152" t="s">
        <v>128</v>
      </c>
      <c r="B4" s="154">
        <v>3894673</v>
      </c>
      <c r="C4" s="154">
        <v>3790256</v>
      </c>
      <c r="D4" s="299">
        <f>C4-B4</f>
        <v>-104417</v>
      </c>
    </row>
    <row r="5" spans="1:6" ht="15.75">
      <c r="A5" s="148"/>
    </row>
    <row r="6" spans="1:6" ht="15.75">
      <c r="A6" s="148"/>
    </row>
    <row r="7" spans="1:6" ht="15.75">
      <c r="A7" s="148"/>
    </row>
    <row r="8" spans="1:6" ht="15.75">
      <c r="A8" s="148"/>
    </row>
    <row r="9" spans="1:6" ht="15.75">
      <c r="A9" s="148"/>
    </row>
    <row r="10" spans="1:6" ht="15.75">
      <c r="A10" s="148"/>
    </row>
    <row r="11" spans="1:6" ht="15.75">
      <c r="A11" s="148"/>
    </row>
    <row r="12" spans="1:6" ht="15.75">
      <c r="A12" s="148"/>
    </row>
    <row r="13" spans="1:6" ht="15.75">
      <c r="A13" s="148"/>
    </row>
    <row r="14" spans="1:6" ht="15.75">
      <c r="A14" s="148"/>
    </row>
    <row r="15" spans="1:6" ht="15.75">
      <c r="A15" s="148"/>
    </row>
    <row r="16" spans="1:6" ht="15.75">
      <c r="A16" s="148"/>
    </row>
    <row r="17" spans="1:1" ht="15.75">
      <c r="A17" s="148"/>
    </row>
    <row r="18" spans="1:1" ht="15.75">
      <c r="A18" s="148"/>
    </row>
    <row r="19" spans="1:1" ht="15.75">
      <c r="A19" s="148"/>
    </row>
    <row r="20" spans="1:1" ht="15.75">
      <c r="A20" s="148"/>
    </row>
    <row r="21" spans="1:1" ht="15.75">
      <c r="A21" s="148"/>
    </row>
    <row r="22" spans="1:1" ht="15.75">
      <c r="A22" s="148"/>
    </row>
    <row r="23" spans="1:1" ht="15.75">
      <c r="A23" s="148"/>
    </row>
    <row r="24" spans="1:1" ht="15.75">
      <c r="A24" s="148"/>
    </row>
    <row r="25" spans="1:1" ht="15.75">
      <c r="A25" s="148"/>
    </row>
    <row r="26" spans="1:1" ht="15.75">
      <c r="A26" s="148"/>
    </row>
    <row r="27" spans="1:1" ht="15.75">
      <c r="A27" s="148"/>
    </row>
    <row r="28" spans="1:1" ht="15.75">
      <c r="A28" s="148"/>
    </row>
    <row r="29" spans="1:1" ht="15.75">
      <c r="A29" s="149"/>
    </row>
    <row r="30" spans="1:1" ht="15.75">
      <c r="A30" s="149"/>
    </row>
    <row r="31" spans="1:1" ht="15.75">
      <c r="A31" s="148"/>
    </row>
    <row r="32" spans="1:1" ht="15.75">
      <c r="A32" s="148"/>
    </row>
    <row r="33" spans="1:1" ht="15.75">
      <c r="A33" s="148"/>
    </row>
    <row r="34" spans="1:1" ht="15.75">
      <c r="A34" s="148"/>
    </row>
    <row r="35" spans="1:1" ht="15.75">
      <c r="A35" s="148"/>
    </row>
    <row r="36" spans="1:1" ht="15.75">
      <c r="A36" s="148"/>
    </row>
    <row r="37" spans="1:1" ht="15.75">
      <c r="A37" s="148"/>
    </row>
    <row r="38" spans="1:1" ht="15.75">
      <c r="A38" s="148"/>
    </row>
    <row r="39" spans="1:1" ht="15.75">
      <c r="A39" s="148"/>
    </row>
    <row r="40" spans="1:1" ht="15.75">
      <c r="A40" s="148"/>
    </row>
    <row r="41" spans="1:1" ht="15.75">
      <c r="A41" s="148"/>
    </row>
    <row r="42" spans="1:1" ht="15.75">
      <c r="A42" s="148"/>
    </row>
    <row r="43" spans="1:1" ht="15.75">
      <c r="A43" s="148"/>
    </row>
    <row r="44" spans="1:1" ht="15.75">
      <c r="A44" s="148"/>
    </row>
    <row r="45" spans="1:1" ht="15.75">
      <c r="A45" s="148"/>
    </row>
    <row r="46" spans="1:1" ht="15.75">
      <c r="A46" s="148"/>
    </row>
    <row r="47" spans="1:1" ht="15.75">
      <c r="A47" s="148"/>
    </row>
    <row r="48" spans="1:1" ht="15.75">
      <c r="A48" s="148"/>
    </row>
    <row r="49" spans="1:1" ht="15.75">
      <c r="A49" s="148"/>
    </row>
  </sheetData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H44"/>
  <sheetViews>
    <sheetView zoomScaleNormal="100" workbookViewId="0">
      <pane ySplit="4" topLeftCell="A8" activePane="bottomLeft" state="frozen"/>
      <selection pane="bottomLeft" activeCell="E10" sqref="E10"/>
    </sheetView>
  </sheetViews>
  <sheetFormatPr defaultRowHeight="18" customHeight="1"/>
  <cols>
    <col min="2" max="2" width="18.42578125" customWidth="1"/>
    <col min="3" max="3" width="17" style="49" customWidth="1"/>
    <col min="4" max="4" width="14.5703125" style="50" customWidth="1"/>
    <col min="5" max="5" width="15.28515625" style="8" customWidth="1"/>
    <col min="6" max="6" width="11.140625" customWidth="1"/>
  </cols>
  <sheetData>
    <row r="1" spans="1:6" ht="18" customHeight="1">
      <c r="A1" s="12"/>
      <c r="B1" s="13"/>
      <c r="C1" s="14"/>
      <c r="D1" s="15"/>
      <c r="E1" s="16"/>
      <c r="F1" s="13"/>
    </row>
    <row r="2" spans="1:6" s="5" customFormat="1" ht="18" customHeight="1">
      <c r="A2" s="17"/>
      <c r="B2" s="18"/>
      <c r="C2" s="19"/>
      <c r="D2" s="20"/>
      <c r="E2" s="21"/>
      <c r="F2" s="18"/>
    </row>
    <row r="3" spans="1:6" s="6" customFormat="1" ht="18" customHeight="1">
      <c r="A3" s="22"/>
      <c r="B3" s="23"/>
      <c r="C3" s="24"/>
      <c r="D3" s="25" t="s">
        <v>577</v>
      </c>
      <c r="E3" s="26" t="s">
        <v>852</v>
      </c>
    </row>
    <row r="4" spans="1:6" s="6" customFormat="1" ht="18" customHeight="1">
      <c r="A4" s="27"/>
      <c r="B4" s="28"/>
      <c r="C4" s="29"/>
      <c r="D4" s="30" t="s">
        <v>16</v>
      </c>
      <c r="E4" s="31" t="s">
        <v>17</v>
      </c>
      <c r="F4" s="346"/>
    </row>
    <row r="5" spans="1:6" ht="18" customHeight="1">
      <c r="A5" s="32" t="s">
        <v>22</v>
      </c>
      <c r="B5" s="33"/>
      <c r="C5" s="34"/>
      <c r="D5" s="35"/>
      <c r="E5" s="36"/>
    </row>
    <row r="6" spans="1:6" ht="18" customHeight="1">
      <c r="A6" s="126" t="s">
        <v>55</v>
      </c>
      <c r="B6" s="13"/>
      <c r="C6" s="14"/>
      <c r="D6" s="38"/>
      <c r="E6" s="39"/>
    </row>
    <row r="7" spans="1:6" ht="18" customHeight="1">
      <c r="A7" s="40" t="s">
        <v>23</v>
      </c>
      <c r="B7" s="13"/>
      <c r="C7" s="14"/>
      <c r="D7" s="38"/>
      <c r="E7" s="39"/>
    </row>
    <row r="8" spans="1:6" ht="18" customHeight="1">
      <c r="A8" s="40" t="s">
        <v>24</v>
      </c>
      <c r="B8" s="13"/>
      <c r="C8" s="14"/>
      <c r="D8" s="38">
        <v>731500</v>
      </c>
      <c r="E8" s="38">
        <v>846135</v>
      </c>
    </row>
    <row r="9" spans="1:6" ht="18" customHeight="1">
      <c r="A9" s="40" t="s">
        <v>25</v>
      </c>
      <c r="B9" s="13"/>
      <c r="C9" s="14"/>
      <c r="D9" s="39">
        <v>0</v>
      </c>
      <c r="E9" s="39">
        <v>94076</v>
      </c>
    </row>
    <row r="10" spans="1:6" ht="18" customHeight="1">
      <c r="A10" s="40" t="s">
        <v>26</v>
      </c>
      <c r="B10" s="13"/>
      <c r="C10" s="14"/>
      <c r="D10" s="39">
        <v>336420</v>
      </c>
      <c r="E10" s="39">
        <v>400320</v>
      </c>
    </row>
    <row r="11" spans="1:6" ht="18" customHeight="1">
      <c r="A11" s="40" t="s">
        <v>27</v>
      </c>
      <c r="B11" s="13"/>
      <c r="C11" s="14"/>
      <c r="D11" s="39">
        <v>352070</v>
      </c>
      <c r="E11" s="39">
        <v>406955</v>
      </c>
    </row>
    <row r="12" spans="1:6" ht="18" customHeight="1">
      <c r="A12" s="40" t="s">
        <v>28</v>
      </c>
      <c r="B12" s="13"/>
      <c r="C12" s="14"/>
      <c r="D12" s="39">
        <v>84000</v>
      </c>
      <c r="E12" s="39">
        <v>92400</v>
      </c>
    </row>
    <row r="13" spans="1:6" ht="18" customHeight="1">
      <c r="A13" s="40" t="s">
        <v>29</v>
      </c>
      <c r="B13" s="13"/>
      <c r="C13" s="14"/>
      <c r="D13" s="39">
        <v>312256</v>
      </c>
      <c r="E13" s="39"/>
    </row>
    <row r="14" spans="1:6" ht="18" customHeight="1">
      <c r="A14" s="126" t="s">
        <v>394</v>
      </c>
      <c r="B14" s="13"/>
      <c r="C14" s="14"/>
      <c r="D14" s="41">
        <f>SUM(D8:D13)</f>
        <v>1816246</v>
      </c>
      <c r="E14" s="42">
        <f>SUM(E6:E13)</f>
        <v>1839886</v>
      </c>
    </row>
    <row r="15" spans="1:6" ht="18" customHeight="1">
      <c r="A15" s="40"/>
      <c r="B15" s="13"/>
      <c r="C15" s="14"/>
      <c r="D15" s="38"/>
      <c r="E15" s="39"/>
    </row>
    <row r="16" spans="1:6" ht="18" customHeight="1">
      <c r="A16" s="40"/>
      <c r="B16" s="13"/>
      <c r="C16" s="14"/>
      <c r="D16" s="38"/>
      <c r="E16" s="39"/>
    </row>
    <row r="17" spans="1:8" ht="18" customHeight="1">
      <c r="A17" s="37" t="s">
        <v>30</v>
      </c>
      <c r="B17" s="13"/>
      <c r="C17" s="14"/>
      <c r="D17" s="38"/>
      <c r="E17" s="39"/>
    </row>
    <row r="18" spans="1:8" ht="18" customHeight="1">
      <c r="A18" s="40" t="s">
        <v>31</v>
      </c>
      <c r="B18" s="13"/>
      <c r="C18" s="14">
        <v>2250.4720000000002</v>
      </c>
      <c r="D18" s="38">
        <v>120000</v>
      </c>
      <c r="E18" s="38">
        <f>60000+60000</f>
        <v>120000</v>
      </c>
      <c r="F18" s="300"/>
      <c r="G18" s="136"/>
      <c r="H18" s="136"/>
    </row>
    <row r="19" spans="1:8" ht="18" customHeight="1">
      <c r="A19" s="40" t="s">
        <v>97</v>
      </c>
      <c r="B19" s="13"/>
      <c r="C19" s="14">
        <v>2250.4720000000002</v>
      </c>
      <c r="D19" s="38">
        <v>0</v>
      </c>
      <c r="E19" s="38">
        <v>0</v>
      </c>
      <c r="F19" s="300"/>
      <c r="G19" s="136"/>
      <c r="H19" s="136"/>
    </row>
    <row r="20" spans="1:8" ht="18" customHeight="1">
      <c r="A20" s="40" t="s">
        <v>98</v>
      </c>
      <c r="B20" s="13"/>
      <c r="C20" s="14">
        <v>2250.4720000000002</v>
      </c>
      <c r="D20" s="38">
        <v>0</v>
      </c>
      <c r="E20" s="38">
        <v>0</v>
      </c>
      <c r="F20" s="136"/>
      <c r="G20" s="136"/>
      <c r="H20" s="136"/>
    </row>
    <row r="21" spans="1:8" ht="18" customHeight="1">
      <c r="A21" s="40" t="s">
        <v>32</v>
      </c>
      <c r="B21" s="13"/>
      <c r="C21" s="14">
        <v>2250.4699999999998</v>
      </c>
      <c r="D21" s="38">
        <v>116129</v>
      </c>
      <c r="E21" s="38">
        <v>120000</v>
      </c>
      <c r="F21" s="300"/>
      <c r="G21" s="136"/>
      <c r="H21" s="136"/>
    </row>
    <row r="22" spans="1:8" ht="18" customHeight="1">
      <c r="A22" s="40"/>
      <c r="B22" s="13" t="s">
        <v>33</v>
      </c>
      <c r="C22" s="43">
        <v>2250.4699999999998</v>
      </c>
      <c r="D22" s="38">
        <v>70428</v>
      </c>
      <c r="E22" s="38">
        <v>72000</v>
      </c>
      <c r="F22" s="300"/>
      <c r="G22" s="136"/>
      <c r="H22" s="136"/>
    </row>
    <row r="23" spans="1:8" ht="18" customHeight="1">
      <c r="A23" s="40" t="s">
        <v>34</v>
      </c>
      <c r="B23" s="13"/>
      <c r="C23" s="43">
        <v>2250.4699999999998</v>
      </c>
      <c r="D23" s="38">
        <v>0</v>
      </c>
      <c r="E23" s="38">
        <v>0</v>
      </c>
    </row>
    <row r="24" spans="1:8" ht="18" customHeight="1">
      <c r="A24" s="40" t="s">
        <v>35</v>
      </c>
      <c r="B24" s="13"/>
      <c r="C24" s="43">
        <v>2250.4699999999998</v>
      </c>
      <c r="D24" s="38">
        <v>10000</v>
      </c>
      <c r="E24" s="38">
        <v>10000</v>
      </c>
    </row>
    <row r="25" spans="1:8" ht="18" customHeight="1">
      <c r="A25" s="40"/>
      <c r="B25" s="13"/>
      <c r="C25" s="14"/>
      <c r="D25" s="41">
        <f>SUM(D18:D24)</f>
        <v>316557</v>
      </c>
      <c r="E25" s="41">
        <f>SUM(E18:E24)</f>
        <v>322000</v>
      </c>
    </row>
    <row r="26" spans="1:8" ht="18" customHeight="1">
      <c r="A26" s="40"/>
      <c r="B26" s="13"/>
      <c r="C26" s="14"/>
      <c r="D26" s="38"/>
      <c r="E26" s="39"/>
    </row>
    <row r="27" spans="1:8" ht="18" customHeight="1">
      <c r="A27" s="40"/>
      <c r="B27" s="13"/>
      <c r="C27" s="14"/>
      <c r="D27" s="38"/>
      <c r="E27" s="39"/>
    </row>
    <row r="28" spans="1:8" ht="18" customHeight="1">
      <c r="A28" s="37" t="s">
        <v>36</v>
      </c>
      <c r="B28" s="13"/>
      <c r="C28" s="14"/>
      <c r="D28" s="38"/>
      <c r="E28" s="39"/>
    </row>
    <row r="29" spans="1:8" ht="18" customHeight="1">
      <c r="A29" s="40" t="s">
        <v>56</v>
      </c>
      <c r="B29" s="13"/>
      <c r="C29" s="14"/>
      <c r="D29" s="39">
        <v>1000</v>
      </c>
      <c r="E29" s="39">
        <v>1000</v>
      </c>
    </row>
    <row r="30" spans="1:8" ht="18" customHeight="1">
      <c r="A30" s="44" t="s">
        <v>92</v>
      </c>
      <c r="B30" s="13"/>
      <c r="C30" s="14"/>
      <c r="D30" s="39">
        <v>30000</v>
      </c>
      <c r="E30" s="39">
        <v>30000</v>
      </c>
    </row>
    <row r="31" spans="1:8" ht="18" customHeight="1">
      <c r="A31" s="40" t="s">
        <v>37</v>
      </c>
      <c r="B31" s="13"/>
      <c r="C31" s="14"/>
      <c r="D31" s="39">
        <v>15000</v>
      </c>
      <c r="E31" s="39">
        <v>15000</v>
      </c>
    </row>
    <row r="32" spans="1:8" ht="18" customHeight="1">
      <c r="A32" s="44" t="s">
        <v>93</v>
      </c>
      <c r="B32" s="13"/>
      <c r="C32" s="14"/>
      <c r="D32" s="39">
        <v>100000</v>
      </c>
      <c r="E32" s="39">
        <v>100000</v>
      </c>
    </row>
    <row r="33" spans="1:7" ht="18" customHeight="1">
      <c r="A33" s="40" t="s">
        <v>99</v>
      </c>
      <c r="B33" s="13"/>
      <c r="C33" s="14"/>
      <c r="D33" s="39">
        <v>10000</v>
      </c>
      <c r="E33" s="39">
        <v>10000</v>
      </c>
    </row>
    <row r="34" spans="1:7" ht="18" customHeight="1">
      <c r="A34" s="40"/>
      <c r="B34" s="13"/>
      <c r="C34" s="14"/>
      <c r="D34" s="41">
        <f>SUM(D29:D33)</f>
        <v>156000</v>
      </c>
      <c r="E34" s="41">
        <f>SUM(E29:E33)</f>
        <v>156000</v>
      </c>
    </row>
    <row r="35" spans="1:7" ht="18" customHeight="1">
      <c r="A35" s="40"/>
      <c r="B35" s="13"/>
      <c r="C35" s="14"/>
      <c r="D35" s="38"/>
      <c r="E35" s="39"/>
    </row>
    <row r="36" spans="1:7" ht="18" customHeight="1">
      <c r="A36" s="37" t="s">
        <v>417</v>
      </c>
      <c r="B36" s="13"/>
      <c r="C36" s="14"/>
      <c r="D36" s="38"/>
      <c r="E36" s="39"/>
    </row>
    <row r="37" spans="1:7" ht="18" customHeight="1">
      <c r="A37" s="40" t="s">
        <v>4</v>
      </c>
      <c r="B37" s="13"/>
      <c r="C37" s="14">
        <v>2250.1999999999998</v>
      </c>
      <c r="D37" s="39">
        <v>1000</v>
      </c>
      <c r="E37" s="39">
        <v>1000</v>
      </c>
    </row>
    <row r="38" spans="1:7" ht="18" customHeight="1">
      <c r="A38" s="40" t="s">
        <v>38</v>
      </c>
      <c r="B38" s="13"/>
      <c r="C38" s="14">
        <v>2250.46</v>
      </c>
      <c r="D38" s="39">
        <v>2500</v>
      </c>
      <c r="E38" s="39">
        <v>2500</v>
      </c>
    </row>
    <row r="39" spans="1:7" ht="18" customHeight="1">
      <c r="A39" s="40" t="s">
        <v>39</v>
      </c>
      <c r="B39" s="13"/>
      <c r="C39" s="14">
        <v>2250.4499999999998</v>
      </c>
      <c r="D39" s="39">
        <v>1500</v>
      </c>
      <c r="E39" s="39">
        <v>1500</v>
      </c>
    </row>
    <row r="40" spans="1:7" ht="18" customHeight="1">
      <c r="A40" s="40" t="s">
        <v>40</v>
      </c>
      <c r="B40" s="13"/>
      <c r="C40" s="43">
        <v>2250.48</v>
      </c>
      <c r="D40" s="39">
        <v>0</v>
      </c>
      <c r="E40" s="39">
        <v>0</v>
      </c>
    </row>
    <row r="41" spans="1:7" ht="18" customHeight="1">
      <c r="A41" s="40"/>
      <c r="B41" s="13"/>
      <c r="C41" s="14"/>
      <c r="D41" s="41">
        <f>SUM(D37:D40)</f>
        <v>5000</v>
      </c>
      <c r="E41" s="41">
        <f>SUM(E37:E40)</f>
        <v>5000</v>
      </c>
      <c r="F41" s="9">
        <f>E25+E34+E41</f>
        <v>483000</v>
      </c>
    </row>
    <row r="42" spans="1:7" ht="18" customHeight="1">
      <c r="A42" s="40"/>
      <c r="B42" s="13"/>
      <c r="C42" s="14"/>
      <c r="D42" s="38"/>
      <c r="E42" s="39"/>
    </row>
    <row r="43" spans="1:7" ht="18" customHeight="1" thickBot="1">
      <c r="A43" s="45" t="s">
        <v>41</v>
      </c>
      <c r="B43" s="46"/>
      <c r="C43" s="47"/>
      <c r="D43" s="48">
        <f>D41+D34+D25+D14</f>
        <v>2293803</v>
      </c>
      <c r="E43" s="48">
        <f>E41+E34+E25+E14</f>
        <v>2322886</v>
      </c>
      <c r="F43" s="9"/>
      <c r="G43" s="9"/>
    </row>
    <row r="44" spans="1:7" ht="18" customHeight="1" thickTop="1"/>
  </sheetData>
  <phoneticPr fontId="2" type="noConversion"/>
  <printOptions horizontalCentered="1"/>
  <pageMargins left="0.25" right="0.25" top="0.5" bottom="0.5" header="0.25" footer="0.25"/>
  <pageSetup scale="99" orientation="portrait" r:id="rId1"/>
  <headerFooter alignWithMargins="0">
    <oddHeader>&amp;C&amp;"Arial,Bold"SPECIAL EDUCATION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32EEE-AFD2-4D8A-85C7-92835747DA66}">
  <dimension ref="A1:F49"/>
  <sheetViews>
    <sheetView workbookViewId="0">
      <selection activeCell="C4" sqref="C4"/>
    </sheetView>
  </sheetViews>
  <sheetFormatPr defaultColWidth="9.140625" defaultRowHeight="15"/>
  <cols>
    <col min="1" max="4" width="28" style="11" customWidth="1"/>
    <col min="5" max="16384" width="9.140625" style="11"/>
  </cols>
  <sheetData>
    <row r="1" spans="1:6" s="150" customFormat="1" ht="28.5" customHeight="1">
      <c r="A1" s="297" t="s">
        <v>1158</v>
      </c>
      <c r="B1" s="294"/>
      <c r="C1" s="294"/>
      <c r="D1" s="294"/>
      <c r="E1" s="293"/>
      <c r="F1" s="293"/>
    </row>
    <row r="2" spans="1:6" ht="28.5" customHeight="1">
      <c r="A2" s="298"/>
      <c r="B2" s="295"/>
      <c r="C2" s="295"/>
    </row>
    <row r="3" spans="1:6" ht="28.5" customHeight="1">
      <c r="A3" s="296"/>
      <c r="B3" s="155" t="s">
        <v>842</v>
      </c>
      <c r="C3" s="155" t="s">
        <v>845</v>
      </c>
      <c r="D3" s="155" t="s">
        <v>96</v>
      </c>
    </row>
    <row r="4" spans="1:6" ht="28.5" customHeight="1">
      <c r="A4" s="152" t="s">
        <v>55</v>
      </c>
      <c r="B4" s="154">
        <v>477557</v>
      </c>
      <c r="C4" s="154">
        <v>483000</v>
      </c>
      <c r="D4" s="299">
        <f>C4-B4</f>
        <v>5443</v>
      </c>
    </row>
    <row r="5" spans="1:6" ht="15.75">
      <c r="A5" s="148"/>
    </row>
    <row r="6" spans="1:6" ht="15.75">
      <c r="A6" s="148"/>
    </row>
    <row r="7" spans="1:6" ht="15.75">
      <c r="A7" s="148"/>
    </row>
    <row r="8" spans="1:6" ht="15.75">
      <c r="A8" s="148"/>
    </row>
    <row r="9" spans="1:6" ht="15.75">
      <c r="A9" s="148"/>
    </row>
    <row r="10" spans="1:6" ht="15.75">
      <c r="A10" s="148"/>
    </row>
    <row r="11" spans="1:6" ht="15.75">
      <c r="A11" s="148"/>
    </row>
    <row r="12" spans="1:6" ht="15.75">
      <c r="A12" s="148"/>
    </row>
    <row r="13" spans="1:6" ht="15.75">
      <c r="A13" s="148"/>
    </row>
    <row r="14" spans="1:6" ht="15.75">
      <c r="A14" s="148"/>
    </row>
    <row r="15" spans="1:6" ht="15.75">
      <c r="A15" s="148"/>
    </row>
    <row r="16" spans="1:6" ht="15.75">
      <c r="A16" s="148"/>
    </row>
    <row r="17" spans="1:1" ht="15.75">
      <c r="A17" s="148"/>
    </row>
    <row r="18" spans="1:1" ht="15.75">
      <c r="A18" s="148"/>
    </row>
    <row r="19" spans="1:1" ht="15.75">
      <c r="A19" s="148"/>
    </row>
    <row r="20" spans="1:1" ht="15.75">
      <c r="A20" s="148"/>
    </row>
    <row r="21" spans="1:1" ht="15.75">
      <c r="A21" s="148"/>
    </row>
    <row r="22" spans="1:1" ht="15.75">
      <c r="A22" s="148"/>
    </row>
    <row r="23" spans="1:1" ht="15.75">
      <c r="A23" s="148"/>
    </row>
    <row r="24" spans="1:1" ht="15.75">
      <c r="A24" s="148"/>
    </row>
    <row r="25" spans="1:1" ht="15.75">
      <c r="A25" s="148"/>
    </row>
    <row r="26" spans="1:1" ht="15.75">
      <c r="A26" s="148"/>
    </row>
    <row r="27" spans="1:1" ht="15.75">
      <c r="A27" s="148"/>
    </row>
    <row r="28" spans="1:1" ht="15.75">
      <c r="A28" s="148"/>
    </row>
    <row r="29" spans="1:1" ht="15.75">
      <c r="A29" s="149"/>
    </row>
    <row r="30" spans="1:1" ht="15.75">
      <c r="A30" s="149"/>
    </row>
    <row r="31" spans="1:1" ht="15.75">
      <c r="A31" s="148"/>
    </row>
    <row r="32" spans="1:1" ht="15.75">
      <c r="A32" s="148"/>
    </row>
    <row r="33" spans="1:1" ht="15.75">
      <c r="A33" s="148"/>
    </row>
    <row r="34" spans="1:1" ht="15.75">
      <c r="A34" s="148"/>
    </row>
    <row r="35" spans="1:1" ht="15.75">
      <c r="A35" s="148"/>
    </row>
    <row r="36" spans="1:1" ht="15.75">
      <c r="A36" s="148"/>
    </row>
    <row r="37" spans="1:1" ht="15.75">
      <c r="A37" s="148"/>
    </row>
    <row r="38" spans="1:1" ht="15.75">
      <c r="A38" s="148"/>
    </row>
    <row r="39" spans="1:1" ht="15.75">
      <c r="A39" s="148"/>
    </row>
    <row r="40" spans="1:1" ht="15.75">
      <c r="A40" s="148"/>
    </row>
    <row r="41" spans="1:1" ht="15.75">
      <c r="A41" s="148"/>
    </row>
    <row r="42" spans="1:1" ht="15.75">
      <c r="A42" s="148"/>
    </row>
    <row r="43" spans="1:1" ht="15.75">
      <c r="A43" s="148"/>
    </row>
    <row r="44" spans="1:1" ht="15.75">
      <c r="A44" s="148"/>
    </row>
    <row r="45" spans="1:1" ht="15.75">
      <c r="A45" s="148"/>
    </row>
    <row r="46" spans="1:1" ht="15.75">
      <c r="A46" s="148"/>
    </row>
    <row r="47" spans="1:1" ht="15.75">
      <c r="A47" s="148"/>
    </row>
    <row r="48" spans="1:1" ht="15.75">
      <c r="A48" s="148"/>
    </row>
    <row r="49" spans="1:1" ht="15.75">
      <c r="A49" s="148"/>
    </row>
  </sheetData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E35"/>
  <sheetViews>
    <sheetView zoomScaleNormal="100" workbookViewId="0">
      <pane ySplit="4" topLeftCell="A8" activePane="bottomLeft" state="frozen"/>
      <selection pane="bottomLeft" activeCell="E3" sqref="E3"/>
    </sheetView>
  </sheetViews>
  <sheetFormatPr defaultColWidth="12.28515625" defaultRowHeight="27.75" customHeight="1"/>
  <cols>
    <col min="1" max="1" width="13" style="77" customWidth="1"/>
    <col min="2" max="2" width="28.28515625" style="77" customWidth="1"/>
    <col min="3" max="4" width="13.28515625" style="78" customWidth="1"/>
    <col min="5" max="5" width="14.7109375" style="78" customWidth="1"/>
    <col min="6" max="16384" width="12.28515625" style="77"/>
  </cols>
  <sheetData>
    <row r="1" spans="1:5" ht="36" customHeight="1">
      <c r="A1" s="76" t="s">
        <v>61</v>
      </c>
    </row>
    <row r="2" spans="1:5" ht="36" customHeight="1"/>
    <row r="3" spans="1:5" s="83" customFormat="1" ht="45.75" customHeight="1">
      <c r="A3" s="79" t="s">
        <v>62</v>
      </c>
      <c r="B3" s="80" t="s">
        <v>5</v>
      </c>
      <c r="C3" s="81" t="s">
        <v>496</v>
      </c>
      <c r="D3" s="82" t="s">
        <v>843</v>
      </c>
      <c r="E3" s="82" t="s">
        <v>930</v>
      </c>
    </row>
    <row r="4" spans="1:5" ht="26.25" customHeight="1">
      <c r="A4" s="84"/>
      <c r="B4" s="85"/>
      <c r="C4" s="86"/>
      <c r="D4" s="87"/>
      <c r="E4" s="87"/>
    </row>
    <row r="5" spans="1:5" ht="24" customHeight="1">
      <c r="A5" s="88">
        <v>1081</v>
      </c>
      <c r="B5" s="89" t="s">
        <v>63</v>
      </c>
      <c r="C5" s="90">
        <v>0</v>
      </c>
      <c r="D5" s="93">
        <v>0</v>
      </c>
      <c r="E5" s="91">
        <v>0</v>
      </c>
    </row>
    <row r="6" spans="1:5" ht="30.75">
      <c r="A6" s="88">
        <v>1090</v>
      </c>
      <c r="B6" s="89" t="s">
        <v>64</v>
      </c>
      <c r="C6" s="90">
        <v>6000</v>
      </c>
      <c r="D6" s="323">
        <v>6000</v>
      </c>
      <c r="E6" s="92">
        <v>6000</v>
      </c>
    </row>
    <row r="7" spans="1:5" ht="24" customHeight="1">
      <c r="A7" s="88">
        <v>1310</v>
      </c>
      <c r="B7" s="89" t="s">
        <v>65</v>
      </c>
      <c r="C7" s="90">
        <v>30000</v>
      </c>
      <c r="D7" s="93">
        <v>30000</v>
      </c>
      <c r="E7" s="91">
        <v>30000</v>
      </c>
    </row>
    <row r="8" spans="1:5" ht="24" customHeight="1">
      <c r="A8" s="88">
        <v>1315</v>
      </c>
      <c r="B8" s="89" t="s">
        <v>66</v>
      </c>
      <c r="C8" s="90">
        <v>3000</v>
      </c>
      <c r="D8" s="93">
        <v>3000</v>
      </c>
      <c r="E8" s="91">
        <v>3000</v>
      </c>
    </row>
    <row r="9" spans="1:5" ht="24" customHeight="1">
      <c r="A9" s="88">
        <v>1320</v>
      </c>
      <c r="B9" s="89" t="s">
        <v>67</v>
      </c>
      <c r="C9" s="90">
        <v>500</v>
      </c>
      <c r="D9" s="93">
        <v>500</v>
      </c>
      <c r="E9" s="91">
        <v>500</v>
      </c>
    </row>
    <row r="10" spans="1:5" ht="24" customHeight="1">
      <c r="A10" s="88">
        <v>1335</v>
      </c>
      <c r="B10" s="89" t="s">
        <v>68</v>
      </c>
      <c r="C10" s="90">
        <v>2000</v>
      </c>
      <c r="D10" s="93">
        <v>2000</v>
      </c>
      <c r="E10" s="91">
        <v>2000</v>
      </c>
    </row>
    <row r="11" spans="1:5" ht="17.25" customHeight="1">
      <c r="A11" s="88">
        <v>1410</v>
      </c>
      <c r="B11" s="89" t="s">
        <v>69</v>
      </c>
      <c r="C11" s="90">
        <v>0</v>
      </c>
      <c r="D11" s="93">
        <v>0</v>
      </c>
      <c r="E11" s="91">
        <v>0</v>
      </c>
    </row>
    <row r="12" spans="1:5" ht="17.25" customHeight="1">
      <c r="A12" s="88">
        <v>1489</v>
      </c>
      <c r="B12" s="89" t="s">
        <v>70</v>
      </c>
      <c r="C12" s="90">
        <v>0</v>
      </c>
      <c r="D12" s="93">
        <v>0</v>
      </c>
      <c r="E12" s="91">
        <v>0</v>
      </c>
    </row>
    <row r="13" spans="1:5" ht="30.75">
      <c r="A13" s="88">
        <v>2230</v>
      </c>
      <c r="B13" s="89" t="s">
        <v>71</v>
      </c>
      <c r="C13" s="90">
        <v>0</v>
      </c>
      <c r="D13" s="93">
        <v>0</v>
      </c>
      <c r="E13" s="91">
        <v>0</v>
      </c>
    </row>
    <row r="14" spans="1:5" ht="30.75">
      <c r="A14" s="88">
        <v>2235</v>
      </c>
      <c r="B14" s="89" t="s">
        <v>72</v>
      </c>
      <c r="C14" s="90">
        <v>7600</v>
      </c>
      <c r="D14" s="93">
        <v>7600</v>
      </c>
      <c r="E14" s="91">
        <v>7600</v>
      </c>
    </row>
    <row r="15" spans="1:5" ht="30.75">
      <c r="A15" s="88">
        <v>2389</v>
      </c>
      <c r="B15" s="89" t="s">
        <v>73</v>
      </c>
      <c r="C15" s="90">
        <v>0</v>
      </c>
      <c r="D15" s="93">
        <v>0</v>
      </c>
      <c r="E15" s="91">
        <v>0</v>
      </c>
    </row>
    <row r="16" spans="1:5" ht="30.75">
      <c r="A16" s="88">
        <v>2401</v>
      </c>
      <c r="B16" s="89" t="s">
        <v>74</v>
      </c>
      <c r="C16" s="90">
        <v>38278</v>
      </c>
      <c r="D16" s="93">
        <v>88278</v>
      </c>
      <c r="E16" s="91">
        <f>2000+36278+50000</f>
        <v>88278</v>
      </c>
    </row>
    <row r="17" spans="1:5" ht="30.75">
      <c r="A17" s="88">
        <v>2410</v>
      </c>
      <c r="B17" s="89" t="s">
        <v>75</v>
      </c>
      <c r="C17" s="90">
        <v>100</v>
      </c>
      <c r="D17" s="93">
        <v>100</v>
      </c>
      <c r="E17" s="91">
        <v>100</v>
      </c>
    </row>
    <row r="18" spans="1:5" ht="24" customHeight="1">
      <c r="A18" s="88">
        <v>2650</v>
      </c>
      <c r="B18" s="89" t="s">
        <v>76</v>
      </c>
      <c r="C18" s="90">
        <v>100</v>
      </c>
      <c r="D18" s="93">
        <v>100</v>
      </c>
      <c r="E18" s="91">
        <v>100</v>
      </c>
    </row>
    <row r="19" spans="1:5" ht="24" customHeight="1">
      <c r="A19" s="88">
        <v>2655</v>
      </c>
      <c r="B19" s="89" t="s">
        <v>77</v>
      </c>
      <c r="C19" s="90">
        <v>0</v>
      </c>
      <c r="D19" s="93">
        <v>0</v>
      </c>
      <c r="E19" s="91">
        <v>0</v>
      </c>
    </row>
    <row r="20" spans="1:5" ht="24" customHeight="1">
      <c r="A20" s="88">
        <v>2665</v>
      </c>
      <c r="B20" s="89" t="s">
        <v>78</v>
      </c>
      <c r="C20" s="90">
        <v>0</v>
      </c>
      <c r="D20" s="93">
        <v>0</v>
      </c>
      <c r="E20" s="91">
        <v>0</v>
      </c>
    </row>
    <row r="21" spans="1:5" ht="30.75">
      <c r="A21" s="88">
        <v>2666</v>
      </c>
      <c r="B21" s="89" t="s">
        <v>79</v>
      </c>
      <c r="C21" s="90">
        <v>0</v>
      </c>
      <c r="D21" s="93">
        <v>0</v>
      </c>
      <c r="E21" s="91">
        <v>0</v>
      </c>
    </row>
    <row r="22" spans="1:5" ht="30.75">
      <c r="A22" s="88">
        <v>2670</v>
      </c>
      <c r="B22" s="89" t="s">
        <v>80</v>
      </c>
      <c r="C22" s="90">
        <v>0</v>
      </c>
      <c r="D22" s="93">
        <v>0</v>
      </c>
      <c r="E22" s="91">
        <v>0</v>
      </c>
    </row>
    <row r="23" spans="1:5" ht="24" customHeight="1">
      <c r="A23" s="88">
        <v>2680</v>
      </c>
      <c r="B23" s="89" t="s">
        <v>81</v>
      </c>
      <c r="C23" s="90">
        <v>0</v>
      </c>
      <c r="D23" s="93">
        <v>0</v>
      </c>
      <c r="E23" s="91">
        <v>0</v>
      </c>
    </row>
    <row r="24" spans="1:5" ht="24" customHeight="1">
      <c r="A24" s="88">
        <v>2690</v>
      </c>
      <c r="B24" s="89" t="s">
        <v>82</v>
      </c>
      <c r="C24" s="90">
        <v>0</v>
      </c>
      <c r="D24" s="93">
        <v>0</v>
      </c>
      <c r="E24" s="91">
        <v>0</v>
      </c>
    </row>
    <row r="25" spans="1:5" ht="30.75">
      <c r="A25" s="88">
        <v>2701</v>
      </c>
      <c r="B25" s="89" t="s">
        <v>83</v>
      </c>
      <c r="C25" s="90">
        <v>43000</v>
      </c>
      <c r="D25" s="93">
        <v>43000</v>
      </c>
      <c r="E25" s="91">
        <v>43000</v>
      </c>
    </row>
    <row r="26" spans="1:5" ht="30.75">
      <c r="A26" s="88">
        <v>2702</v>
      </c>
      <c r="B26" s="89" t="s">
        <v>84</v>
      </c>
      <c r="C26" s="90"/>
      <c r="D26" s="93"/>
      <c r="E26" s="91"/>
    </row>
    <row r="27" spans="1:5" ht="31.5" customHeight="1">
      <c r="A27" s="88">
        <v>2703</v>
      </c>
      <c r="B27" s="89" t="s">
        <v>85</v>
      </c>
      <c r="C27" s="90">
        <v>10500</v>
      </c>
      <c r="D27" s="93">
        <v>10500</v>
      </c>
      <c r="E27" s="91">
        <v>10500</v>
      </c>
    </row>
    <row r="28" spans="1:5" ht="24" customHeight="1">
      <c r="A28" s="88">
        <v>2705</v>
      </c>
      <c r="B28" s="89" t="s">
        <v>86</v>
      </c>
      <c r="C28" s="90">
        <v>0</v>
      </c>
      <c r="D28" s="93">
        <v>0</v>
      </c>
      <c r="E28" s="91">
        <v>0</v>
      </c>
    </row>
    <row r="29" spans="1:5" ht="24" customHeight="1">
      <c r="A29" s="88">
        <v>2770</v>
      </c>
      <c r="B29" s="89" t="s">
        <v>87</v>
      </c>
      <c r="C29" s="90">
        <v>0</v>
      </c>
      <c r="D29" s="93">
        <v>0</v>
      </c>
      <c r="E29" s="91">
        <v>0</v>
      </c>
    </row>
    <row r="30" spans="1:5" ht="24" customHeight="1">
      <c r="A30" s="98">
        <v>2801</v>
      </c>
      <c r="B30" s="99" t="s">
        <v>88</v>
      </c>
      <c r="C30" s="90"/>
      <c r="D30" s="90"/>
      <c r="E30" s="324"/>
    </row>
    <row r="31" spans="1:5" ht="36" customHeight="1" thickBot="1">
      <c r="A31" s="94"/>
      <c r="B31" s="95" t="s">
        <v>89</v>
      </c>
      <c r="C31" s="96">
        <v>141078</v>
      </c>
      <c r="D31" s="96">
        <v>191078</v>
      </c>
      <c r="E31" s="97">
        <f>SUM(E5:E30)</f>
        <v>191078</v>
      </c>
    </row>
    <row r="32" spans="1:5" ht="36" customHeight="1" thickTop="1"/>
    <row r="33" ht="36" customHeight="1"/>
    <row r="34" ht="36" customHeight="1"/>
    <row r="35" ht="36" customHeight="1"/>
  </sheetData>
  <phoneticPr fontId="2" type="noConversion"/>
  <printOptions horizontalCentered="1"/>
  <pageMargins left="0.25" right="0.25" top="0.25" bottom="0.25" header="0.25" footer="0.25"/>
  <pageSetup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83938-C827-4C0F-9649-71DA4BDCF2A7}">
  <dimension ref="A1:J53"/>
  <sheetViews>
    <sheetView topLeftCell="A22" zoomScaleNormal="100" workbookViewId="0">
      <selection activeCell="E46" sqref="E46:E49"/>
    </sheetView>
  </sheetViews>
  <sheetFormatPr defaultRowHeight="12.75"/>
  <cols>
    <col min="1" max="1" width="22.85546875" bestFit="1" customWidth="1"/>
    <col min="2" max="2" width="36.140625" customWidth="1"/>
    <col min="3" max="5" width="17.7109375" style="139" customWidth="1"/>
    <col min="6" max="6" width="10" style="138" customWidth="1"/>
    <col min="8" max="8" width="12.7109375" bestFit="1" customWidth="1"/>
    <col min="9" max="9" width="14.5703125" customWidth="1"/>
    <col min="10" max="10" width="12.85546875" bestFit="1" customWidth="1"/>
  </cols>
  <sheetData>
    <row r="1" spans="1:7" ht="15">
      <c r="A1" s="127" t="s">
        <v>418</v>
      </c>
      <c r="B1" s="128"/>
      <c r="C1" s="325"/>
      <c r="D1" s="325"/>
      <c r="E1" s="325"/>
      <c r="F1" s="351"/>
    </row>
    <row r="2" spans="1:7" ht="15">
      <c r="A2" s="127" t="s">
        <v>57</v>
      </c>
      <c r="B2" s="128"/>
      <c r="C2" s="325"/>
      <c r="D2" s="325"/>
      <c r="E2" s="325"/>
      <c r="F2" s="351"/>
    </row>
    <row r="3" spans="1:7" ht="15">
      <c r="A3" s="128"/>
      <c r="B3" s="128"/>
      <c r="C3" s="325"/>
      <c r="D3" s="325"/>
      <c r="E3" s="325"/>
      <c r="F3" s="351"/>
    </row>
    <row r="4" spans="1:7" ht="15">
      <c r="A4" s="127" t="s">
        <v>419</v>
      </c>
      <c r="B4" s="127" t="s">
        <v>5</v>
      </c>
      <c r="C4" s="326" t="s">
        <v>844</v>
      </c>
      <c r="D4" s="326" t="s">
        <v>931</v>
      </c>
      <c r="E4" s="326" t="s">
        <v>930</v>
      </c>
      <c r="F4" s="357" t="s">
        <v>932</v>
      </c>
      <c r="G4" s="347"/>
    </row>
    <row r="5" spans="1:7" ht="15">
      <c r="A5" s="127" t="s">
        <v>492</v>
      </c>
      <c r="B5" s="127"/>
      <c r="C5" s="327"/>
      <c r="D5" s="327"/>
      <c r="E5" s="327"/>
      <c r="F5" s="351"/>
    </row>
    <row r="6" spans="1:7" ht="15">
      <c r="A6" s="128" t="s">
        <v>421</v>
      </c>
      <c r="B6" s="128" t="s">
        <v>422</v>
      </c>
      <c r="C6" s="325">
        <v>4967628</v>
      </c>
      <c r="D6" s="325">
        <v>5329621</v>
      </c>
      <c r="E6" s="325">
        <v>5476840</v>
      </c>
      <c r="F6" s="351"/>
      <c r="G6" s="137"/>
    </row>
    <row r="7" spans="1:7" ht="15">
      <c r="A7" s="128" t="s">
        <v>423</v>
      </c>
      <c r="B7" s="128" t="s">
        <v>424</v>
      </c>
      <c r="C7" s="325">
        <v>1241907</v>
      </c>
      <c r="D7" s="325">
        <v>1040207</v>
      </c>
      <c r="E7" s="325">
        <v>1020385</v>
      </c>
      <c r="F7" s="351"/>
      <c r="G7" s="137"/>
    </row>
    <row r="8" spans="1:7" ht="15">
      <c r="A8" s="128"/>
      <c r="B8" s="129" t="s">
        <v>493</v>
      </c>
      <c r="C8" s="328">
        <f t="shared" ref="C8" si="0">SUM(C6:C7)</f>
        <v>6209535</v>
      </c>
      <c r="D8" s="328">
        <f t="shared" ref="D8:E8" si="1">SUM(D6:D7)</f>
        <v>6369828</v>
      </c>
      <c r="E8" s="328">
        <f t="shared" si="1"/>
        <v>6497225</v>
      </c>
      <c r="F8" s="352"/>
    </row>
    <row r="9" spans="1:7" ht="15">
      <c r="A9" s="129" t="s">
        <v>420</v>
      </c>
      <c r="B9" s="128"/>
      <c r="C9" s="329"/>
      <c r="D9" s="329"/>
      <c r="E9" s="329"/>
      <c r="F9" s="351"/>
    </row>
    <row r="10" spans="1:7" ht="15">
      <c r="A10" s="128" t="s">
        <v>425</v>
      </c>
      <c r="B10" s="128" t="s">
        <v>426</v>
      </c>
      <c r="C10" s="325">
        <v>6000</v>
      </c>
      <c r="D10" s="325">
        <v>6000</v>
      </c>
      <c r="E10" s="325">
        <v>6000</v>
      </c>
      <c r="F10" s="351"/>
    </row>
    <row r="11" spans="1:7" ht="15">
      <c r="A11" s="128" t="s">
        <v>427</v>
      </c>
      <c r="B11" s="128" t="s">
        <v>428</v>
      </c>
      <c r="C11" s="325">
        <v>30000</v>
      </c>
      <c r="D11" s="325">
        <v>30000</v>
      </c>
      <c r="E11" s="325">
        <v>30000</v>
      </c>
      <c r="F11" s="351">
        <v>5000</v>
      </c>
    </row>
    <row r="12" spans="1:7" ht="15">
      <c r="A12" s="128" t="s">
        <v>429</v>
      </c>
      <c r="B12" s="128" t="s">
        <v>430</v>
      </c>
      <c r="C12" s="325">
        <v>3000</v>
      </c>
      <c r="D12" s="325">
        <v>3000</v>
      </c>
      <c r="E12" s="325">
        <v>3000</v>
      </c>
      <c r="F12" s="351"/>
    </row>
    <row r="13" spans="1:7" ht="15">
      <c r="A13" s="128" t="s">
        <v>431</v>
      </c>
      <c r="B13" s="128" t="s">
        <v>432</v>
      </c>
      <c r="C13" s="325">
        <v>500</v>
      </c>
      <c r="D13" s="325">
        <v>500</v>
      </c>
      <c r="E13" s="325">
        <v>500</v>
      </c>
      <c r="F13" s="351"/>
    </row>
    <row r="14" spans="1:7" ht="15">
      <c r="A14" s="128" t="s">
        <v>433</v>
      </c>
      <c r="B14" s="128" t="s">
        <v>434</v>
      </c>
      <c r="C14" s="325">
        <v>2000</v>
      </c>
      <c r="D14" s="325">
        <v>2000</v>
      </c>
      <c r="E14" s="325">
        <v>2000</v>
      </c>
      <c r="F14" s="351"/>
    </row>
    <row r="15" spans="1:7" ht="15">
      <c r="A15" s="128" t="s">
        <v>435</v>
      </c>
      <c r="B15" s="128" t="s">
        <v>436</v>
      </c>
      <c r="C15" s="325">
        <v>0</v>
      </c>
      <c r="D15" s="325">
        <v>0</v>
      </c>
      <c r="E15" s="325">
        <v>0</v>
      </c>
      <c r="F15" s="351"/>
    </row>
    <row r="16" spans="1:7" ht="15">
      <c r="A16" s="128" t="s">
        <v>437</v>
      </c>
      <c r="B16" s="128" t="s">
        <v>438</v>
      </c>
      <c r="C16" s="325">
        <v>0</v>
      </c>
      <c r="D16" s="325">
        <v>0</v>
      </c>
      <c r="E16" s="325">
        <v>0</v>
      </c>
      <c r="F16" s="351"/>
    </row>
    <row r="17" spans="1:10" ht="15">
      <c r="A17" s="128" t="s">
        <v>439</v>
      </c>
      <c r="B17" s="128" t="s">
        <v>440</v>
      </c>
      <c r="C17" s="325">
        <v>4085</v>
      </c>
      <c r="D17" s="325">
        <v>7600</v>
      </c>
      <c r="E17" s="325">
        <v>7600</v>
      </c>
      <c r="F17" s="351"/>
    </row>
    <row r="18" spans="1:10" ht="15">
      <c r="A18" s="128" t="s">
        <v>441</v>
      </c>
      <c r="B18" s="128" t="s">
        <v>442</v>
      </c>
      <c r="C18" s="325">
        <v>0</v>
      </c>
      <c r="D18" s="325">
        <v>0</v>
      </c>
      <c r="E18" s="325">
        <v>0</v>
      </c>
      <c r="F18" s="351"/>
    </row>
    <row r="19" spans="1:10" ht="15">
      <c r="A19" s="128" t="s">
        <v>443</v>
      </c>
      <c r="B19" s="128" t="s">
        <v>444</v>
      </c>
      <c r="C19" s="325">
        <v>500</v>
      </c>
      <c r="D19" s="325">
        <v>5000</v>
      </c>
      <c r="E19" s="325">
        <v>5000</v>
      </c>
      <c r="F19" s="351"/>
    </row>
    <row r="20" spans="1:10" ht="15">
      <c r="A20" s="128" t="s">
        <v>445</v>
      </c>
      <c r="B20" s="128" t="s">
        <v>446</v>
      </c>
      <c r="C20" s="325">
        <v>5000</v>
      </c>
      <c r="D20" s="325">
        <v>82778</v>
      </c>
      <c r="E20" s="325">
        <f>36778+46000</f>
        <v>82778</v>
      </c>
      <c r="F20" s="351"/>
    </row>
    <row r="21" spans="1:10" ht="15">
      <c r="A21" s="128" t="s">
        <v>447</v>
      </c>
      <c r="B21" s="128" t="s">
        <v>448</v>
      </c>
      <c r="C21" s="325">
        <v>36778</v>
      </c>
      <c r="D21" s="325">
        <v>500</v>
      </c>
      <c r="E21" s="325">
        <v>500</v>
      </c>
      <c r="F21" s="351"/>
    </row>
    <row r="22" spans="1:10" ht="15">
      <c r="A22" s="128" t="s">
        <v>449</v>
      </c>
      <c r="B22" s="128" t="s">
        <v>450</v>
      </c>
      <c r="C22" s="325">
        <v>100</v>
      </c>
      <c r="D22" s="325">
        <v>100</v>
      </c>
      <c r="E22" s="325">
        <v>100</v>
      </c>
      <c r="F22" s="351"/>
    </row>
    <row r="23" spans="1:10" ht="15">
      <c r="A23" s="128" t="s">
        <v>451</v>
      </c>
      <c r="B23" s="128" t="s">
        <v>452</v>
      </c>
      <c r="C23" s="325">
        <v>0</v>
      </c>
      <c r="D23" s="325">
        <v>0</v>
      </c>
      <c r="E23" s="325">
        <v>0</v>
      </c>
      <c r="F23" s="351"/>
    </row>
    <row r="24" spans="1:10" ht="15">
      <c r="A24" s="128" t="s">
        <v>453</v>
      </c>
      <c r="B24" s="128" t="s">
        <v>454</v>
      </c>
      <c r="C24" s="325">
        <v>100</v>
      </c>
      <c r="D24" s="325">
        <v>100</v>
      </c>
      <c r="E24" s="325">
        <v>100</v>
      </c>
      <c r="F24" s="351"/>
    </row>
    <row r="25" spans="1:10" ht="15">
      <c r="A25" s="128" t="s">
        <v>455</v>
      </c>
      <c r="B25" s="128" t="s">
        <v>456</v>
      </c>
      <c r="C25" s="325">
        <v>0</v>
      </c>
      <c r="D25" s="325">
        <v>0</v>
      </c>
      <c r="E25" s="325">
        <v>0</v>
      </c>
      <c r="F25" s="351"/>
    </row>
    <row r="26" spans="1:10" ht="15">
      <c r="A26" s="128" t="s">
        <v>457</v>
      </c>
      <c r="B26" s="128" t="s">
        <v>458</v>
      </c>
      <c r="C26" s="325">
        <v>0</v>
      </c>
      <c r="D26" s="325">
        <v>0</v>
      </c>
      <c r="E26" s="325">
        <v>0</v>
      </c>
      <c r="F26" s="351"/>
    </row>
    <row r="27" spans="1:10" ht="15">
      <c r="A27" s="128" t="s">
        <v>459</v>
      </c>
      <c r="B27" s="128" t="s">
        <v>460</v>
      </c>
      <c r="C27" s="325">
        <v>41600</v>
      </c>
      <c r="D27" s="325">
        <v>43000</v>
      </c>
      <c r="E27" s="325">
        <v>43000</v>
      </c>
      <c r="F27" s="351">
        <v>25000</v>
      </c>
    </row>
    <row r="28" spans="1:10" ht="15">
      <c r="A28" s="128" t="s">
        <v>461</v>
      </c>
      <c r="B28" s="128" t="s">
        <v>462</v>
      </c>
      <c r="C28" s="325">
        <v>10500</v>
      </c>
      <c r="D28" s="325">
        <v>10500</v>
      </c>
      <c r="E28" s="325">
        <v>10500</v>
      </c>
      <c r="F28" s="351">
        <v>10000</v>
      </c>
    </row>
    <row r="29" spans="1:10" ht="15">
      <c r="A29" s="128" t="s">
        <v>463</v>
      </c>
      <c r="B29" s="128" t="s">
        <v>464</v>
      </c>
      <c r="C29" s="325">
        <v>0</v>
      </c>
      <c r="D29" s="325">
        <v>0</v>
      </c>
      <c r="E29" s="325">
        <v>0</v>
      </c>
      <c r="F29" s="351"/>
      <c r="H29" s="331" t="s">
        <v>577</v>
      </c>
      <c r="I29" s="331" t="s">
        <v>852</v>
      </c>
    </row>
    <row r="30" spans="1:10" ht="15">
      <c r="A30" s="128"/>
      <c r="B30" s="129" t="s">
        <v>61</v>
      </c>
      <c r="C30" s="328">
        <f t="shared" ref="C30" si="2">SUM(C10:C29)</f>
        <v>140163</v>
      </c>
      <c r="D30" s="328">
        <f>SUM(D10:D29)</f>
        <v>191078</v>
      </c>
      <c r="E30" s="328">
        <f t="shared" ref="E30:F30" si="3">SUM(E10:E29)</f>
        <v>191078</v>
      </c>
      <c r="F30" s="353">
        <f t="shared" si="3"/>
        <v>40000</v>
      </c>
    </row>
    <row r="31" spans="1:10" ht="15">
      <c r="A31" s="129" t="s">
        <v>465</v>
      </c>
      <c r="B31" s="128"/>
      <c r="C31" s="325"/>
      <c r="D31" s="325"/>
      <c r="E31" s="325"/>
      <c r="F31" s="351"/>
      <c r="H31" s="138">
        <f>SUM(D32:D36)</f>
        <v>14835374</v>
      </c>
      <c r="I31" s="10">
        <f>11182022+473398+47671+50000+1099906+2017299+315000+95000</f>
        <v>15280296</v>
      </c>
    </row>
    <row r="32" spans="1:10" ht="15">
      <c r="A32" s="128" t="s">
        <v>466</v>
      </c>
      <c r="B32" s="128" t="s">
        <v>467</v>
      </c>
      <c r="C32" s="325">
        <v>11007389</v>
      </c>
      <c r="D32" s="325">
        <v>10957376</v>
      </c>
      <c r="E32" s="350">
        <f>I32</f>
        <v>11285994.452401131</v>
      </c>
      <c r="F32" s="351"/>
      <c r="H32" s="137">
        <f>D32/$H$31</f>
        <v>0.73859789446494573</v>
      </c>
      <c r="I32" s="10">
        <f>H32*I31</f>
        <v>11285994.452401131</v>
      </c>
      <c r="J32" s="10"/>
    </row>
    <row r="33" spans="1:9" ht="15">
      <c r="A33" s="128" t="s">
        <v>468</v>
      </c>
      <c r="B33" s="128" t="s">
        <v>469</v>
      </c>
      <c r="C33" s="325">
        <v>1599253</v>
      </c>
      <c r="D33" s="325">
        <v>1570774</v>
      </c>
      <c r="E33" s="350">
        <f t="shared" ref="E33:E36" si="4">I33</f>
        <v>1617882.4793432239</v>
      </c>
      <c r="F33" s="351"/>
      <c r="H33" s="137">
        <f>D33/$H$31</f>
        <v>0.10588031012902001</v>
      </c>
      <c r="I33" s="10">
        <f>H33*I31</f>
        <v>1617882.4793432239</v>
      </c>
    </row>
    <row r="34" spans="1:9" ht="15">
      <c r="A34" s="128" t="s">
        <v>470</v>
      </c>
      <c r="B34" s="128" t="s">
        <v>471</v>
      </c>
      <c r="C34" s="325">
        <v>1775399</v>
      </c>
      <c r="D34" s="325">
        <v>1743784</v>
      </c>
      <c r="E34" s="350">
        <f t="shared" si="4"/>
        <v>1796081.1557608189</v>
      </c>
      <c r="F34" s="351"/>
      <c r="H34" s="137">
        <f t="shared" ref="H34:H36" si="5">D34/$H$31</f>
        <v>0.11754230125913914</v>
      </c>
      <c r="I34" s="10">
        <f>H34*I31</f>
        <v>1796081.1557608189</v>
      </c>
    </row>
    <row r="35" spans="1:9" ht="15">
      <c r="A35" s="128" t="s">
        <v>472</v>
      </c>
      <c r="B35" s="128" t="s">
        <v>473</v>
      </c>
      <c r="C35" s="325">
        <v>487846</v>
      </c>
      <c r="D35" s="325">
        <v>479159</v>
      </c>
      <c r="E35" s="350">
        <f t="shared" si="4"/>
        <v>493529.27341528429</v>
      </c>
      <c r="F35" s="351"/>
      <c r="H35" s="137">
        <f t="shared" si="5"/>
        <v>3.2298410542262027E-2</v>
      </c>
      <c r="I35" s="10">
        <f>H35*I31</f>
        <v>493529.27341528429</v>
      </c>
    </row>
    <row r="36" spans="1:9" ht="15">
      <c r="A36" s="128" t="s">
        <v>474</v>
      </c>
      <c r="B36" s="128" t="s">
        <v>475</v>
      </c>
      <c r="C36" s="325">
        <v>85809</v>
      </c>
      <c r="D36" s="325">
        <v>84281</v>
      </c>
      <c r="E36" s="350">
        <f t="shared" si="4"/>
        <v>86808.63907954056</v>
      </c>
      <c r="F36" s="351"/>
      <c r="H36" s="137">
        <f t="shared" si="5"/>
        <v>5.6810836046330884E-3</v>
      </c>
      <c r="I36" s="10">
        <f>H36*I31</f>
        <v>86808.63907954056</v>
      </c>
    </row>
    <row r="37" spans="1:9" ht="15">
      <c r="A37" s="128" t="s">
        <v>476</v>
      </c>
      <c r="B37" s="128" t="s">
        <v>477</v>
      </c>
      <c r="C37" s="325">
        <v>1726937</v>
      </c>
      <c r="D37" s="325">
        <v>1326689</v>
      </c>
      <c r="E37" s="350">
        <f>1254839+100000</f>
        <v>1354839</v>
      </c>
      <c r="F37" s="351"/>
      <c r="I37" s="355"/>
    </row>
    <row r="38" spans="1:9" ht="15">
      <c r="A38" s="128" t="s">
        <v>478</v>
      </c>
      <c r="B38" s="128" t="s">
        <v>479</v>
      </c>
      <c r="C38" s="325">
        <v>39377</v>
      </c>
      <c r="D38" s="325">
        <v>40717</v>
      </c>
      <c r="E38" s="350">
        <v>39575</v>
      </c>
      <c r="F38" s="351"/>
      <c r="G38" s="137"/>
    </row>
    <row r="39" spans="1:9" ht="15">
      <c r="A39" s="128" t="s">
        <v>480</v>
      </c>
      <c r="B39" s="128" t="s">
        <v>481</v>
      </c>
      <c r="C39" s="325">
        <v>10396</v>
      </c>
      <c r="D39" s="325">
        <v>10831</v>
      </c>
      <c r="E39" s="350">
        <v>10300</v>
      </c>
      <c r="F39" s="351"/>
      <c r="G39" s="137"/>
      <c r="H39" s="139"/>
    </row>
    <row r="40" spans="1:9" ht="15">
      <c r="A40" s="128" t="s">
        <v>482</v>
      </c>
      <c r="B40" s="128" t="s">
        <v>483</v>
      </c>
      <c r="C40" s="325">
        <v>14040</v>
      </c>
      <c r="D40" s="325">
        <v>14644</v>
      </c>
      <c r="E40" s="350">
        <v>14098</v>
      </c>
      <c r="F40" s="351"/>
      <c r="G40" s="137"/>
    </row>
    <row r="41" spans="1:9" ht="15">
      <c r="A41" s="128" t="s">
        <v>484</v>
      </c>
      <c r="B41" s="128" t="s">
        <v>485</v>
      </c>
      <c r="C41" s="325">
        <v>4338</v>
      </c>
      <c r="D41" s="325">
        <v>4519</v>
      </c>
      <c r="E41" s="350">
        <v>4337</v>
      </c>
      <c r="F41" s="351"/>
      <c r="G41" s="137"/>
    </row>
    <row r="42" spans="1:9" ht="15">
      <c r="A42" s="128"/>
      <c r="B42" s="129" t="s">
        <v>467</v>
      </c>
      <c r="C42" s="328">
        <f>SUM(C32:C41)</f>
        <v>16750784</v>
      </c>
      <c r="D42" s="328">
        <f>SUM(D32:D41)</f>
        <v>16232774</v>
      </c>
      <c r="E42" s="328">
        <f>SUM(E32:E41)</f>
        <v>16703445</v>
      </c>
      <c r="F42" s="351"/>
    </row>
    <row r="43" spans="1:9" ht="15">
      <c r="A43" s="129" t="s">
        <v>486</v>
      </c>
      <c r="B43" s="129"/>
      <c r="C43" s="329"/>
      <c r="D43" s="329"/>
      <c r="E43" s="329"/>
      <c r="F43" s="351"/>
    </row>
    <row r="44" spans="1:9" ht="15">
      <c r="A44" s="128" t="s">
        <v>487</v>
      </c>
      <c r="B44" s="128" t="s">
        <v>488</v>
      </c>
      <c r="C44" s="329">
        <v>15000</v>
      </c>
      <c r="D44" s="329">
        <v>20000</v>
      </c>
      <c r="E44" s="329">
        <v>20000</v>
      </c>
      <c r="F44" s="351"/>
    </row>
    <row r="45" spans="1:9" ht="15">
      <c r="A45" s="129" t="s">
        <v>58</v>
      </c>
      <c r="B45" s="128"/>
      <c r="C45" s="325"/>
      <c r="D45" s="325"/>
      <c r="E45" s="325"/>
      <c r="F45" s="351"/>
    </row>
    <row r="46" spans="1:9" ht="15">
      <c r="A46" s="128" t="s">
        <v>489</v>
      </c>
      <c r="B46" s="128"/>
      <c r="C46" s="325">
        <v>600000</v>
      </c>
      <c r="D46" s="325">
        <v>600000</v>
      </c>
      <c r="E46" s="325">
        <v>700000</v>
      </c>
      <c r="F46" s="351"/>
    </row>
    <row r="47" spans="1:9" ht="15">
      <c r="A47" s="128" t="s">
        <v>94</v>
      </c>
      <c r="B47" s="128"/>
      <c r="C47" s="325"/>
      <c r="D47" s="325">
        <v>10000</v>
      </c>
      <c r="E47" s="325">
        <v>10000</v>
      </c>
      <c r="F47" s="351"/>
    </row>
    <row r="48" spans="1:9" ht="15">
      <c r="A48" s="128" t="s">
        <v>90</v>
      </c>
      <c r="B48" s="128"/>
      <c r="C48" s="325">
        <v>110000</v>
      </c>
      <c r="D48" s="325">
        <v>110000</v>
      </c>
      <c r="E48" s="325">
        <v>110000</v>
      </c>
      <c r="F48" s="351"/>
    </row>
    <row r="49" spans="1:6" ht="15">
      <c r="A49" s="128" t="s">
        <v>490</v>
      </c>
      <c r="B49" s="128"/>
      <c r="C49" s="325">
        <v>50000</v>
      </c>
      <c r="D49" s="325">
        <v>60000</v>
      </c>
      <c r="E49" s="325">
        <v>60000</v>
      </c>
      <c r="F49" s="351"/>
    </row>
    <row r="50" spans="1:6" ht="15">
      <c r="A50" s="128"/>
      <c r="B50" s="129" t="s">
        <v>494</v>
      </c>
      <c r="C50" s="328">
        <f>SUM(C46:C49)</f>
        <v>760000</v>
      </c>
      <c r="D50" s="328">
        <f>SUM(D46:D49)</f>
        <v>780000</v>
      </c>
      <c r="E50" s="328">
        <f>SUM(E46:E49)</f>
        <v>880000</v>
      </c>
      <c r="F50" s="351"/>
    </row>
    <row r="51" spans="1:6" ht="15">
      <c r="A51" s="128"/>
      <c r="B51" s="128"/>
      <c r="C51" s="325"/>
      <c r="D51" s="325"/>
      <c r="E51" s="325"/>
      <c r="F51" s="351"/>
    </row>
    <row r="52" spans="1:6" ht="19.5" thickBot="1">
      <c r="A52" s="130"/>
      <c r="B52" s="131" t="s">
        <v>491</v>
      </c>
      <c r="C52" s="330">
        <f>C50+C44+C42+C30+C8</f>
        <v>23875482</v>
      </c>
      <c r="D52" s="330">
        <f>D50+D44+D42+D30+D8</f>
        <v>23593680</v>
      </c>
      <c r="E52" s="330">
        <f>E50+E44+E42+E30+E8</f>
        <v>24291748</v>
      </c>
      <c r="F52" s="354"/>
    </row>
    <row r="53" spans="1:6" ht="15.75" thickTop="1">
      <c r="A53" s="128"/>
      <c r="B53" s="128"/>
      <c r="C53" s="325"/>
      <c r="D53" s="325"/>
      <c r="E53" s="325"/>
      <c r="F53" s="351"/>
    </row>
  </sheetData>
  <printOptions horizontalCentered="1"/>
  <pageMargins left="0" right="0" top="0.25" bottom="0.25" header="0" footer="0"/>
  <pageSetup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AE38C-265F-4282-99AB-E01E011DBD96}">
  <dimension ref="A1:D54"/>
  <sheetViews>
    <sheetView zoomScaleNormal="100" workbookViewId="0">
      <selection activeCell="D9" sqref="D9"/>
    </sheetView>
  </sheetViews>
  <sheetFormatPr defaultColWidth="9.140625" defaultRowHeight="15"/>
  <cols>
    <col min="1" max="4" width="28" style="11" customWidth="1"/>
    <col min="5" max="16384" width="9.140625" style="11"/>
  </cols>
  <sheetData>
    <row r="1" spans="1:4" s="150" customFormat="1" ht="28.5" customHeight="1">
      <c r="A1" s="153" t="s">
        <v>100</v>
      </c>
      <c r="B1" s="297"/>
      <c r="C1" s="294"/>
      <c r="D1" s="294"/>
    </row>
    <row r="2" spans="1:4" ht="28.5" customHeight="1">
      <c r="A2" s="148"/>
      <c r="B2" s="295"/>
      <c r="C2" s="295"/>
    </row>
    <row r="3" spans="1:4" ht="28.5" customHeight="1">
      <c r="A3" s="151"/>
      <c r="B3" s="155" t="s">
        <v>933</v>
      </c>
      <c r="C3" s="155" t="s">
        <v>934</v>
      </c>
      <c r="D3" s="155" t="s">
        <v>96</v>
      </c>
    </row>
    <row r="4" spans="1:4" ht="28.5" customHeight="1">
      <c r="A4" s="152" t="s">
        <v>519</v>
      </c>
      <c r="B4" s="154">
        <v>6369828</v>
      </c>
      <c r="C4" s="154">
        <v>6497225</v>
      </c>
      <c r="D4" s="299">
        <f>C4-B4</f>
        <v>127397</v>
      </c>
    </row>
    <row r="5" spans="1:4" ht="28.5" customHeight="1">
      <c r="A5" s="152" t="s">
        <v>420</v>
      </c>
      <c r="B5" s="154">
        <v>191078</v>
      </c>
      <c r="C5" s="154">
        <v>191078</v>
      </c>
      <c r="D5" s="299">
        <f>C5-B5</f>
        <v>0</v>
      </c>
    </row>
    <row r="6" spans="1:4" ht="28.5" customHeight="1">
      <c r="A6" s="152" t="s">
        <v>465</v>
      </c>
      <c r="B6" s="154">
        <v>16232774</v>
      </c>
      <c r="C6" s="154">
        <v>16703445</v>
      </c>
      <c r="D6" s="299">
        <f t="shared" ref="D6:D8" si="0">C6-B6</f>
        <v>470671</v>
      </c>
    </row>
    <row r="7" spans="1:4" ht="28.5" customHeight="1">
      <c r="A7" s="152" t="s">
        <v>486</v>
      </c>
      <c r="B7" s="154">
        <v>20000</v>
      </c>
      <c r="C7" s="154">
        <v>20000</v>
      </c>
      <c r="D7" s="299">
        <f t="shared" si="0"/>
        <v>0</v>
      </c>
    </row>
    <row r="8" spans="1:4" ht="28.5" customHeight="1">
      <c r="A8" s="152" t="s">
        <v>58</v>
      </c>
      <c r="B8" s="154">
        <v>780000</v>
      </c>
      <c r="C8" s="154">
        <v>880000</v>
      </c>
      <c r="D8" s="299">
        <f t="shared" si="0"/>
        <v>100000</v>
      </c>
    </row>
    <row r="9" spans="1:4" ht="28.5" customHeight="1">
      <c r="A9" s="152" t="s">
        <v>520</v>
      </c>
      <c r="B9" s="154">
        <f t="shared" ref="B9" si="1">SUM(B4:B8)</f>
        <v>23593680</v>
      </c>
      <c r="C9" s="154">
        <f t="shared" ref="C9:D9" si="2">SUM(C4:C8)</f>
        <v>24291748</v>
      </c>
      <c r="D9" s="299">
        <f t="shared" si="2"/>
        <v>698068</v>
      </c>
    </row>
    <row r="10" spans="1:4" ht="15.75">
      <c r="A10" s="148"/>
    </row>
    <row r="11" spans="1:4" ht="15.75">
      <c r="A11" s="148"/>
    </row>
    <row r="12" spans="1:4" ht="15.75">
      <c r="A12" s="148"/>
    </row>
    <row r="13" spans="1:4" ht="15.75">
      <c r="A13" s="148"/>
    </row>
    <row r="14" spans="1:4" ht="15.75">
      <c r="A14" s="148"/>
    </row>
    <row r="15" spans="1:4" ht="15.75">
      <c r="A15" s="148"/>
    </row>
    <row r="16" spans="1:4" ht="15.75">
      <c r="A16" s="148"/>
    </row>
    <row r="17" spans="1:1" ht="15.75">
      <c r="A17" s="148"/>
    </row>
    <row r="18" spans="1:1" ht="15.75">
      <c r="A18" s="148"/>
    </row>
    <row r="19" spans="1:1" ht="15.75">
      <c r="A19" s="148"/>
    </row>
    <row r="20" spans="1:1" ht="15.75">
      <c r="A20" s="148"/>
    </row>
    <row r="21" spans="1:1" ht="15.75">
      <c r="A21" s="148"/>
    </row>
    <row r="22" spans="1:1" ht="15.75">
      <c r="A22" s="148"/>
    </row>
    <row r="23" spans="1:1" ht="15.75">
      <c r="A23" s="148"/>
    </row>
    <row r="24" spans="1:1" ht="15.75">
      <c r="A24" s="148"/>
    </row>
    <row r="25" spans="1:1" ht="15.75">
      <c r="A25" s="148"/>
    </row>
    <row r="26" spans="1:1" ht="15.75">
      <c r="A26" s="148"/>
    </row>
    <row r="27" spans="1:1" ht="15.75">
      <c r="A27" s="148"/>
    </row>
    <row r="28" spans="1:1" ht="15.75">
      <c r="A28" s="148"/>
    </row>
    <row r="29" spans="1:1" ht="15.75">
      <c r="A29" s="148"/>
    </row>
    <row r="30" spans="1:1" ht="15.75">
      <c r="A30" s="148"/>
    </row>
    <row r="31" spans="1:1" ht="15.75">
      <c r="A31" s="148"/>
    </row>
    <row r="32" spans="1:1" ht="15.75">
      <c r="A32" s="148"/>
    </row>
    <row r="33" spans="1:1" ht="15.75">
      <c r="A33" s="148"/>
    </row>
    <row r="34" spans="1:1" ht="15.75">
      <c r="A34" s="149"/>
    </row>
    <row r="35" spans="1:1" ht="15.75">
      <c r="A35" s="149"/>
    </row>
    <row r="36" spans="1:1" ht="15.75">
      <c r="A36" s="148"/>
    </row>
    <row r="37" spans="1:1" ht="15.75">
      <c r="A37" s="148"/>
    </row>
    <row r="38" spans="1:1" ht="15.75">
      <c r="A38" s="148"/>
    </row>
    <row r="39" spans="1:1" ht="15.75">
      <c r="A39" s="148"/>
    </row>
    <row r="40" spans="1:1" ht="15.75">
      <c r="A40" s="148"/>
    </row>
    <row r="41" spans="1:1" ht="15.75">
      <c r="A41" s="148"/>
    </row>
    <row r="42" spans="1:1" ht="15.75">
      <c r="A42" s="148"/>
    </row>
    <row r="43" spans="1:1" ht="15.75">
      <c r="A43" s="148"/>
    </row>
    <row r="44" spans="1:1" ht="15.75">
      <c r="A44" s="148"/>
    </row>
    <row r="45" spans="1:1" ht="15.75">
      <c r="A45" s="148"/>
    </row>
    <row r="46" spans="1:1" ht="15.75">
      <c r="A46" s="148"/>
    </row>
    <row r="47" spans="1:1" ht="15.75">
      <c r="A47" s="148"/>
    </row>
    <row r="48" spans="1:1" ht="15.75">
      <c r="A48" s="148"/>
    </row>
    <row r="49" spans="1:1" ht="15.75">
      <c r="A49" s="148"/>
    </row>
    <row r="50" spans="1:1" ht="15.75">
      <c r="A50" s="148"/>
    </row>
    <row r="51" spans="1:1" ht="15.75">
      <c r="A51" s="148"/>
    </row>
    <row r="52" spans="1:1" ht="15.75">
      <c r="A52" s="148"/>
    </row>
    <row r="53" spans="1:1" ht="15.75">
      <c r="A53" s="148"/>
    </row>
    <row r="54" spans="1:1" ht="15.75">
      <c r="A54" s="148"/>
    </row>
  </sheetData>
  <printOptions horizontalCentered="1"/>
  <pageMargins left="0" right="0" top="0.25" bottom="0.25" header="0" footer="0"/>
  <pageSetup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1E6DF-26C6-4A9E-BD0C-19F8C3B56C0A}">
  <dimension ref="A2:H35"/>
  <sheetViews>
    <sheetView zoomScaleNormal="100" workbookViewId="0">
      <selection activeCell="G25" sqref="G25"/>
    </sheetView>
  </sheetViews>
  <sheetFormatPr defaultRowHeight="16.5" customHeight="1"/>
  <cols>
    <col min="1" max="1" width="36.42578125" style="267" customWidth="1"/>
    <col min="2" max="2" width="21.42578125" style="267" customWidth="1"/>
    <col min="3" max="3" width="19.85546875" style="267" customWidth="1"/>
    <col min="4" max="4" width="26.140625" style="267" customWidth="1"/>
    <col min="5" max="5" width="5.85546875" style="267" customWidth="1"/>
    <col min="6" max="6" width="17.5703125" style="268" customWidth="1"/>
    <col min="7" max="7" width="17.140625" style="334" customWidth="1"/>
    <col min="8" max="8" width="11.7109375" style="267" customWidth="1"/>
  </cols>
  <sheetData>
    <row r="2" spans="1:7" ht="12.75">
      <c r="A2" s="264" t="s">
        <v>944</v>
      </c>
      <c r="B2" s="265"/>
      <c r="C2" s="265"/>
      <c r="D2" s="265"/>
      <c r="E2" s="265"/>
      <c r="F2" s="266"/>
      <c r="G2" s="332"/>
    </row>
    <row r="3" spans="1:7" ht="12.75">
      <c r="A3" s="264"/>
      <c r="B3" s="265"/>
      <c r="C3" s="265"/>
      <c r="D3" s="265"/>
      <c r="E3" s="265"/>
      <c r="F3" s="266"/>
      <c r="G3" s="332"/>
    </row>
    <row r="4" spans="1:7" ht="12.75">
      <c r="A4" s="2" t="s">
        <v>100</v>
      </c>
      <c r="B4" s="2"/>
      <c r="C4" s="2"/>
      <c r="D4" s="2" t="s">
        <v>561</v>
      </c>
      <c r="E4" s="2"/>
      <c r="G4" s="356" t="s">
        <v>846</v>
      </c>
    </row>
    <row r="5" spans="1:7" ht="12.75">
      <c r="A5" s="269" t="s">
        <v>935</v>
      </c>
      <c r="B5" s="267">
        <v>16458445</v>
      </c>
      <c r="C5" s="269"/>
      <c r="D5" s="269" t="s">
        <v>121</v>
      </c>
      <c r="E5" s="270"/>
      <c r="F5" s="335">
        <v>141225</v>
      </c>
      <c r="G5" s="334">
        <v>-4000</v>
      </c>
    </row>
    <row r="6" spans="1:7" ht="12.75">
      <c r="A6" s="269" t="s">
        <v>562</v>
      </c>
      <c r="B6" s="267">
        <v>700000</v>
      </c>
      <c r="D6" s="269" t="s">
        <v>563</v>
      </c>
      <c r="E6" s="270"/>
      <c r="F6" s="335">
        <v>242070</v>
      </c>
      <c r="G6" s="334">
        <v>-5000</v>
      </c>
    </row>
    <row r="7" spans="1:7" ht="12.75">
      <c r="A7" s="269" t="s">
        <v>564</v>
      </c>
      <c r="B7" s="267">
        <v>95000</v>
      </c>
      <c r="D7" s="269" t="s">
        <v>543</v>
      </c>
      <c r="E7" s="270"/>
      <c r="F7" s="335">
        <v>49800</v>
      </c>
      <c r="G7" s="334">
        <v>-3000</v>
      </c>
    </row>
    <row r="8" spans="1:7" ht="12.75">
      <c r="A8" s="269" t="s">
        <v>420</v>
      </c>
      <c r="B8" s="267">
        <v>191078</v>
      </c>
      <c r="D8" s="269" t="s">
        <v>544</v>
      </c>
      <c r="E8" s="270"/>
      <c r="F8" s="335">
        <v>172575</v>
      </c>
      <c r="G8" s="334">
        <v>-7000</v>
      </c>
    </row>
    <row r="9" spans="1:7" ht="12.75">
      <c r="A9" s="269" t="s">
        <v>486</v>
      </c>
      <c r="B9" s="267">
        <v>20000</v>
      </c>
      <c r="D9" s="269" t="s">
        <v>565</v>
      </c>
      <c r="E9" s="270"/>
      <c r="F9" s="335">
        <v>389280</v>
      </c>
      <c r="G9" s="334">
        <v>-3000</v>
      </c>
    </row>
    <row r="10" spans="1:7" ht="12.75">
      <c r="A10" s="269" t="s">
        <v>936</v>
      </c>
      <c r="B10" s="267">
        <v>6369828</v>
      </c>
      <c r="D10" s="269" t="s">
        <v>546</v>
      </c>
      <c r="E10" s="270"/>
      <c r="F10" s="335">
        <v>911000</v>
      </c>
      <c r="G10" s="334">
        <v>-15000</v>
      </c>
    </row>
    <row r="11" spans="1:7" ht="12.75">
      <c r="A11" s="1" t="s">
        <v>566</v>
      </c>
      <c r="B11" s="267">
        <v>10000</v>
      </c>
      <c r="D11" s="269" t="s">
        <v>122</v>
      </c>
      <c r="E11" s="270"/>
      <c r="F11" s="335">
        <v>352300</v>
      </c>
      <c r="G11" s="334">
        <v>-8000</v>
      </c>
    </row>
    <row r="12" spans="1:7" ht="12.75">
      <c r="A12" s="269" t="s">
        <v>567</v>
      </c>
      <c r="B12" s="267">
        <v>110000</v>
      </c>
      <c r="D12" s="269" t="s">
        <v>547</v>
      </c>
      <c r="E12" s="270"/>
      <c r="F12" s="335">
        <v>2575898</v>
      </c>
      <c r="G12" s="333">
        <v>0</v>
      </c>
    </row>
    <row r="13" spans="1:7" ht="12.75">
      <c r="A13" s="269" t="s">
        <v>568</v>
      </c>
      <c r="B13" s="267">
        <v>60000</v>
      </c>
      <c r="D13" s="269" t="s">
        <v>55</v>
      </c>
      <c r="E13" s="270"/>
      <c r="F13" s="335">
        <v>483000</v>
      </c>
      <c r="G13" s="333">
        <v>0</v>
      </c>
    </row>
    <row r="14" spans="1:7" ht="12.75">
      <c r="A14" s="2"/>
      <c r="B14" s="271">
        <f>SUM(B5:B13)</f>
        <v>24014351</v>
      </c>
      <c r="C14" s="7"/>
      <c r="D14" s="269" t="s">
        <v>128</v>
      </c>
      <c r="E14" s="270"/>
      <c r="F14" s="335">
        <v>3810256</v>
      </c>
      <c r="G14" s="336">
        <v>-20000</v>
      </c>
    </row>
    <row r="15" spans="1:7" ht="12.75">
      <c r="A15" s="2" t="s">
        <v>569</v>
      </c>
      <c r="B15" s="7"/>
      <c r="C15" s="7"/>
      <c r="D15" s="269" t="s">
        <v>60</v>
      </c>
      <c r="E15" s="270"/>
      <c r="F15" s="358">
        <v>10513325</v>
      </c>
      <c r="G15" s="336">
        <f>-386027-100000</f>
        <v>-486027</v>
      </c>
    </row>
    <row r="16" spans="1:7" ht="12.75">
      <c r="A16" s="269" t="s">
        <v>847</v>
      </c>
      <c r="B16" s="272">
        <v>150000</v>
      </c>
      <c r="C16" s="272"/>
      <c r="D16" s="269" t="s">
        <v>570</v>
      </c>
      <c r="E16" s="270"/>
      <c r="F16" s="358">
        <v>5258515</v>
      </c>
      <c r="G16" s="337">
        <f>-59412+2943</f>
        <v>-56469</v>
      </c>
    </row>
    <row r="17" spans="1:7" ht="12.75">
      <c r="A17" s="269" t="s">
        <v>937</v>
      </c>
      <c r="B17" s="272">
        <v>127397</v>
      </c>
      <c r="C17" s="272"/>
      <c r="D17" s="269"/>
      <c r="E17" s="270"/>
      <c r="F17" s="272"/>
      <c r="G17" s="337"/>
    </row>
    <row r="18" spans="1:7" ht="13.5" thickBot="1">
      <c r="A18" s="274" t="s">
        <v>938</v>
      </c>
      <c r="B18" s="4">
        <f>B17+B16+B14</f>
        <v>24291748</v>
      </c>
      <c r="C18" s="272"/>
      <c r="D18" s="2" t="s">
        <v>939</v>
      </c>
      <c r="E18" s="2"/>
      <c r="F18" s="4">
        <f>SUM(F5:F16)</f>
        <v>24899244</v>
      </c>
      <c r="G18" s="338">
        <f>SUM(G5:G16)</f>
        <v>-607496</v>
      </c>
    </row>
    <row r="19" spans="1:7" s="267" customFormat="1" ht="13.5" thickTop="1">
      <c r="C19" s="272"/>
      <c r="D19" s="2"/>
      <c r="E19" s="2"/>
      <c r="F19" s="7"/>
      <c r="G19" s="339">
        <f>F18+G18</f>
        <v>24291748</v>
      </c>
    </row>
    <row r="20" spans="1:7" s="267" customFormat="1" ht="12.75">
      <c r="A20" s="274"/>
      <c r="B20" s="7"/>
      <c r="C20" s="272"/>
      <c r="D20" s="275" t="s">
        <v>571</v>
      </c>
      <c r="E20" s="2"/>
      <c r="F20" s="7"/>
      <c r="G20" s="337"/>
    </row>
    <row r="21" spans="1:7" s="267" customFormat="1" ht="12.75">
      <c r="A21" s="274"/>
      <c r="B21" s="7"/>
      <c r="C21" s="7"/>
      <c r="D21" s="275" t="s">
        <v>572</v>
      </c>
      <c r="E21" s="276"/>
      <c r="F21" s="272"/>
      <c r="G21" s="337"/>
    </row>
    <row r="22" spans="1:7" s="267" customFormat="1" ht="12.75">
      <c r="A22" s="2"/>
      <c r="B22" s="7"/>
      <c r="C22" s="7"/>
      <c r="F22" s="268"/>
      <c r="G22" s="334"/>
    </row>
    <row r="23" spans="1:7" s="267" customFormat="1" ht="12.75">
      <c r="B23" s="264" t="s">
        <v>940</v>
      </c>
      <c r="C23" s="277"/>
      <c r="D23" s="265"/>
      <c r="E23" s="265"/>
      <c r="F23" s="266"/>
      <c r="G23" s="334"/>
    </row>
    <row r="24" spans="1:7" s="267" customFormat="1" ht="12.75">
      <c r="B24" s="264"/>
      <c r="C24" s="277"/>
      <c r="D24" s="265"/>
      <c r="E24" s="265"/>
      <c r="F24" s="266"/>
      <c r="G24" s="334"/>
    </row>
    <row r="25" spans="1:7" s="267" customFormat="1" ht="38.25">
      <c r="A25" s="278"/>
      <c r="B25" s="279" t="s">
        <v>931</v>
      </c>
      <c r="C25" s="279" t="s">
        <v>941</v>
      </c>
      <c r="D25" s="279" t="s">
        <v>942</v>
      </c>
      <c r="E25" s="278"/>
      <c r="F25" s="279"/>
      <c r="G25" s="334"/>
    </row>
    <row r="26" spans="1:7" s="267" customFormat="1" ht="12.75">
      <c r="A26" s="2"/>
      <c r="C26" s="268"/>
      <c r="D26" s="268"/>
      <c r="E26" s="269"/>
      <c r="F26" s="268"/>
      <c r="G26" s="334"/>
    </row>
    <row r="27" spans="1:7" s="267" customFormat="1" ht="12.75">
      <c r="A27" s="280"/>
      <c r="B27" s="281">
        <v>23593680</v>
      </c>
      <c r="C27" s="282">
        <v>24164351</v>
      </c>
      <c r="D27" s="282">
        <f>B18</f>
        <v>24291748</v>
      </c>
      <c r="E27" s="281"/>
      <c r="F27" s="282">
        <f>D27-B27</f>
        <v>698068</v>
      </c>
      <c r="G27" s="334"/>
    </row>
    <row r="28" spans="1:7" s="267" customFormat="1" ht="12.75">
      <c r="A28" s="283"/>
      <c r="C28" s="284"/>
      <c r="D28" s="284"/>
      <c r="F28" s="287">
        <f>F27/B27</f>
        <v>2.9587075860993284E-2</v>
      </c>
      <c r="G28" s="334"/>
    </row>
    <row r="29" spans="1:7" s="267" customFormat="1" ht="12.75">
      <c r="A29" s="285"/>
      <c r="B29" s="269" t="s">
        <v>573</v>
      </c>
      <c r="C29" s="286">
        <f>C27-B27</f>
        <v>570671</v>
      </c>
      <c r="D29" s="286">
        <f>D27-B27</f>
        <v>698068</v>
      </c>
      <c r="E29" s="269"/>
      <c r="F29" s="286"/>
      <c r="G29" s="334"/>
    </row>
    <row r="30" spans="1:7" s="267" customFormat="1" ht="12.75">
      <c r="A30" s="283"/>
      <c r="C30" s="284"/>
      <c r="D30" s="284"/>
      <c r="F30" s="284"/>
      <c r="G30" s="334"/>
    </row>
    <row r="31" spans="1:7" s="267" customFormat="1" ht="12.75">
      <c r="B31" s="269" t="s">
        <v>574</v>
      </c>
      <c r="C31" s="287">
        <f>C29/B27</f>
        <v>2.4187451893897011E-2</v>
      </c>
      <c r="D31" s="287">
        <f>D29/B27</f>
        <v>2.9587075860993284E-2</v>
      </c>
      <c r="E31" s="268"/>
      <c r="F31" s="287"/>
      <c r="G31" s="334"/>
    </row>
    <row r="32" spans="1:7" s="267" customFormat="1" ht="12.75">
      <c r="A32" s="288"/>
      <c r="F32" s="273"/>
      <c r="G32" s="334"/>
    </row>
    <row r="33" spans="1:7" s="267" customFormat="1" ht="12.75">
      <c r="B33" s="274" t="s">
        <v>575</v>
      </c>
      <c r="C33" s="289">
        <f>G19-C27</f>
        <v>127397</v>
      </c>
      <c r="D33" s="289">
        <f>G19-D27</f>
        <v>0</v>
      </c>
      <c r="E33" s="290"/>
      <c r="F33" s="291"/>
      <c r="G33" s="334"/>
    </row>
    <row r="34" spans="1:7" s="267" customFormat="1" ht="12.75">
      <c r="A34" s="292"/>
      <c r="B34" s="292"/>
      <c r="C34" s="292"/>
      <c r="D34" s="292"/>
      <c r="E34" s="292"/>
      <c r="F34" s="292"/>
      <c r="G34" s="340"/>
    </row>
    <row r="35" spans="1:7" s="267" customFormat="1" ht="12.75">
      <c r="A35" s="2" t="s">
        <v>943</v>
      </c>
      <c r="F35" s="268"/>
      <c r="G35" s="334"/>
    </row>
  </sheetData>
  <pageMargins left="0.7" right="0.7" top="0.75" bottom="0.75" header="0.3" footer="0.3"/>
  <pageSetup scale="8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1CCA8-5573-4EB4-9A39-112FBD7F59B9}">
  <dimension ref="A1:DZ44"/>
  <sheetViews>
    <sheetView zoomScaleNormal="100" workbookViewId="0">
      <selection activeCell="T23" sqref="T23"/>
    </sheetView>
  </sheetViews>
  <sheetFormatPr defaultColWidth="9.7109375" defaultRowHeight="12.75"/>
  <cols>
    <col min="1" max="1" width="18.7109375" customWidth="1"/>
    <col min="2" max="2" width="11.85546875" style="241" hidden="1" customWidth="1"/>
    <col min="3" max="3" width="11.140625" style="220" hidden="1" customWidth="1"/>
    <col min="4" max="7" width="12.7109375" style="255" hidden="1" customWidth="1"/>
    <col min="8" max="8" width="15.42578125" style="256" hidden="1" customWidth="1"/>
    <col min="9" max="14" width="15.42578125" style="220" hidden="1" customWidth="1"/>
    <col min="15" max="18" width="15.42578125" style="220" customWidth="1"/>
    <col min="19" max="19" width="15.42578125" style="221" customWidth="1"/>
    <col min="20" max="20" width="12.7109375" style="237" customWidth="1"/>
    <col min="21" max="21" width="12.7109375" customWidth="1"/>
    <col min="22" max="22" width="8.42578125" style="5" hidden="1" customWidth="1"/>
    <col min="23" max="23" width="10.85546875" style="1" bestFit="1" customWidth="1"/>
    <col min="24" max="24" width="11.28515625" bestFit="1" customWidth="1"/>
    <col min="26" max="26" width="9.7109375" style="3"/>
  </cols>
  <sheetData>
    <row r="1" spans="1:130" s="171" customFormat="1" ht="15.75" thickTop="1">
      <c r="A1" s="156"/>
      <c r="B1" s="157"/>
      <c r="C1" s="158"/>
      <c r="D1" s="159"/>
      <c r="E1" s="159"/>
      <c r="F1" s="159"/>
      <c r="G1" s="159"/>
      <c r="H1" s="160"/>
      <c r="I1" s="161"/>
      <c r="J1" s="161"/>
      <c r="K1" s="161"/>
      <c r="L1" s="162"/>
      <c r="M1" s="163"/>
      <c r="N1" s="164"/>
      <c r="O1" s="341"/>
      <c r="P1" s="165"/>
      <c r="Q1" s="165"/>
      <c r="R1" s="165"/>
      <c r="S1" s="165"/>
      <c r="T1" s="166" t="s">
        <v>521</v>
      </c>
      <c r="U1" s="167" t="s">
        <v>522</v>
      </c>
      <c r="V1" s="168">
        <v>0.1</v>
      </c>
      <c r="W1" s="169"/>
      <c r="X1" s="170"/>
      <c r="Y1" s="170"/>
      <c r="Z1" s="392"/>
      <c r="AA1" s="170"/>
      <c r="AB1" s="170"/>
      <c r="AC1" s="170"/>
      <c r="AD1" s="170"/>
      <c r="AE1" s="170"/>
      <c r="AF1" s="170"/>
      <c r="AG1" s="170"/>
      <c r="AH1" s="170"/>
      <c r="AI1" s="170"/>
      <c r="AJ1" s="170"/>
      <c r="AK1" s="170"/>
      <c r="AL1" s="170"/>
      <c r="AM1" s="170"/>
      <c r="AN1" s="170"/>
      <c r="AO1" s="170"/>
      <c r="AP1" s="170"/>
      <c r="AQ1" s="170"/>
      <c r="AR1" s="170"/>
      <c r="AS1" s="170"/>
      <c r="AT1" s="170"/>
      <c r="AU1" s="170"/>
      <c r="AV1" s="170"/>
      <c r="AW1" s="170"/>
      <c r="AX1" s="170"/>
      <c r="AY1" s="170"/>
      <c r="AZ1" s="170"/>
      <c r="BA1" s="170"/>
      <c r="BB1" s="170"/>
      <c r="BC1" s="170"/>
      <c r="BD1" s="170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  <c r="BT1" s="170"/>
      <c r="BU1" s="170"/>
      <c r="BV1" s="170"/>
      <c r="BW1" s="170"/>
      <c r="BX1" s="170"/>
      <c r="BY1" s="170"/>
      <c r="BZ1" s="170"/>
      <c r="CA1" s="170"/>
      <c r="CB1" s="170"/>
      <c r="CC1" s="170"/>
      <c r="CD1" s="170"/>
      <c r="CE1" s="170"/>
      <c r="CF1" s="170"/>
      <c r="CG1" s="170"/>
      <c r="CH1" s="170"/>
      <c r="CI1" s="170"/>
      <c r="CJ1" s="170"/>
      <c r="CK1" s="170"/>
      <c r="CL1" s="170"/>
      <c r="CM1" s="170"/>
      <c r="CN1" s="170"/>
      <c r="CO1" s="170"/>
      <c r="CP1" s="170"/>
      <c r="CQ1" s="170"/>
      <c r="CR1" s="170"/>
      <c r="CS1" s="170"/>
      <c r="CT1" s="170"/>
      <c r="CU1" s="170"/>
      <c r="CV1" s="170"/>
      <c r="CW1" s="170"/>
      <c r="CX1" s="170"/>
      <c r="CY1" s="170"/>
      <c r="CZ1" s="170"/>
      <c r="DA1" s="170"/>
      <c r="DB1" s="170"/>
      <c r="DC1" s="170"/>
      <c r="DD1" s="170"/>
      <c r="DE1" s="170"/>
      <c r="DF1" s="170"/>
      <c r="DG1" s="170"/>
      <c r="DH1" s="170"/>
      <c r="DI1" s="170"/>
      <c r="DJ1" s="170"/>
      <c r="DK1" s="170"/>
      <c r="DL1" s="170"/>
      <c r="DM1" s="170"/>
      <c r="DN1" s="170"/>
      <c r="DO1" s="170"/>
      <c r="DP1" s="170"/>
      <c r="DQ1" s="170"/>
      <c r="DR1" s="170"/>
      <c r="DS1" s="170"/>
      <c r="DT1" s="170"/>
      <c r="DU1" s="170"/>
      <c r="DV1" s="170"/>
      <c r="DW1" s="170"/>
      <c r="DX1" s="170"/>
      <c r="DY1" s="170"/>
      <c r="DZ1" s="170"/>
    </row>
    <row r="2" spans="1:130" s="171" customFormat="1" ht="15.75" thickBot="1">
      <c r="A2" s="172" t="s">
        <v>523</v>
      </c>
      <c r="B2" s="173" t="s">
        <v>524</v>
      </c>
      <c r="C2" s="174" t="s">
        <v>525</v>
      </c>
      <c r="D2" s="174" t="s">
        <v>526</v>
      </c>
      <c r="E2" s="174" t="s">
        <v>527</v>
      </c>
      <c r="F2" s="175" t="s">
        <v>528</v>
      </c>
      <c r="G2" s="175" t="s">
        <v>529</v>
      </c>
      <c r="H2" s="175" t="s">
        <v>530</v>
      </c>
      <c r="I2" s="176" t="s">
        <v>531</v>
      </c>
      <c r="J2" s="176" t="s">
        <v>532</v>
      </c>
      <c r="K2" s="176" t="s">
        <v>533</v>
      </c>
      <c r="L2" s="176" t="s">
        <v>534</v>
      </c>
      <c r="M2" s="177" t="s">
        <v>535</v>
      </c>
      <c r="N2" s="178" t="s">
        <v>536</v>
      </c>
      <c r="O2" s="178" t="s">
        <v>537</v>
      </c>
      <c r="P2" s="179" t="s">
        <v>538</v>
      </c>
      <c r="Q2" s="179" t="s">
        <v>539</v>
      </c>
      <c r="R2" s="179" t="s">
        <v>848</v>
      </c>
      <c r="S2" s="180" t="s">
        <v>1159</v>
      </c>
      <c r="T2" s="181" t="s">
        <v>540</v>
      </c>
      <c r="U2" s="182" t="s">
        <v>540</v>
      </c>
      <c r="V2" s="183" t="s">
        <v>541</v>
      </c>
      <c r="W2" s="169"/>
      <c r="X2" s="170"/>
      <c r="Y2" s="170"/>
      <c r="Z2" s="392"/>
      <c r="AA2" s="170"/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70"/>
      <c r="AM2" s="170"/>
      <c r="AN2" s="170"/>
      <c r="AO2" s="170"/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170"/>
      <c r="BN2" s="170"/>
      <c r="BO2" s="170"/>
      <c r="BP2" s="170"/>
      <c r="BQ2" s="170"/>
      <c r="BR2" s="170"/>
      <c r="BS2" s="170"/>
      <c r="BT2" s="170"/>
      <c r="BU2" s="170"/>
      <c r="BV2" s="170"/>
      <c r="BW2" s="170"/>
      <c r="BX2" s="170"/>
      <c r="BY2" s="170"/>
      <c r="BZ2" s="170"/>
      <c r="CA2" s="170"/>
      <c r="CB2" s="170"/>
      <c r="CC2" s="170"/>
      <c r="CD2" s="170"/>
      <c r="CE2" s="170"/>
      <c r="CF2" s="170"/>
      <c r="CG2" s="170"/>
      <c r="CH2" s="170"/>
      <c r="CI2" s="170"/>
      <c r="CJ2" s="170"/>
      <c r="CK2" s="170"/>
      <c r="CL2" s="170"/>
      <c r="CM2" s="170"/>
      <c r="CN2" s="170"/>
      <c r="CO2" s="170"/>
      <c r="CP2" s="170"/>
      <c r="CQ2" s="170"/>
      <c r="CR2" s="170"/>
      <c r="CS2" s="170"/>
      <c r="CT2" s="170"/>
      <c r="CU2" s="170"/>
      <c r="CV2" s="170"/>
      <c r="CW2" s="170"/>
      <c r="CX2" s="170"/>
      <c r="CY2" s="170"/>
      <c r="CZ2" s="170"/>
      <c r="DA2" s="170"/>
      <c r="DB2" s="170"/>
      <c r="DC2" s="170"/>
      <c r="DD2" s="170"/>
      <c r="DE2" s="170"/>
      <c r="DF2" s="170"/>
      <c r="DG2" s="170"/>
      <c r="DH2" s="170"/>
      <c r="DI2" s="170"/>
      <c r="DJ2" s="170"/>
      <c r="DK2" s="170"/>
      <c r="DL2" s="170"/>
      <c r="DM2" s="170"/>
      <c r="DN2" s="170"/>
      <c r="DO2" s="170"/>
      <c r="DP2" s="170"/>
      <c r="DQ2" s="170"/>
      <c r="DR2" s="170"/>
      <c r="DS2" s="170"/>
      <c r="DT2" s="170"/>
      <c r="DU2" s="170"/>
      <c r="DV2" s="170"/>
      <c r="DW2" s="170"/>
      <c r="DX2" s="170"/>
      <c r="DY2" s="170"/>
      <c r="DZ2" s="170"/>
    </row>
    <row r="3" spans="1:130">
      <c r="A3" s="184" t="s">
        <v>121</v>
      </c>
      <c r="B3" s="185">
        <v>61190</v>
      </c>
      <c r="C3" s="185">
        <v>61190</v>
      </c>
      <c r="D3" s="185">
        <v>54100</v>
      </c>
      <c r="E3" s="185">
        <v>54100</v>
      </c>
      <c r="F3" s="185">
        <v>55150</v>
      </c>
      <c r="G3" s="185">
        <v>54875</v>
      </c>
      <c r="H3" s="185">
        <v>55175</v>
      </c>
      <c r="I3" s="185">
        <v>56875</v>
      </c>
      <c r="J3" s="185">
        <v>57275</v>
      </c>
      <c r="K3" s="186">
        <v>61375</v>
      </c>
      <c r="L3" s="186">
        <v>81381</v>
      </c>
      <c r="M3" s="187">
        <v>57325</v>
      </c>
      <c r="N3" s="187">
        <v>67525</v>
      </c>
      <c r="O3" s="188">
        <v>94625</v>
      </c>
      <c r="P3" s="188">
        <v>107725</v>
      </c>
      <c r="Q3" s="188">
        <v>118225</v>
      </c>
      <c r="R3" s="188">
        <v>139525</v>
      </c>
      <c r="S3" s="189">
        <f>141225-4000</f>
        <v>137225</v>
      </c>
      <c r="T3" s="190">
        <f>S3-R3</f>
        <v>-2300</v>
      </c>
      <c r="U3" s="191">
        <f>T3/R3</f>
        <v>-1.6484500985486473E-2</v>
      </c>
      <c r="V3" s="192" t="e">
        <f>SUM(#REF!*0.1)</f>
        <v>#REF!</v>
      </c>
      <c r="W3" s="193"/>
    </row>
    <row r="4" spans="1:130">
      <c r="A4" s="194" t="s">
        <v>542</v>
      </c>
      <c r="B4" s="195">
        <v>107550</v>
      </c>
      <c r="C4" s="195">
        <v>108050</v>
      </c>
      <c r="D4" s="195">
        <v>107950</v>
      </c>
      <c r="E4" s="195">
        <v>101950</v>
      </c>
      <c r="F4" s="195">
        <v>101450</v>
      </c>
      <c r="G4" s="195">
        <v>100850</v>
      </c>
      <c r="H4" s="195">
        <v>102050</v>
      </c>
      <c r="I4" s="195">
        <v>105550</v>
      </c>
      <c r="J4" s="195">
        <v>105550</v>
      </c>
      <c r="K4" s="196">
        <v>72600</v>
      </c>
      <c r="L4" s="196">
        <v>72600</v>
      </c>
      <c r="M4" s="197">
        <v>72600</v>
      </c>
      <c r="N4" s="197">
        <v>61350</v>
      </c>
      <c r="O4" s="197">
        <v>75050</v>
      </c>
      <c r="P4" s="198">
        <v>174650</v>
      </c>
      <c r="Q4" s="198">
        <v>222970</v>
      </c>
      <c r="R4" s="198">
        <v>241470</v>
      </c>
      <c r="S4" s="199">
        <f>242070-5000</f>
        <v>237070</v>
      </c>
      <c r="T4" s="200">
        <f t="shared" ref="T4:T13" si="0">S4-R4</f>
        <v>-4400</v>
      </c>
      <c r="U4" s="201">
        <f t="shared" ref="U4:U13" si="1">T4/R4</f>
        <v>-1.8221725266078601E-2</v>
      </c>
      <c r="V4" s="192" t="e">
        <f>SUM(#REF!*0.1)</f>
        <v>#REF!</v>
      </c>
      <c r="W4" s="193"/>
    </row>
    <row r="5" spans="1:130">
      <c r="A5" s="194" t="s">
        <v>543</v>
      </c>
      <c r="B5" s="195">
        <v>71365</v>
      </c>
      <c r="C5" s="195">
        <v>71365</v>
      </c>
      <c r="D5" s="195">
        <v>71365</v>
      </c>
      <c r="E5" s="195">
        <v>60965</v>
      </c>
      <c r="F5" s="195">
        <v>59489</v>
      </c>
      <c r="G5" s="195">
        <v>62700</v>
      </c>
      <c r="H5" s="195">
        <v>62700</v>
      </c>
      <c r="I5" s="195">
        <v>62700</v>
      </c>
      <c r="J5" s="195">
        <v>62700</v>
      </c>
      <c r="K5" s="196">
        <v>33700</v>
      </c>
      <c r="L5" s="196">
        <v>34700</v>
      </c>
      <c r="M5" s="197">
        <v>34700</v>
      </c>
      <c r="N5" s="197">
        <v>28350</v>
      </c>
      <c r="O5" s="198">
        <v>31050</v>
      </c>
      <c r="P5" s="198">
        <v>33100</v>
      </c>
      <c r="Q5" s="198">
        <v>48300</v>
      </c>
      <c r="R5" s="198">
        <v>49800</v>
      </c>
      <c r="S5" s="199">
        <f>49800-3000</f>
        <v>46800</v>
      </c>
      <c r="T5" s="200">
        <f t="shared" si="0"/>
        <v>-3000</v>
      </c>
      <c r="U5" s="201">
        <f t="shared" si="1"/>
        <v>-6.0240963855421686E-2</v>
      </c>
      <c r="V5" s="192" t="e">
        <f>SUM(#REF!*0.1)</f>
        <v>#REF!</v>
      </c>
      <c r="W5" s="193"/>
    </row>
    <row r="6" spans="1:130" ht="13.5" thickBot="1">
      <c r="A6" s="194" t="s">
        <v>544</v>
      </c>
      <c r="B6" s="195">
        <v>134860</v>
      </c>
      <c r="C6" s="195">
        <v>139015</v>
      </c>
      <c r="D6" s="195">
        <v>138015</v>
      </c>
      <c r="E6" s="195">
        <v>137515</v>
      </c>
      <c r="F6" s="195">
        <v>137115</v>
      </c>
      <c r="G6" s="195">
        <v>129800</v>
      </c>
      <c r="H6" s="195">
        <v>131800</v>
      </c>
      <c r="I6" s="195">
        <v>131800</v>
      </c>
      <c r="J6" s="195">
        <v>131800</v>
      </c>
      <c r="K6" s="196">
        <v>200950</v>
      </c>
      <c r="L6" s="196">
        <v>200950</v>
      </c>
      <c r="M6" s="197">
        <v>184650</v>
      </c>
      <c r="N6" s="197">
        <v>161400</v>
      </c>
      <c r="O6" s="198">
        <v>166700</v>
      </c>
      <c r="P6" s="198">
        <v>176900</v>
      </c>
      <c r="Q6" s="198">
        <v>222175</v>
      </c>
      <c r="R6" s="198">
        <v>171675</v>
      </c>
      <c r="S6" s="199">
        <f>172575-7000</f>
        <v>165575</v>
      </c>
      <c r="T6" s="200">
        <f t="shared" si="0"/>
        <v>-6100</v>
      </c>
      <c r="U6" s="201">
        <f t="shared" si="1"/>
        <v>-3.5532255715741957E-2</v>
      </c>
      <c r="V6" s="192"/>
      <c r="W6" s="193"/>
    </row>
    <row r="7" spans="1:130">
      <c r="A7" s="194" t="s">
        <v>545</v>
      </c>
      <c r="B7" s="195">
        <v>196667</v>
      </c>
      <c r="C7" s="195">
        <v>198562</v>
      </c>
      <c r="D7" s="195">
        <v>195762</v>
      </c>
      <c r="E7" s="195">
        <v>193712</v>
      </c>
      <c r="F7" s="195">
        <f>190162+125000</f>
        <v>315162</v>
      </c>
      <c r="G7" s="195">
        <v>186993</v>
      </c>
      <c r="H7" s="195">
        <v>710293</v>
      </c>
      <c r="I7" s="195">
        <v>191823</v>
      </c>
      <c r="J7" s="195">
        <v>718801</v>
      </c>
      <c r="K7" s="196">
        <v>231801</v>
      </c>
      <c r="L7" s="196">
        <v>333401</v>
      </c>
      <c r="M7" s="197">
        <v>328601</v>
      </c>
      <c r="N7" s="197">
        <v>322875</v>
      </c>
      <c r="O7" s="198">
        <v>331375</v>
      </c>
      <c r="P7" s="198">
        <v>352675</v>
      </c>
      <c r="Q7" s="198">
        <v>362275</v>
      </c>
      <c r="R7" s="198">
        <v>339400</v>
      </c>
      <c r="S7" s="199">
        <f>389280-3000</f>
        <v>386280</v>
      </c>
      <c r="T7" s="200">
        <f t="shared" si="0"/>
        <v>46880</v>
      </c>
      <c r="U7" s="201">
        <f t="shared" si="1"/>
        <v>0.13812610489098409</v>
      </c>
      <c r="V7" s="202" t="e">
        <f>SUM(#REF!*0.1)</f>
        <v>#REF!</v>
      </c>
      <c r="W7" s="193"/>
    </row>
    <row r="8" spans="1:130">
      <c r="A8" s="194" t="s">
        <v>546</v>
      </c>
      <c r="B8" s="195">
        <v>888000</v>
      </c>
      <c r="C8" s="195">
        <v>861000</v>
      </c>
      <c r="D8" s="195">
        <v>842000</v>
      </c>
      <c r="E8" s="195">
        <v>808808</v>
      </c>
      <c r="F8" s="195">
        <v>751808</v>
      </c>
      <c r="G8" s="195">
        <v>707308</v>
      </c>
      <c r="H8" s="195">
        <v>721308</v>
      </c>
      <c r="I8" s="195">
        <v>739808</v>
      </c>
      <c r="J8" s="195">
        <v>739808</v>
      </c>
      <c r="K8" s="196">
        <v>739808</v>
      </c>
      <c r="L8" s="196">
        <f>776808-12000</f>
        <v>764808</v>
      </c>
      <c r="M8" s="197">
        <v>769808</v>
      </c>
      <c r="N8" s="197">
        <v>799502</v>
      </c>
      <c r="O8" s="198">
        <v>849502</v>
      </c>
      <c r="P8" s="198">
        <v>945500</v>
      </c>
      <c r="Q8" s="198">
        <v>947500</v>
      </c>
      <c r="R8" s="198">
        <v>908500</v>
      </c>
      <c r="S8" s="199">
        <f>911000-15000</f>
        <v>896000</v>
      </c>
      <c r="T8" s="200">
        <f t="shared" si="0"/>
        <v>-12500</v>
      </c>
      <c r="U8" s="201">
        <f t="shared" si="1"/>
        <v>-1.3758943313153549E-2</v>
      </c>
      <c r="V8" s="192" t="e">
        <f>SUM(#REF!*0.1)</f>
        <v>#REF!</v>
      </c>
      <c r="W8" s="193"/>
    </row>
    <row r="9" spans="1:130">
      <c r="A9" s="194" t="s">
        <v>122</v>
      </c>
      <c r="B9" s="195">
        <v>238950</v>
      </c>
      <c r="C9" s="195">
        <v>202950</v>
      </c>
      <c r="D9" s="195">
        <v>202950</v>
      </c>
      <c r="E9" s="195">
        <v>206250</v>
      </c>
      <c r="F9" s="195">
        <v>203450</v>
      </c>
      <c r="G9" s="195">
        <v>212750</v>
      </c>
      <c r="H9" s="195">
        <v>200450</v>
      </c>
      <c r="I9" s="195">
        <v>202950</v>
      </c>
      <c r="J9" s="195">
        <v>231858</v>
      </c>
      <c r="K9" s="196">
        <v>231858</v>
      </c>
      <c r="L9" s="196">
        <f>230450-5000</f>
        <v>225450</v>
      </c>
      <c r="M9" s="197">
        <v>218450</v>
      </c>
      <c r="N9" s="197">
        <v>199250</v>
      </c>
      <c r="O9" s="198">
        <v>268150</v>
      </c>
      <c r="P9" s="198">
        <v>348650</v>
      </c>
      <c r="Q9" s="198">
        <v>352700</v>
      </c>
      <c r="R9" s="198">
        <v>342300</v>
      </c>
      <c r="S9" s="199">
        <f>352300-8000</f>
        <v>344300</v>
      </c>
      <c r="T9" s="200">
        <f t="shared" si="0"/>
        <v>2000</v>
      </c>
      <c r="U9" s="201">
        <f t="shared" si="1"/>
        <v>5.8428279287174997E-3</v>
      </c>
      <c r="V9" s="203"/>
      <c r="W9" s="193"/>
    </row>
    <row r="10" spans="1:130">
      <c r="A10" s="194" t="s">
        <v>547</v>
      </c>
      <c r="B10" s="195">
        <v>1757069</v>
      </c>
      <c r="C10" s="195">
        <v>1778331</v>
      </c>
      <c r="D10" s="195">
        <v>1774424</v>
      </c>
      <c r="E10" s="195">
        <v>1776868</v>
      </c>
      <c r="F10" s="195">
        <v>1755702</v>
      </c>
      <c r="G10" s="195">
        <v>1752314</v>
      </c>
      <c r="H10" s="195">
        <v>1762146</v>
      </c>
      <c r="I10" s="195">
        <v>1846204</v>
      </c>
      <c r="J10" s="195">
        <v>2198952</v>
      </c>
      <c r="K10" s="196">
        <v>1644002</v>
      </c>
      <c r="L10" s="196">
        <v>1550348</v>
      </c>
      <c r="M10" s="197">
        <v>1528937</v>
      </c>
      <c r="N10" s="197">
        <v>1951210</v>
      </c>
      <c r="O10" s="198">
        <v>1881630</v>
      </c>
      <c r="P10" s="198">
        <v>1883147</v>
      </c>
      <c r="Q10" s="198">
        <v>2499000</v>
      </c>
      <c r="R10" s="198">
        <v>2196720</v>
      </c>
      <c r="S10" s="199">
        <v>2575898</v>
      </c>
      <c r="T10" s="200">
        <f t="shared" si="0"/>
        <v>379178</v>
      </c>
      <c r="U10" s="201">
        <f t="shared" si="1"/>
        <v>0.17261098364834845</v>
      </c>
      <c r="V10" s="203"/>
      <c r="W10" s="193"/>
    </row>
    <row r="11" spans="1:130">
      <c r="A11" s="194" t="s">
        <v>55</v>
      </c>
      <c r="B11" s="204">
        <v>466690</v>
      </c>
      <c r="C11" s="204">
        <v>441040</v>
      </c>
      <c r="D11" s="204">
        <v>312003</v>
      </c>
      <c r="E11" s="204">
        <v>211006</v>
      </c>
      <c r="F11" s="204">
        <v>279542</v>
      </c>
      <c r="G11" s="204">
        <v>272733</v>
      </c>
      <c r="H11" s="204">
        <f>369735+29500+7000</f>
        <v>406235</v>
      </c>
      <c r="I11" s="204">
        <v>252957</v>
      </c>
      <c r="J11" s="204">
        <v>467080</v>
      </c>
      <c r="K11" s="205">
        <v>456949</v>
      </c>
      <c r="L11" s="205">
        <v>379630</v>
      </c>
      <c r="M11" s="200">
        <v>440856</v>
      </c>
      <c r="N11" s="200">
        <v>447358</v>
      </c>
      <c r="O11" s="198">
        <v>607031</v>
      </c>
      <c r="P11" s="206">
        <v>575721</v>
      </c>
      <c r="Q11" s="206">
        <v>453194</v>
      </c>
      <c r="R11" s="206">
        <v>427557</v>
      </c>
      <c r="S11" s="207">
        <v>483000</v>
      </c>
      <c r="T11" s="200">
        <f t="shared" si="0"/>
        <v>55443</v>
      </c>
      <c r="U11" s="201">
        <f t="shared" si="1"/>
        <v>0.12967393821174722</v>
      </c>
      <c r="V11" s="192" t="e">
        <f>SUM(#REF!*0.1)</f>
        <v>#REF!</v>
      </c>
      <c r="W11" s="193"/>
    </row>
    <row r="12" spans="1:130">
      <c r="A12" s="208" t="s">
        <v>128</v>
      </c>
      <c r="B12" s="195">
        <v>1706542</v>
      </c>
      <c r="C12" s="195">
        <v>1435792</v>
      </c>
      <c r="D12" s="195">
        <v>1546114</v>
      </c>
      <c r="E12" s="195">
        <v>1680802</v>
      </c>
      <c r="F12" s="195">
        <v>1538669</v>
      </c>
      <c r="G12" s="195">
        <v>1770989</v>
      </c>
      <c r="H12" s="195">
        <v>1864485</v>
      </c>
      <c r="I12" s="195">
        <f>1929848+44985</f>
        <v>1974833</v>
      </c>
      <c r="J12" s="195">
        <v>2216341</v>
      </c>
      <c r="K12" s="196">
        <v>2330378</v>
      </c>
      <c r="L12" s="196">
        <v>2322930</v>
      </c>
      <c r="M12" s="197">
        <v>2632944</v>
      </c>
      <c r="N12" s="197">
        <v>2955960</v>
      </c>
      <c r="O12" s="198">
        <v>3113179</v>
      </c>
      <c r="P12" s="198">
        <v>3762975</v>
      </c>
      <c r="Q12" s="198">
        <v>3885342</v>
      </c>
      <c r="R12" s="198">
        <v>3894673</v>
      </c>
      <c r="S12" s="199">
        <f>3810256-20000</f>
        <v>3790256</v>
      </c>
      <c r="T12" s="200">
        <f t="shared" si="0"/>
        <v>-104417</v>
      </c>
      <c r="U12" s="201">
        <f t="shared" si="1"/>
        <v>-2.6810209740329934E-2</v>
      </c>
      <c r="V12" s="192" t="e">
        <f>SUM(#REF!*0.1)</f>
        <v>#REF!</v>
      </c>
      <c r="W12" s="193"/>
    </row>
    <row r="13" spans="1:130" ht="15.75" thickBot="1">
      <c r="A13" s="210" t="s">
        <v>548</v>
      </c>
      <c r="B13" s="211" t="e">
        <f>SUM(#REF!)</f>
        <v>#REF!</v>
      </c>
      <c r="C13" s="211" t="e">
        <f>SUM(#REF!)</f>
        <v>#REF!</v>
      </c>
      <c r="D13" s="211" t="e">
        <f>SUM(#REF!)</f>
        <v>#REF!</v>
      </c>
      <c r="E13" s="211">
        <f>SUM(E3:E12)</f>
        <v>5231976</v>
      </c>
      <c r="F13" s="211">
        <f t="shared" ref="F13:S13" si="2">SUM(F3:F12)</f>
        <v>5197537</v>
      </c>
      <c r="G13" s="211">
        <f t="shared" si="2"/>
        <v>5251312</v>
      </c>
      <c r="H13" s="211">
        <f t="shared" si="2"/>
        <v>6016642</v>
      </c>
      <c r="I13" s="211">
        <f t="shared" si="2"/>
        <v>5565500</v>
      </c>
      <c r="J13" s="211">
        <f t="shared" si="2"/>
        <v>6930165</v>
      </c>
      <c r="K13" s="212">
        <f t="shared" si="2"/>
        <v>6003421</v>
      </c>
      <c r="L13" s="212">
        <f t="shared" si="2"/>
        <v>5966198</v>
      </c>
      <c r="M13" s="213">
        <f t="shared" si="2"/>
        <v>6268871</v>
      </c>
      <c r="N13" s="213">
        <f t="shared" si="2"/>
        <v>6994780</v>
      </c>
      <c r="O13" s="214">
        <f t="shared" si="2"/>
        <v>7418292</v>
      </c>
      <c r="P13" s="213">
        <f t="shared" si="2"/>
        <v>8361043</v>
      </c>
      <c r="Q13" s="236">
        <f t="shared" si="2"/>
        <v>9111681</v>
      </c>
      <c r="R13" s="236">
        <f t="shared" si="2"/>
        <v>8711620</v>
      </c>
      <c r="S13" s="215">
        <f t="shared" si="2"/>
        <v>9062404</v>
      </c>
      <c r="T13" s="216">
        <f t="shared" si="0"/>
        <v>350784</v>
      </c>
      <c r="U13" s="217">
        <f t="shared" si="1"/>
        <v>4.0266219141789933E-2</v>
      </c>
      <c r="V13" s="218" t="e">
        <f>SUM(#REF!)</f>
        <v>#REF!</v>
      </c>
    </row>
    <row r="14" spans="1:130">
      <c r="A14" s="219" t="s">
        <v>549</v>
      </c>
      <c r="B14" s="220"/>
      <c r="D14" s="220"/>
      <c r="E14" s="220"/>
      <c r="F14" s="220"/>
      <c r="G14" s="220"/>
      <c r="H14" s="220"/>
      <c r="T14" s="222" t="s">
        <v>15</v>
      </c>
      <c r="U14" s="223"/>
    </row>
    <row r="15" spans="1:130" s="230" customFormat="1" ht="16.5" thickBot="1">
      <c r="A15" s="224" t="s">
        <v>550</v>
      </c>
      <c r="B15" s="225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6"/>
      <c r="T15" s="227"/>
      <c r="U15" s="223"/>
      <c r="V15" s="228"/>
      <c r="W15" s="229"/>
      <c r="Z15" s="393"/>
    </row>
    <row r="16" spans="1:130" ht="13.5" thickTop="1">
      <c r="A16" s="184" t="s">
        <v>551</v>
      </c>
      <c r="B16" s="185">
        <v>4709777</v>
      </c>
      <c r="C16" s="185">
        <v>4694562</v>
      </c>
      <c r="D16" s="185">
        <v>4601535</v>
      </c>
      <c r="E16" s="185">
        <f>4543805+900</f>
        <v>4544705</v>
      </c>
      <c r="F16" s="185">
        <v>4665579</v>
      </c>
      <c r="G16" s="185">
        <v>4723435</v>
      </c>
      <c r="H16" s="185">
        <f>5527180-127571-281213-136328</f>
        <v>4982068</v>
      </c>
      <c r="I16" s="185">
        <f>5687200-149935-128214-244721-59013</f>
        <v>5105317</v>
      </c>
      <c r="J16" s="185">
        <v>5149393</v>
      </c>
      <c r="K16" s="186">
        <v>5423676</v>
      </c>
      <c r="L16" s="186">
        <f>6121905-144828-89366-246700-156500-4961</f>
        <v>5479550</v>
      </c>
      <c r="M16" s="187">
        <v>5588102</v>
      </c>
      <c r="N16" s="231">
        <v>5790969</v>
      </c>
      <c r="O16" s="342">
        <v>6293603</v>
      </c>
      <c r="P16" s="232">
        <v>6559020</v>
      </c>
      <c r="Q16" s="232">
        <v>6874241</v>
      </c>
      <c r="R16" s="232">
        <v>6935816</v>
      </c>
      <c r="S16" s="233">
        <f>7124910-230430+40000-100000</f>
        <v>6834480</v>
      </c>
      <c r="T16" s="234">
        <f t="shared" ref="T16:T20" si="3">S16-R16</f>
        <v>-101336</v>
      </c>
      <c r="U16" s="235">
        <f t="shared" ref="U16:U20" si="4">T16/R16</f>
        <v>-1.4610537534444397E-2</v>
      </c>
    </row>
    <row r="17" spans="1:26">
      <c r="A17" s="194" t="s">
        <v>552</v>
      </c>
      <c r="B17" s="195">
        <v>1657960</v>
      </c>
      <c r="C17" s="195">
        <v>1651367</v>
      </c>
      <c r="D17" s="195">
        <v>1624125</v>
      </c>
      <c r="E17" s="195">
        <v>1632192</v>
      </c>
      <c r="F17" s="195">
        <v>1666909</v>
      </c>
      <c r="G17" s="195">
        <v>1710552</v>
      </c>
      <c r="H17" s="195">
        <v>1733710</v>
      </c>
      <c r="I17" s="195">
        <v>1860584</v>
      </c>
      <c r="J17" s="195">
        <v>1782644</v>
      </c>
      <c r="K17" s="196">
        <v>1734146</v>
      </c>
      <c r="L17" s="196">
        <v>1746668</v>
      </c>
      <c r="M17" s="197">
        <v>1842397</v>
      </c>
      <c r="N17" s="209">
        <v>1933641</v>
      </c>
      <c r="O17" s="197">
        <v>2227126</v>
      </c>
      <c r="P17" s="198">
        <v>2390433</v>
      </c>
      <c r="Q17" s="198">
        <v>2435138</v>
      </c>
      <c r="R17" s="198">
        <v>2532910</v>
      </c>
      <c r="S17" s="199">
        <f>2545619-40000</f>
        <v>2505619</v>
      </c>
      <c r="T17" s="200">
        <f t="shared" si="3"/>
        <v>-27291</v>
      </c>
      <c r="U17" s="201">
        <f t="shared" si="4"/>
        <v>-1.0774563644187911E-2</v>
      </c>
    </row>
    <row r="18" spans="1:26">
      <c r="A18" s="194" t="s">
        <v>121</v>
      </c>
      <c r="B18" s="195">
        <v>112010</v>
      </c>
      <c r="C18" s="195">
        <v>115082</v>
      </c>
      <c r="D18" s="195">
        <v>115082</v>
      </c>
      <c r="E18" s="195">
        <v>113582</v>
      </c>
      <c r="F18" s="195">
        <v>117901</v>
      </c>
      <c r="G18" s="195">
        <v>130800</v>
      </c>
      <c r="H18" s="195">
        <v>136328</v>
      </c>
      <c r="I18" s="195">
        <v>149935</v>
      </c>
      <c r="J18" s="195">
        <v>146500</v>
      </c>
      <c r="K18" s="196">
        <v>146500</v>
      </c>
      <c r="L18" s="196">
        <v>156500</v>
      </c>
      <c r="M18" s="197">
        <v>121500</v>
      </c>
      <c r="N18" s="209">
        <v>126500</v>
      </c>
      <c r="O18" s="197">
        <v>201000</v>
      </c>
      <c r="P18" s="198">
        <v>196500</v>
      </c>
      <c r="Q18" s="198">
        <v>211500</v>
      </c>
      <c r="R18" s="198">
        <v>217500</v>
      </c>
      <c r="S18" s="199">
        <v>230430</v>
      </c>
      <c r="T18" s="200">
        <f t="shared" si="3"/>
        <v>12930</v>
      </c>
      <c r="U18" s="201">
        <f t="shared" si="4"/>
        <v>5.9448275862068967E-2</v>
      </c>
    </row>
    <row r="19" spans="1:26">
      <c r="A19" s="194" t="s">
        <v>553</v>
      </c>
      <c r="B19" s="195">
        <v>296066</v>
      </c>
      <c r="C19" s="195">
        <v>300261</v>
      </c>
      <c r="D19" s="195">
        <v>295007</v>
      </c>
      <c r="E19" s="195">
        <v>300123</v>
      </c>
      <c r="F19" s="195">
        <v>365461</v>
      </c>
      <c r="G19" s="195">
        <v>376921</v>
      </c>
      <c r="H19" s="195">
        <f>127571+281213</f>
        <v>408784</v>
      </c>
      <c r="I19" s="195">
        <v>431948</v>
      </c>
      <c r="J19" s="195">
        <v>448419</v>
      </c>
      <c r="K19" s="196">
        <v>473196</v>
      </c>
      <c r="L19" s="196">
        <f>144828+89366+246700</f>
        <v>480894</v>
      </c>
      <c r="M19" s="197">
        <v>405446</v>
      </c>
      <c r="N19" s="209">
        <v>373655</v>
      </c>
      <c r="O19" s="197">
        <v>437051</v>
      </c>
      <c r="P19" s="198">
        <v>484880</v>
      </c>
      <c r="Q19" s="198">
        <v>506182</v>
      </c>
      <c r="R19" s="198">
        <v>476801</v>
      </c>
      <c r="S19" s="199">
        <v>456769</v>
      </c>
      <c r="T19" s="200">
        <f t="shared" si="3"/>
        <v>-20032</v>
      </c>
      <c r="U19" s="201">
        <f t="shared" si="4"/>
        <v>-4.2013334703576544E-2</v>
      </c>
    </row>
    <row r="20" spans="1:26" ht="15.75" thickBot="1">
      <c r="A20" s="210" t="s">
        <v>548</v>
      </c>
      <c r="B20" s="211">
        <f t="shared" ref="B20:R20" si="5">SUM(B16:B19)</f>
        <v>6775813</v>
      </c>
      <c r="C20" s="211">
        <f t="shared" si="5"/>
        <v>6761272</v>
      </c>
      <c r="D20" s="211">
        <f t="shared" si="5"/>
        <v>6635749</v>
      </c>
      <c r="E20" s="211">
        <f t="shared" si="5"/>
        <v>6590602</v>
      </c>
      <c r="F20" s="211">
        <f t="shared" si="5"/>
        <v>6815850</v>
      </c>
      <c r="G20" s="211">
        <f t="shared" si="5"/>
        <v>6941708</v>
      </c>
      <c r="H20" s="211">
        <f t="shared" si="5"/>
        <v>7260890</v>
      </c>
      <c r="I20" s="211">
        <f t="shared" si="5"/>
        <v>7547784</v>
      </c>
      <c r="J20" s="211">
        <f t="shared" si="5"/>
        <v>7526956</v>
      </c>
      <c r="K20" s="212">
        <f t="shared" si="5"/>
        <v>7777518</v>
      </c>
      <c r="L20" s="212">
        <f t="shared" si="5"/>
        <v>7863612</v>
      </c>
      <c r="M20" s="213">
        <f t="shared" si="5"/>
        <v>7957445</v>
      </c>
      <c r="N20" s="214">
        <f t="shared" si="5"/>
        <v>8224765</v>
      </c>
      <c r="O20" s="213">
        <f t="shared" si="5"/>
        <v>9158780</v>
      </c>
      <c r="P20" s="236">
        <f t="shared" si="5"/>
        <v>9630833</v>
      </c>
      <c r="Q20" s="236">
        <f t="shared" si="5"/>
        <v>10027061</v>
      </c>
      <c r="R20" s="236">
        <f t="shared" si="5"/>
        <v>10163027</v>
      </c>
      <c r="S20" s="215">
        <f>SUM(S16:S19)</f>
        <v>10027298</v>
      </c>
      <c r="T20" s="216">
        <f t="shared" si="3"/>
        <v>-135729</v>
      </c>
      <c r="U20" s="217">
        <f t="shared" si="4"/>
        <v>-1.3355174595128007E-2</v>
      </c>
      <c r="X20" s="237"/>
    </row>
    <row r="21" spans="1:26">
      <c r="A21" s="219" t="s">
        <v>549</v>
      </c>
      <c r="B21" s="220"/>
      <c r="D21" s="220"/>
      <c r="E21" s="220"/>
      <c r="F21" s="220"/>
      <c r="G21" s="220"/>
      <c r="H21" s="220"/>
      <c r="T21" s="222"/>
      <c r="U21" s="223"/>
    </row>
    <row r="22" spans="1:26" ht="15.75" thickBot="1">
      <c r="A22" s="224" t="s">
        <v>554</v>
      </c>
      <c r="B22" s="220"/>
      <c r="D22" s="220"/>
      <c r="E22" s="220"/>
      <c r="F22" s="220"/>
      <c r="G22" s="220"/>
      <c r="H22" s="220"/>
      <c r="T22" s="222"/>
      <c r="U22" s="223"/>
    </row>
    <row r="23" spans="1:26" ht="13.5" thickTop="1">
      <c r="A23" s="184" t="s">
        <v>555</v>
      </c>
      <c r="B23" s="185">
        <v>198955</v>
      </c>
      <c r="C23" s="185">
        <v>198764</v>
      </c>
      <c r="D23" s="185">
        <v>276101</v>
      </c>
      <c r="E23" s="185">
        <v>328438</v>
      </c>
      <c r="F23" s="185">
        <v>366720</v>
      </c>
      <c r="G23" s="185">
        <v>367842</v>
      </c>
      <c r="H23" s="185">
        <v>364079</v>
      </c>
      <c r="I23" s="185">
        <v>346069</v>
      </c>
      <c r="J23" s="185">
        <v>303050</v>
      </c>
      <c r="K23" s="186">
        <v>294805</v>
      </c>
      <c r="L23" s="186">
        <v>296934</v>
      </c>
      <c r="M23" s="187">
        <v>303996</v>
      </c>
      <c r="N23" s="238">
        <v>331269</v>
      </c>
      <c r="O23" s="343">
        <v>378611</v>
      </c>
      <c r="P23" s="342">
        <v>406374</v>
      </c>
      <c r="Q23" s="232">
        <v>431313</v>
      </c>
      <c r="R23" s="232">
        <v>439383</v>
      </c>
      <c r="S23" s="233">
        <v>483668</v>
      </c>
      <c r="T23" s="234">
        <f t="shared" ref="T23:T30" si="6">S23-R23</f>
        <v>44285</v>
      </c>
      <c r="U23" s="235">
        <f t="shared" ref="U23:U30" si="7">T23/R23</f>
        <v>0.10078906102420895</v>
      </c>
      <c r="X23" s="237"/>
    </row>
    <row r="24" spans="1:26">
      <c r="A24" s="194" t="s">
        <v>556</v>
      </c>
      <c r="B24" s="195">
        <v>501550</v>
      </c>
      <c r="C24" s="195">
        <v>510991</v>
      </c>
      <c r="D24" s="195">
        <v>601395</v>
      </c>
      <c r="E24" s="195">
        <v>654811</v>
      </c>
      <c r="F24" s="195">
        <v>862670</v>
      </c>
      <c r="G24" s="195">
        <v>930880</v>
      </c>
      <c r="H24" s="195">
        <v>873294</v>
      </c>
      <c r="I24" s="195">
        <v>767772</v>
      </c>
      <c r="J24" s="195">
        <v>655426</v>
      </c>
      <c r="K24" s="196">
        <v>785638</v>
      </c>
      <c r="L24" s="196">
        <f>795848-61219</f>
        <v>734629</v>
      </c>
      <c r="M24" s="197">
        <v>683806</v>
      </c>
      <c r="N24" s="209">
        <v>663069</v>
      </c>
      <c r="O24" s="344">
        <v>762482</v>
      </c>
      <c r="P24" s="197">
        <v>796444</v>
      </c>
      <c r="Q24" s="198">
        <v>837312</v>
      </c>
      <c r="R24" s="198">
        <v>839313</v>
      </c>
      <c r="S24" s="199">
        <v>833985</v>
      </c>
      <c r="T24" s="200">
        <f t="shared" si="6"/>
        <v>-5328</v>
      </c>
      <c r="U24" s="201">
        <f t="shared" si="7"/>
        <v>-6.3480489400259497E-3</v>
      </c>
      <c r="X24" s="237"/>
    </row>
    <row r="25" spans="1:26">
      <c r="A25" s="194" t="s">
        <v>557</v>
      </c>
      <c r="B25" s="195">
        <v>518350</v>
      </c>
      <c r="C25" s="195">
        <v>517620</v>
      </c>
      <c r="D25" s="195">
        <v>507635</v>
      </c>
      <c r="E25" s="195">
        <v>503889</v>
      </c>
      <c r="F25" s="195">
        <v>520342</v>
      </c>
      <c r="G25" s="195">
        <v>535495</v>
      </c>
      <c r="H25" s="195">
        <v>555458</v>
      </c>
      <c r="I25" s="195">
        <v>577405</v>
      </c>
      <c r="J25" s="195">
        <v>575812</v>
      </c>
      <c r="K25" s="196">
        <v>594980</v>
      </c>
      <c r="L25" s="196">
        <v>601946</v>
      </c>
      <c r="M25" s="197">
        <v>608745</v>
      </c>
      <c r="N25" s="209">
        <v>632164</v>
      </c>
      <c r="O25" s="344">
        <v>700647</v>
      </c>
      <c r="P25" s="197">
        <v>736759</v>
      </c>
      <c r="Q25" s="198">
        <v>768983</v>
      </c>
      <c r="R25" s="198">
        <v>777472</v>
      </c>
      <c r="S25" s="199">
        <v>764954</v>
      </c>
      <c r="T25" s="200">
        <f t="shared" si="6"/>
        <v>-12518</v>
      </c>
      <c r="U25" s="201">
        <f t="shared" si="7"/>
        <v>-1.6100901382943695E-2</v>
      </c>
      <c r="X25" s="237"/>
    </row>
    <row r="26" spans="1:26">
      <c r="A26" s="194" t="s">
        <v>11</v>
      </c>
      <c r="B26" s="195">
        <v>27850</v>
      </c>
      <c r="C26" s="195">
        <v>27850</v>
      </c>
      <c r="D26" s="195">
        <v>21734</v>
      </c>
      <c r="E26" s="195">
        <v>14992</v>
      </c>
      <c r="F26" s="195">
        <v>14992</v>
      </c>
      <c r="G26" s="195">
        <v>15353</v>
      </c>
      <c r="H26" s="195">
        <v>16068</v>
      </c>
      <c r="I26" s="195">
        <v>18359</v>
      </c>
      <c r="J26" s="195">
        <v>18359</v>
      </c>
      <c r="K26" s="196">
        <v>15115</v>
      </c>
      <c r="L26" s="196">
        <v>15252</v>
      </c>
      <c r="M26" s="197">
        <v>15252</v>
      </c>
      <c r="N26" s="209">
        <v>15252</v>
      </c>
      <c r="O26" s="344">
        <v>15252</v>
      </c>
      <c r="P26" s="197">
        <v>16721</v>
      </c>
      <c r="Q26" s="198">
        <v>18000</v>
      </c>
      <c r="R26" s="198">
        <v>17861</v>
      </c>
      <c r="S26" s="199">
        <f>18000-139</f>
        <v>17861</v>
      </c>
      <c r="T26" s="200">
        <f t="shared" si="6"/>
        <v>0</v>
      </c>
      <c r="U26" s="201">
        <f t="shared" si="7"/>
        <v>0</v>
      </c>
      <c r="X26" s="3"/>
    </row>
    <row r="27" spans="1:26">
      <c r="A27" s="194" t="s">
        <v>14</v>
      </c>
      <c r="B27" s="195">
        <v>1372915</v>
      </c>
      <c r="C27" s="195">
        <v>1493959</v>
      </c>
      <c r="D27" s="195">
        <v>1554649</v>
      </c>
      <c r="E27" s="195">
        <v>1568768</v>
      </c>
      <c r="F27" s="195">
        <v>1613027</v>
      </c>
      <c r="G27" s="195">
        <v>1669701</v>
      </c>
      <c r="H27" s="195">
        <v>1739407</v>
      </c>
      <c r="I27" s="195">
        <v>1776470</v>
      </c>
      <c r="J27" s="195">
        <v>2079715</v>
      </c>
      <c r="K27" s="196">
        <v>2099915</v>
      </c>
      <c r="L27" s="196">
        <f>2141914-14700-300</f>
        <v>2126914</v>
      </c>
      <c r="M27" s="197">
        <v>2054684</v>
      </c>
      <c r="N27" s="209">
        <v>1984684</v>
      </c>
      <c r="O27" s="344">
        <v>1985686</v>
      </c>
      <c r="P27" s="197">
        <v>2394986</v>
      </c>
      <c r="Q27" s="198">
        <v>2571132</v>
      </c>
      <c r="R27" s="198">
        <v>2535004</v>
      </c>
      <c r="S27" s="199">
        <v>2996578</v>
      </c>
      <c r="T27" s="200">
        <f t="shared" si="6"/>
        <v>461574</v>
      </c>
      <c r="U27" s="201">
        <f t="shared" si="7"/>
        <v>0.18208018606676754</v>
      </c>
    </row>
    <row r="28" spans="1:26">
      <c r="A28" s="194" t="s">
        <v>558</v>
      </c>
      <c r="B28" s="195">
        <v>10000</v>
      </c>
      <c r="C28" s="195">
        <v>10000</v>
      </c>
      <c r="D28" s="195">
        <v>15000</v>
      </c>
      <c r="E28" s="195">
        <v>15000</v>
      </c>
      <c r="F28" s="195">
        <v>12000</v>
      </c>
      <c r="G28" s="195">
        <v>10000</v>
      </c>
      <c r="H28" s="195">
        <v>5000</v>
      </c>
      <c r="I28" s="195">
        <v>5000</v>
      </c>
      <c r="J28" s="195">
        <v>5000</v>
      </c>
      <c r="K28" s="196">
        <v>5000</v>
      </c>
      <c r="L28" s="196">
        <v>5000</v>
      </c>
      <c r="M28" s="197">
        <v>5000</v>
      </c>
      <c r="N28" s="209">
        <v>10000</v>
      </c>
      <c r="O28" s="344">
        <v>5000</v>
      </c>
      <c r="P28" s="197">
        <v>5000</v>
      </c>
      <c r="Q28" s="198">
        <v>10000</v>
      </c>
      <c r="R28" s="198">
        <v>10000</v>
      </c>
      <c r="S28" s="199">
        <v>5000</v>
      </c>
      <c r="T28" s="200">
        <f t="shared" si="6"/>
        <v>-5000</v>
      </c>
      <c r="U28" s="201">
        <f t="shared" si="7"/>
        <v>-0.5</v>
      </c>
    </row>
    <row r="29" spans="1:26">
      <c r="A29" s="194" t="s">
        <v>559</v>
      </c>
      <c r="B29" s="195">
        <v>94102</v>
      </c>
      <c r="C29" s="195">
        <v>94102</v>
      </c>
      <c r="D29" s="195">
        <v>94102</v>
      </c>
      <c r="E29" s="195">
        <v>95426</v>
      </c>
      <c r="F29" s="195">
        <v>103141</v>
      </c>
      <c r="G29" s="195">
        <v>112314</v>
      </c>
      <c r="H29" s="195">
        <v>120826</v>
      </c>
      <c r="I29" s="195">
        <v>125580</v>
      </c>
      <c r="J29" s="195">
        <v>123075</v>
      </c>
      <c r="K29" s="196">
        <v>165045</v>
      </c>
      <c r="L29" s="196">
        <v>165045</v>
      </c>
      <c r="M29" s="197">
        <v>165045</v>
      </c>
      <c r="N29" s="209">
        <v>130000</v>
      </c>
      <c r="O29" s="344">
        <v>110000</v>
      </c>
      <c r="P29" s="197">
        <v>110000</v>
      </c>
      <c r="Q29" s="198">
        <v>110000</v>
      </c>
      <c r="R29" s="198">
        <v>100000</v>
      </c>
      <c r="S29" s="199">
        <f>110000-10000</f>
        <v>100000</v>
      </c>
      <c r="T29" s="200">
        <f t="shared" si="6"/>
        <v>0</v>
      </c>
      <c r="U29" s="201">
        <f t="shared" si="7"/>
        <v>0</v>
      </c>
      <c r="X29" s="239"/>
    </row>
    <row r="30" spans="1:26" ht="15.75" thickBot="1">
      <c r="A30" s="210" t="s">
        <v>548</v>
      </c>
      <c r="B30" s="240">
        <f t="shared" ref="B30:S30" si="8">SUM(B23:B29)</f>
        <v>2723722</v>
      </c>
      <c r="C30" s="211">
        <f t="shared" si="8"/>
        <v>2853286</v>
      </c>
      <c r="D30" s="211">
        <f t="shared" si="8"/>
        <v>3070616</v>
      </c>
      <c r="E30" s="211">
        <f t="shared" si="8"/>
        <v>3181324</v>
      </c>
      <c r="F30" s="211">
        <f t="shared" si="8"/>
        <v>3492892</v>
      </c>
      <c r="G30" s="211">
        <f t="shared" si="8"/>
        <v>3641585</v>
      </c>
      <c r="H30" s="211">
        <f t="shared" si="8"/>
        <v>3674132</v>
      </c>
      <c r="I30" s="211">
        <f t="shared" si="8"/>
        <v>3616655</v>
      </c>
      <c r="J30" s="211">
        <f>SUM(J23:J29)</f>
        <v>3760437</v>
      </c>
      <c r="K30" s="212">
        <f>SUM(K23:K29)</f>
        <v>3960498</v>
      </c>
      <c r="L30" s="212">
        <f t="shared" si="8"/>
        <v>3945720</v>
      </c>
      <c r="M30" s="213">
        <f t="shared" si="8"/>
        <v>3836528</v>
      </c>
      <c r="N30" s="214">
        <f t="shared" si="8"/>
        <v>3766438</v>
      </c>
      <c r="O30" s="345">
        <f t="shared" ref="O30:R30" si="9">SUM(O23:O29)</f>
        <v>3957678</v>
      </c>
      <c r="P30" s="213">
        <f t="shared" si="9"/>
        <v>4466284</v>
      </c>
      <c r="Q30" s="236">
        <f t="shared" si="9"/>
        <v>4746740</v>
      </c>
      <c r="R30" s="236">
        <f t="shared" si="9"/>
        <v>4719033</v>
      </c>
      <c r="S30" s="215">
        <f t="shared" si="8"/>
        <v>5202046</v>
      </c>
      <c r="T30" s="216">
        <f t="shared" si="6"/>
        <v>483013</v>
      </c>
      <c r="U30" s="217">
        <f t="shared" si="7"/>
        <v>0.10235423231835844</v>
      </c>
      <c r="X30" s="9"/>
    </row>
    <row r="31" spans="1:26" ht="13.5" thickBot="1">
      <c r="A31" s="139"/>
      <c r="D31" s="220"/>
      <c r="E31" s="220"/>
      <c r="F31" s="220"/>
      <c r="G31" s="220"/>
      <c r="H31" s="220"/>
      <c r="L31" s="242"/>
      <c r="M31" s="242"/>
      <c r="N31" s="242"/>
      <c r="O31" s="242"/>
      <c r="P31" s="242"/>
      <c r="Q31" s="242"/>
      <c r="R31" s="242"/>
      <c r="T31" s="241"/>
      <c r="U31" s="243"/>
    </row>
    <row r="32" spans="1:26" s="254" customFormat="1" ht="17.25" thickTop="1" thickBot="1">
      <c r="A32" s="244" t="s">
        <v>560</v>
      </c>
      <c r="B32" s="245" t="e">
        <f t="shared" ref="B32:S32" si="10">(B13+B20+B30)</f>
        <v>#REF!</v>
      </c>
      <c r="C32" s="246" t="e">
        <f t="shared" si="10"/>
        <v>#REF!</v>
      </c>
      <c r="D32" s="246" t="e">
        <f t="shared" si="10"/>
        <v>#REF!</v>
      </c>
      <c r="E32" s="246">
        <f t="shared" si="10"/>
        <v>15003902</v>
      </c>
      <c r="F32" s="246">
        <f t="shared" si="10"/>
        <v>15506279</v>
      </c>
      <c r="G32" s="246">
        <f t="shared" si="10"/>
        <v>15834605</v>
      </c>
      <c r="H32" s="246">
        <f t="shared" si="10"/>
        <v>16951664</v>
      </c>
      <c r="I32" s="246">
        <f t="shared" si="10"/>
        <v>16729939</v>
      </c>
      <c r="J32" s="246">
        <f t="shared" si="10"/>
        <v>18217558</v>
      </c>
      <c r="K32" s="247">
        <f t="shared" si="10"/>
        <v>17741437</v>
      </c>
      <c r="L32" s="248">
        <f t="shared" si="10"/>
        <v>17775530</v>
      </c>
      <c r="M32" s="248">
        <f t="shared" si="10"/>
        <v>18062844</v>
      </c>
      <c r="N32" s="248">
        <f t="shared" si="10"/>
        <v>18985983</v>
      </c>
      <c r="O32" s="248">
        <f t="shared" si="10"/>
        <v>20534750</v>
      </c>
      <c r="P32" s="248">
        <f t="shared" si="10"/>
        <v>22458160</v>
      </c>
      <c r="Q32" s="248">
        <f t="shared" si="10"/>
        <v>23885482</v>
      </c>
      <c r="R32" s="248">
        <f t="shared" si="10"/>
        <v>23593680</v>
      </c>
      <c r="S32" s="249">
        <f t="shared" si="10"/>
        <v>24291748</v>
      </c>
      <c r="T32" s="250">
        <f>T30+T20+T13</f>
        <v>698068</v>
      </c>
      <c r="U32" s="251">
        <f t="shared" ref="U32" si="11">T32/R32</f>
        <v>2.9587075860993284E-2</v>
      </c>
      <c r="V32" s="252"/>
      <c r="W32" s="253"/>
      <c r="Z32" s="394"/>
    </row>
    <row r="33" spans="1:26" s="5" customFormat="1">
      <c r="A33"/>
      <c r="B33" s="241"/>
      <c r="C33" s="220"/>
      <c r="D33" s="255"/>
      <c r="E33" s="255"/>
      <c r="F33" s="255"/>
      <c r="G33" s="255"/>
      <c r="H33" s="256"/>
      <c r="I33" s="220"/>
      <c r="J33" s="220"/>
      <c r="K33" s="220"/>
      <c r="L33" s="220"/>
      <c r="M33" s="220"/>
      <c r="N33" s="220"/>
      <c r="O33" s="220"/>
      <c r="P33" s="220"/>
      <c r="Q33" s="220"/>
      <c r="R33" s="220"/>
      <c r="S33" s="221"/>
      <c r="T33" s="3"/>
      <c r="U33" s="257" t="s">
        <v>15</v>
      </c>
      <c r="W33" s="1"/>
      <c r="X33"/>
      <c r="Y33"/>
      <c r="Z33" s="3"/>
    </row>
    <row r="34" spans="1:26" s="5" customFormat="1">
      <c r="A34"/>
      <c r="B34" s="241"/>
      <c r="C34" s="220"/>
      <c r="D34" s="255"/>
      <c r="E34" s="255"/>
      <c r="F34" s="255"/>
      <c r="G34" s="255"/>
      <c r="H34" s="258"/>
      <c r="I34" s="259"/>
      <c r="J34" s="259"/>
      <c r="K34" s="259"/>
      <c r="L34" s="260"/>
      <c r="M34" s="260"/>
      <c r="N34" s="260"/>
      <c r="O34" s="260"/>
      <c r="P34" s="260"/>
      <c r="Q34" s="260"/>
      <c r="R34" s="260"/>
      <c r="S34" s="261"/>
      <c r="T34" s="262"/>
      <c r="U34"/>
      <c r="W34" s="1"/>
      <c r="X34"/>
      <c r="Y34"/>
      <c r="Z34" s="3"/>
    </row>
    <row r="35" spans="1:26" s="5" customFormat="1">
      <c r="A35" s="263" t="s">
        <v>549</v>
      </c>
      <c r="B35" s="241"/>
      <c r="C35" s="220"/>
      <c r="D35" s="255"/>
      <c r="E35" s="255"/>
      <c r="F35" s="255"/>
      <c r="G35" s="255"/>
      <c r="H35" s="256"/>
      <c r="I35" s="220"/>
      <c r="J35" s="220"/>
      <c r="K35" s="220"/>
      <c r="L35" s="220"/>
      <c r="M35" s="220"/>
      <c r="N35" s="220"/>
      <c r="O35" s="220"/>
      <c r="P35" s="220"/>
      <c r="Q35" s="220"/>
      <c r="R35" s="220"/>
      <c r="S35" s="221"/>
      <c r="T35" s="237"/>
      <c r="U35"/>
      <c r="W35" s="1"/>
      <c r="X35"/>
      <c r="Y35"/>
      <c r="Z35" s="3"/>
    </row>
    <row r="36" spans="1:26" s="5" customFormat="1">
      <c r="A36"/>
      <c r="B36" s="241"/>
      <c r="C36" s="220"/>
      <c r="D36" s="255"/>
      <c r="E36" s="255"/>
      <c r="F36" s="255"/>
      <c r="G36" s="255"/>
      <c r="H36" s="256"/>
      <c r="I36" s="220"/>
      <c r="J36" s="220"/>
      <c r="K36" s="220"/>
      <c r="L36" s="220"/>
      <c r="M36" s="220"/>
      <c r="N36" s="220"/>
      <c r="O36" s="220"/>
      <c r="P36" s="220"/>
      <c r="Q36" s="220"/>
      <c r="R36" s="220"/>
      <c r="S36" s="221"/>
      <c r="T36" s="237"/>
      <c r="U36"/>
      <c r="W36" s="1"/>
      <c r="X36"/>
      <c r="Y36"/>
      <c r="Z36" s="3"/>
    </row>
    <row r="38" spans="1:26" s="5" customFormat="1">
      <c r="A38"/>
      <c r="B38" s="241"/>
      <c r="C38" s="220"/>
      <c r="D38" s="255"/>
      <c r="E38" s="255"/>
      <c r="F38" s="255"/>
      <c r="G38" s="255"/>
      <c r="H38" s="256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1"/>
      <c r="T38" s="237"/>
      <c r="U38"/>
      <c r="W38" s="1"/>
      <c r="X38"/>
      <c r="Y38"/>
      <c r="Z38" s="3"/>
    </row>
    <row r="39" spans="1:26" s="5" customFormat="1">
      <c r="A39"/>
      <c r="B39" s="241"/>
      <c r="C39" s="220"/>
      <c r="D39" s="255"/>
      <c r="E39" s="255"/>
      <c r="F39" s="255"/>
      <c r="G39" s="255"/>
      <c r="H39" s="221"/>
      <c r="I39" s="220"/>
      <c r="J39" s="220"/>
      <c r="K39" s="220"/>
      <c r="L39" s="242"/>
      <c r="M39" s="242"/>
      <c r="N39" s="242"/>
      <c r="O39" s="242"/>
      <c r="P39" s="242"/>
      <c r="Q39" s="242"/>
      <c r="R39" s="242"/>
      <c r="S39" s="221"/>
      <c r="T39" s="237"/>
      <c r="U39"/>
      <c r="W39" s="1"/>
      <c r="X39"/>
      <c r="Y39"/>
      <c r="Z39" s="3"/>
    </row>
    <row r="40" spans="1:26" s="5" customFormat="1">
      <c r="A40"/>
      <c r="B40" s="241"/>
      <c r="C40" s="220"/>
      <c r="D40" s="255"/>
      <c r="E40" s="255"/>
      <c r="F40" s="255"/>
      <c r="G40" s="255"/>
      <c r="H40" s="256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1"/>
      <c r="T40" s="237"/>
      <c r="U40"/>
      <c r="W40" s="1"/>
      <c r="X40"/>
      <c r="Y40"/>
      <c r="Z40" s="3"/>
    </row>
    <row r="41" spans="1:26" s="5" customFormat="1">
      <c r="A41"/>
      <c r="B41" s="241"/>
      <c r="C41" s="220"/>
      <c r="D41" s="255"/>
      <c r="E41" s="255"/>
      <c r="F41" s="255"/>
      <c r="G41" s="255"/>
      <c r="H41" s="256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1"/>
      <c r="T41" s="237"/>
      <c r="U41"/>
      <c r="W41" s="1"/>
      <c r="X41"/>
      <c r="Y41"/>
      <c r="Z41" s="3"/>
    </row>
    <row r="42" spans="1:26" s="5" customFormat="1">
      <c r="A42"/>
      <c r="B42" s="241"/>
      <c r="C42" s="220"/>
      <c r="D42" s="255"/>
      <c r="E42" s="255"/>
      <c r="F42" s="255"/>
      <c r="G42" s="255"/>
      <c r="H42" s="256"/>
      <c r="I42" s="220"/>
      <c r="J42" s="220"/>
      <c r="K42" s="220"/>
      <c r="L42" s="220"/>
      <c r="M42" s="220"/>
      <c r="N42" s="220"/>
      <c r="O42" s="220"/>
      <c r="P42" s="220"/>
      <c r="Q42" s="220"/>
      <c r="R42" s="220"/>
      <c r="S42" s="221"/>
      <c r="T42" s="237"/>
      <c r="U42"/>
      <c r="W42" s="1"/>
      <c r="X42"/>
      <c r="Y42"/>
      <c r="Z42" s="3"/>
    </row>
    <row r="44" spans="1:26" s="5" customFormat="1">
      <c r="A44"/>
      <c r="B44" s="241"/>
      <c r="C44" s="220"/>
      <c r="D44" s="255"/>
      <c r="E44" s="255"/>
      <c r="F44" s="255"/>
      <c r="G44" s="255"/>
      <c r="H44" s="256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1"/>
      <c r="T44" s="237"/>
      <c r="U44"/>
      <c r="W44" s="1"/>
      <c r="X44"/>
      <c r="Y44"/>
      <c r="Z44" s="3"/>
    </row>
  </sheetData>
  <pageMargins left="0.7" right="0.7" top="0.75" bottom="0.75" header="0.3" footer="0.3"/>
  <pageSetup orientation="landscape" r:id="rId1"/>
  <headerFooter>
    <oddHeader xml:space="preserve">&amp;C&amp;"Arial,Bold"&amp;12 Frewsburg CSD School 
Budget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5</vt:i4>
      </vt:variant>
    </vt:vector>
  </HeadingPairs>
  <TitlesOfParts>
    <vt:vector size="17" baseType="lpstr">
      <vt:lpstr>Agenda</vt:lpstr>
      <vt:lpstr>Salaries</vt:lpstr>
      <vt:lpstr>Fringe Benefits</vt:lpstr>
      <vt:lpstr>BOCES</vt:lpstr>
      <vt:lpstr>BOCES Summary</vt:lpstr>
      <vt:lpstr>Special Ed</vt:lpstr>
      <vt:lpstr>Sp Ed Summary</vt:lpstr>
      <vt:lpstr>Local Revenues</vt:lpstr>
      <vt:lpstr>Revenues</vt:lpstr>
      <vt:lpstr>Revenues Summary</vt:lpstr>
      <vt:lpstr>Budget Summary - March</vt:lpstr>
      <vt:lpstr>Dept. Budget</vt:lpstr>
      <vt:lpstr>BOCES!Print_Area</vt:lpstr>
      <vt:lpstr>'Fringe Benefits'!Print_Area</vt:lpstr>
      <vt:lpstr>Revenues!Print_Area</vt:lpstr>
      <vt:lpstr>'Special Ed'!Print_Area</vt:lpstr>
      <vt:lpstr>BOCES!Print_Titles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JLeeYaw</dc:creator>
  <cp:lastModifiedBy>Jerome Lee Yaw</cp:lastModifiedBy>
  <cp:lastPrinted>2026-03-11T20:30:18Z</cp:lastPrinted>
  <dcterms:created xsi:type="dcterms:W3CDTF">2004-02-17T17:52:18Z</dcterms:created>
  <dcterms:modified xsi:type="dcterms:W3CDTF">2026-03-11T21:14:05Z</dcterms:modified>
</cp:coreProperties>
</file>