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G:\Shared drives\Bliss Business Services\Enrollment ~~~~~~\Student Counts\2025-26\Second Friday\"/>
    </mc:Choice>
  </mc:AlternateContent>
  <xr:revisionPtr revIDLastSave="0" documentId="13_ncr:1_{2E690D65-47A2-46F4-92AC-40F8D3EBEA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.09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nhPIHidy5//AllhOLKSv1ssjxUFcKjf8a/sEbz5MYI="/>
    </ext>
  </extLst>
</workbook>
</file>

<file path=xl/calcChain.xml><?xml version="1.0" encoding="utf-8"?>
<calcChain xmlns="http://schemas.openxmlformats.org/spreadsheetml/2006/main">
  <c r="Y48" i="1" l="1"/>
  <c r="BF42" i="1"/>
  <c r="BF40" i="1"/>
  <c r="AS40" i="1"/>
  <c r="AF40" i="1"/>
  <c r="BG31" i="1"/>
  <c r="BG30" i="1"/>
  <c r="BG29" i="1"/>
  <c r="BG28" i="1"/>
  <c r="AT28" i="1"/>
  <c r="AT29" i="1"/>
  <c r="AT30" i="1"/>
  <c r="AT31" i="1"/>
  <c r="AG31" i="1"/>
  <c r="AG30" i="1"/>
  <c r="AG28" i="1"/>
  <c r="BB35" i="1" l="1"/>
  <c r="BA35" i="1"/>
  <c r="AZ35" i="1"/>
  <c r="AY35" i="1"/>
  <c r="AX35" i="1"/>
  <c r="AV35" i="1"/>
  <c r="AU35" i="1"/>
  <c r="AT35" i="1"/>
  <c r="BN21" i="1"/>
  <c r="BO21" i="1" s="1"/>
  <c r="BF21" i="1"/>
  <c r="BG21" i="1" s="1"/>
  <c r="BH21" i="1"/>
  <c r="AX21" i="1"/>
  <c r="AY21" i="1" s="1"/>
  <c r="AZ21" i="1"/>
  <c r="AP21" i="1"/>
  <c r="AQ21" i="1" s="1"/>
  <c r="AR21" i="1"/>
  <c r="AG21" i="1"/>
  <c r="AH21" i="1" s="1"/>
  <c r="AI21" i="1"/>
  <c r="Z21" i="1"/>
  <c r="AA21" i="1" s="1"/>
  <c r="AB21" i="1"/>
  <c r="S21" i="1"/>
  <c r="T21" i="1" s="1"/>
  <c r="U21" i="1"/>
  <c r="N21" i="1"/>
  <c r="L21" i="1"/>
  <c r="M21" i="1" s="1"/>
  <c r="G21" i="1"/>
  <c r="E21" i="1"/>
  <c r="BP21" i="1"/>
  <c r="BI19" i="1"/>
  <c r="BP19" i="1" s="1"/>
  <c r="BI18" i="1"/>
  <c r="BN18" i="1" s="1"/>
  <c r="BO18" i="1" s="1"/>
  <c r="BI15" i="1"/>
  <c r="BN15" i="1" s="1"/>
  <c r="BO15" i="1" s="1"/>
  <c r="BI14" i="1"/>
  <c r="BP14" i="1" s="1"/>
  <c r="BI13" i="1"/>
  <c r="BP13" i="1" s="1"/>
  <c r="BI12" i="1"/>
  <c r="BP12" i="1" s="1"/>
  <c r="BI11" i="1"/>
  <c r="BI10" i="1"/>
  <c r="BP10" i="1" s="1"/>
  <c r="BI9" i="1"/>
  <c r="BN9" i="1" s="1"/>
  <c r="BO9" i="1" s="1"/>
  <c r="BA19" i="1"/>
  <c r="BH19" i="1" s="1"/>
  <c r="BA18" i="1"/>
  <c r="BA15" i="1"/>
  <c r="BH15" i="1" s="1"/>
  <c r="BA14" i="1"/>
  <c r="BH14" i="1" s="1"/>
  <c r="BA13" i="1"/>
  <c r="BH13" i="1" s="1"/>
  <c r="BA12" i="1"/>
  <c r="BH12" i="1" s="1"/>
  <c r="BA11" i="1"/>
  <c r="BH11" i="1" s="1"/>
  <c r="BA10" i="1"/>
  <c r="BH10" i="1" s="1"/>
  <c r="BA9" i="1"/>
  <c r="BH9" i="1" s="1"/>
  <c r="AJ18" i="1"/>
  <c r="AP18" i="1" s="1"/>
  <c r="AQ18" i="1" s="1"/>
  <c r="AJ12" i="1"/>
  <c r="AR12" i="1" s="1"/>
  <c r="AJ10" i="1"/>
  <c r="AR10" i="1" s="1"/>
  <c r="AJ13" i="1"/>
  <c r="AR13" i="1" s="1"/>
  <c r="AJ15" i="1"/>
  <c r="AR15" i="1" s="1"/>
  <c r="AC14" i="1"/>
  <c r="AG14" i="1" s="1"/>
  <c r="AH14" i="1" s="1"/>
  <c r="AC12" i="1"/>
  <c r="AI12" i="1" s="1"/>
  <c r="AC10" i="1"/>
  <c r="AI10" i="1" s="1"/>
  <c r="AC13" i="1"/>
  <c r="AI13" i="1" s="1"/>
  <c r="AC15" i="1"/>
  <c r="V11" i="1"/>
  <c r="AB11" i="1" s="1"/>
  <c r="V15" i="1"/>
  <c r="O9" i="1"/>
  <c r="S9" i="1" s="1"/>
  <c r="T9" i="1" s="1"/>
  <c r="O19" i="1"/>
  <c r="S19" i="1" s="1"/>
  <c r="T19" i="1" s="1"/>
  <c r="O18" i="1"/>
  <c r="S18" i="1" s="1"/>
  <c r="T18" i="1" s="1"/>
  <c r="O14" i="1"/>
  <c r="S14" i="1" s="1"/>
  <c r="T14" i="1" s="1"/>
  <c r="O11" i="1"/>
  <c r="U11" i="1" s="1"/>
  <c r="O12" i="1"/>
  <c r="S12" i="1" s="1"/>
  <c r="T12" i="1" s="1"/>
  <c r="O10" i="1"/>
  <c r="U10" i="1" s="1"/>
  <c r="O13" i="1"/>
  <c r="U13" i="1" s="1"/>
  <c r="O15" i="1"/>
  <c r="S15" i="1" s="1"/>
  <c r="T15" i="1" s="1"/>
  <c r="BN45" i="1"/>
  <c r="BM45" i="1"/>
  <c r="BL45" i="1"/>
  <c r="BJ45" i="1"/>
  <c r="BI45" i="1"/>
  <c r="BH45" i="1"/>
  <c r="BG45" i="1"/>
  <c r="BF45" i="1"/>
  <c r="BA45" i="1"/>
  <c r="AZ45" i="1"/>
  <c r="AY45" i="1"/>
  <c r="AX45" i="1"/>
  <c r="AW45" i="1"/>
  <c r="AU45" i="1"/>
  <c r="AT45" i="1"/>
  <c r="AS45" i="1"/>
  <c r="AP45" i="1"/>
  <c r="AO45" i="1"/>
  <c r="AK45" i="1"/>
  <c r="AJ45" i="1"/>
  <c r="AI45" i="1"/>
  <c r="AH45" i="1"/>
  <c r="AG45" i="1"/>
  <c r="AF45" i="1"/>
  <c r="BP44" i="1"/>
  <c r="BO44" i="1"/>
  <c r="BE44" i="1"/>
  <c r="BB44" i="1"/>
  <c r="AR44" i="1"/>
  <c r="AQ44" i="1"/>
  <c r="BP43" i="1"/>
  <c r="BO43" i="1"/>
  <c r="BE43" i="1"/>
  <c r="BB43" i="1"/>
  <c r="AR43" i="1"/>
  <c r="AQ43" i="1"/>
  <c r="BP42" i="1"/>
  <c r="BO42" i="1"/>
  <c r="BE42" i="1"/>
  <c r="BB42" i="1"/>
  <c r="AR42" i="1"/>
  <c r="AQ42" i="1"/>
  <c r="BP41" i="1"/>
  <c r="BO41" i="1"/>
  <c r="BE41" i="1"/>
  <c r="BB41" i="1"/>
  <c r="AR41" i="1"/>
  <c r="AQ41" i="1"/>
  <c r="BP40" i="1"/>
  <c r="BO40" i="1"/>
  <c r="BE40" i="1"/>
  <c r="BB40" i="1"/>
  <c r="AR40" i="1"/>
  <c r="AQ40" i="1"/>
  <c r="BN35" i="1"/>
  <c r="BM35" i="1"/>
  <c r="BL35" i="1"/>
  <c r="BK35" i="1"/>
  <c r="BJ35" i="1"/>
  <c r="BI35" i="1"/>
  <c r="BH35" i="1"/>
  <c r="BG35" i="1"/>
  <c r="AQ35" i="1"/>
  <c r="AP35" i="1"/>
  <c r="AM35" i="1"/>
  <c r="AL35" i="1"/>
  <c r="AK35" i="1"/>
  <c r="AJ35" i="1"/>
  <c r="AI35" i="1"/>
  <c r="AH35" i="1"/>
  <c r="AG35" i="1"/>
  <c r="BP34" i="1"/>
  <c r="BO34" i="1"/>
  <c r="BD34" i="1"/>
  <c r="BC34" i="1"/>
  <c r="AS34" i="1"/>
  <c r="AR34" i="1"/>
  <c r="BP33" i="1"/>
  <c r="BO33" i="1"/>
  <c r="BD33" i="1"/>
  <c r="BC33" i="1"/>
  <c r="AS33" i="1"/>
  <c r="AR33" i="1"/>
  <c r="BP32" i="1"/>
  <c r="BO32" i="1"/>
  <c r="BD32" i="1"/>
  <c r="BC32" i="1"/>
  <c r="AS32" i="1"/>
  <c r="AR32" i="1"/>
  <c r="BP31" i="1"/>
  <c r="BO31" i="1"/>
  <c r="BD31" i="1"/>
  <c r="BC31" i="1"/>
  <c r="AS31" i="1"/>
  <c r="AR31" i="1"/>
  <c r="BP30" i="1"/>
  <c r="BO30" i="1"/>
  <c r="BD30" i="1"/>
  <c r="BC30" i="1"/>
  <c r="AS30" i="1"/>
  <c r="AR30" i="1"/>
  <c r="BP29" i="1"/>
  <c r="BO29" i="1"/>
  <c r="BD29" i="1"/>
  <c r="BC29" i="1"/>
  <c r="AS29" i="1"/>
  <c r="AR29" i="1"/>
  <c r="BP28" i="1"/>
  <c r="BO28" i="1"/>
  <c r="BD28" i="1"/>
  <c r="BC28" i="1"/>
  <c r="AS28" i="1"/>
  <c r="AR28" i="1"/>
  <c r="BM23" i="1"/>
  <c r="BL23" i="1"/>
  <c r="BK23" i="1"/>
  <c r="BJ23" i="1"/>
  <c r="BE23" i="1"/>
  <c r="BD23" i="1"/>
  <c r="BC23" i="1"/>
  <c r="BB23" i="1"/>
  <c r="AW23" i="1"/>
  <c r="AV23" i="1"/>
  <c r="AU23" i="1"/>
  <c r="AT23" i="1"/>
  <c r="AS23" i="1"/>
  <c r="AO23" i="1"/>
  <c r="AN23" i="1"/>
  <c r="AM23" i="1"/>
  <c r="AL23" i="1"/>
  <c r="AK23" i="1"/>
  <c r="AF23" i="1"/>
  <c r="AE23" i="1"/>
  <c r="AD23" i="1"/>
  <c r="Y23" i="1"/>
  <c r="X23" i="1"/>
  <c r="W23" i="1"/>
  <c r="R23" i="1"/>
  <c r="Q23" i="1"/>
  <c r="P23" i="1"/>
  <c r="K23" i="1"/>
  <c r="J23" i="1"/>
  <c r="I23" i="1"/>
  <c r="H23" i="1"/>
  <c r="D23" i="1"/>
  <c r="C23" i="1"/>
  <c r="B23" i="1"/>
  <c r="BP22" i="1"/>
  <c r="BN22" i="1"/>
  <c r="BO22" i="1" s="1"/>
  <c r="BH22" i="1"/>
  <c r="BF22" i="1"/>
  <c r="BG22" i="1" s="1"/>
  <c r="AZ22" i="1"/>
  <c r="AX22" i="1"/>
  <c r="AY22" i="1" s="1"/>
  <c r="AR22" i="1"/>
  <c r="AP22" i="1"/>
  <c r="AQ22" i="1" s="1"/>
  <c r="AI22" i="1"/>
  <c r="AG22" i="1"/>
  <c r="AH22" i="1" s="1"/>
  <c r="AB22" i="1"/>
  <c r="Z22" i="1"/>
  <c r="AA22" i="1" s="1"/>
  <c r="U22" i="1"/>
  <c r="S22" i="1"/>
  <c r="T22" i="1" s="1"/>
  <c r="N22" i="1"/>
  <c r="L22" i="1"/>
  <c r="G22" i="1"/>
  <c r="E22" i="1"/>
  <c r="F22" i="1" s="1"/>
  <c r="BP20" i="1"/>
  <c r="BN20" i="1"/>
  <c r="BO20" i="1" s="1"/>
  <c r="BH20" i="1"/>
  <c r="BF20" i="1"/>
  <c r="BG20" i="1" s="1"/>
  <c r="AZ20" i="1"/>
  <c r="AX20" i="1"/>
  <c r="AY20" i="1" s="1"/>
  <c r="AR20" i="1"/>
  <c r="AP20" i="1"/>
  <c r="AQ20" i="1" s="1"/>
  <c r="AI20" i="1"/>
  <c r="AG20" i="1"/>
  <c r="AH20" i="1" s="1"/>
  <c r="AB20" i="1"/>
  <c r="Z20" i="1"/>
  <c r="AA20" i="1" s="1"/>
  <c r="U20" i="1"/>
  <c r="S20" i="1"/>
  <c r="T20" i="1" s="1"/>
  <c r="N20" i="1"/>
  <c r="L20" i="1"/>
  <c r="M20" i="1" s="1"/>
  <c r="G20" i="1"/>
  <c r="E20" i="1"/>
  <c r="AZ19" i="1"/>
  <c r="AX19" i="1"/>
  <c r="AY19" i="1" s="1"/>
  <c r="AR19" i="1"/>
  <c r="AP19" i="1"/>
  <c r="AQ19" i="1" s="1"/>
  <c r="AI19" i="1"/>
  <c r="AG19" i="1"/>
  <c r="AH19" i="1" s="1"/>
  <c r="AB19" i="1"/>
  <c r="Z19" i="1"/>
  <c r="AA19" i="1" s="1"/>
  <c r="N19" i="1"/>
  <c r="L19" i="1"/>
  <c r="M19" i="1" s="1"/>
  <c r="G19" i="1"/>
  <c r="E19" i="1"/>
  <c r="AZ18" i="1"/>
  <c r="AX18" i="1"/>
  <c r="AY18" i="1" s="1"/>
  <c r="AI18" i="1"/>
  <c r="AG18" i="1"/>
  <c r="AH18" i="1" s="1"/>
  <c r="AB18" i="1"/>
  <c r="Z18" i="1"/>
  <c r="AA18" i="1" s="1"/>
  <c r="N18" i="1"/>
  <c r="L18" i="1"/>
  <c r="M18" i="1" s="1"/>
  <c r="G18" i="1"/>
  <c r="E18" i="1"/>
  <c r="F18" i="1" s="1"/>
  <c r="BP17" i="1"/>
  <c r="BN17" i="1"/>
  <c r="BO17" i="1" s="1"/>
  <c r="BH17" i="1"/>
  <c r="BF17" i="1"/>
  <c r="BG17" i="1" s="1"/>
  <c r="AZ17" i="1"/>
  <c r="AX17" i="1"/>
  <c r="AY17" i="1" s="1"/>
  <c r="AR17" i="1"/>
  <c r="AP17" i="1"/>
  <c r="AQ17" i="1" s="1"/>
  <c r="AI17" i="1"/>
  <c r="AG17" i="1"/>
  <c r="AH17" i="1" s="1"/>
  <c r="AB17" i="1"/>
  <c r="Z17" i="1"/>
  <c r="AA17" i="1" s="1"/>
  <c r="U17" i="1"/>
  <c r="S17" i="1"/>
  <c r="T17" i="1" s="1"/>
  <c r="N17" i="1"/>
  <c r="L17" i="1"/>
  <c r="M17" i="1" s="1"/>
  <c r="G17" i="1"/>
  <c r="E17" i="1"/>
  <c r="BP16" i="1"/>
  <c r="BN16" i="1"/>
  <c r="BO16" i="1" s="1"/>
  <c r="BH16" i="1"/>
  <c r="BF16" i="1"/>
  <c r="BG16" i="1" s="1"/>
  <c r="AZ16" i="1"/>
  <c r="AX16" i="1"/>
  <c r="AY16" i="1" s="1"/>
  <c r="AR16" i="1"/>
  <c r="AP16" i="1"/>
  <c r="AQ16" i="1" s="1"/>
  <c r="AI16" i="1"/>
  <c r="AG16" i="1"/>
  <c r="AH16" i="1" s="1"/>
  <c r="AB16" i="1"/>
  <c r="Z16" i="1"/>
  <c r="AA16" i="1" s="1"/>
  <c r="U16" i="1"/>
  <c r="S16" i="1"/>
  <c r="T16" i="1" s="1"/>
  <c r="N16" i="1"/>
  <c r="L16" i="1"/>
  <c r="G16" i="1"/>
  <c r="E16" i="1"/>
  <c r="F16" i="1" s="1"/>
  <c r="AZ15" i="1"/>
  <c r="AX15" i="1"/>
  <c r="AY15" i="1" s="1"/>
  <c r="AI15" i="1"/>
  <c r="AG15" i="1"/>
  <c r="AH15" i="1" s="1"/>
  <c r="N15" i="1"/>
  <c r="L15" i="1"/>
  <c r="M15" i="1" s="1"/>
  <c r="G15" i="1"/>
  <c r="E15" i="1"/>
  <c r="AZ14" i="1"/>
  <c r="AX14" i="1"/>
  <c r="AY14" i="1" s="1"/>
  <c r="AR14" i="1"/>
  <c r="AP14" i="1"/>
  <c r="AQ14" i="1" s="1"/>
  <c r="AB14" i="1"/>
  <c r="Z14" i="1"/>
  <c r="AA14" i="1" s="1"/>
  <c r="N14" i="1"/>
  <c r="L14" i="1"/>
  <c r="M14" i="1" s="1"/>
  <c r="G14" i="1"/>
  <c r="E14" i="1"/>
  <c r="AZ13" i="1"/>
  <c r="AX13" i="1"/>
  <c r="AY13" i="1" s="1"/>
  <c r="AB13" i="1"/>
  <c r="Z13" i="1"/>
  <c r="AA13" i="1" s="1"/>
  <c r="N13" i="1"/>
  <c r="L13" i="1"/>
  <c r="G13" i="1"/>
  <c r="E13" i="1"/>
  <c r="F13" i="1" s="1"/>
  <c r="AZ12" i="1"/>
  <c r="AX12" i="1"/>
  <c r="AY12" i="1" s="1"/>
  <c r="AB12" i="1"/>
  <c r="Z12" i="1"/>
  <c r="AA12" i="1" s="1"/>
  <c r="U12" i="1"/>
  <c r="N12" i="1"/>
  <c r="L12" i="1"/>
  <c r="M12" i="1" s="1"/>
  <c r="G12" i="1"/>
  <c r="E12" i="1"/>
  <c r="AZ11" i="1"/>
  <c r="AX11" i="1"/>
  <c r="AY11" i="1" s="1"/>
  <c r="AR11" i="1"/>
  <c r="AP11" i="1"/>
  <c r="AQ11" i="1" s="1"/>
  <c r="AI11" i="1"/>
  <c r="AG11" i="1"/>
  <c r="AH11" i="1" s="1"/>
  <c r="N11" i="1"/>
  <c r="L11" i="1"/>
  <c r="M11" i="1" s="1"/>
  <c r="G11" i="1"/>
  <c r="E11" i="1"/>
  <c r="F11" i="1" s="1"/>
  <c r="AZ10" i="1"/>
  <c r="AX10" i="1"/>
  <c r="AY10" i="1" s="1"/>
  <c r="AB10" i="1"/>
  <c r="Z10" i="1"/>
  <c r="AA10" i="1" s="1"/>
  <c r="N10" i="1"/>
  <c r="L10" i="1"/>
  <c r="M10" i="1" s="1"/>
  <c r="G10" i="1"/>
  <c r="E10" i="1"/>
  <c r="F10" i="1" s="1"/>
  <c r="BF9" i="1"/>
  <c r="AZ9" i="1"/>
  <c r="AX9" i="1"/>
  <c r="AY9" i="1" s="1"/>
  <c r="AR9" i="1"/>
  <c r="AP9" i="1"/>
  <c r="AQ9" i="1" s="1"/>
  <c r="AI9" i="1"/>
  <c r="AG9" i="1"/>
  <c r="AH9" i="1" s="1"/>
  <c r="AB9" i="1"/>
  <c r="Z9" i="1"/>
  <c r="AA9" i="1" s="1"/>
  <c r="N9" i="1"/>
  <c r="L9" i="1"/>
  <c r="M9" i="1" s="1"/>
  <c r="G9" i="1"/>
  <c r="E9" i="1"/>
  <c r="AG10" i="1" l="1"/>
  <c r="AH10" i="1" s="1"/>
  <c r="U14" i="1"/>
  <c r="S13" i="1"/>
  <c r="T13" i="1" s="1"/>
  <c r="BF19" i="1"/>
  <c r="BG19" i="1" s="1"/>
  <c r="BP15" i="1"/>
  <c r="BR44" i="1"/>
  <c r="BF13" i="1"/>
  <c r="BG13" i="1" s="1"/>
  <c r="BF14" i="1"/>
  <c r="BG14" i="1" s="1"/>
  <c r="AP10" i="1"/>
  <c r="AQ10" i="1" s="1"/>
  <c r="Z11" i="1"/>
  <c r="AA11" i="1" s="1"/>
  <c r="BN13" i="1"/>
  <c r="BO13" i="1" s="1"/>
  <c r="BN14" i="1"/>
  <c r="BO14" i="1" s="1"/>
  <c r="AG13" i="1"/>
  <c r="AH13" i="1" s="1"/>
  <c r="AP13" i="1"/>
  <c r="AQ13" i="1" s="1"/>
  <c r="AI14" i="1"/>
  <c r="BR14" i="1" s="1"/>
  <c r="BF15" i="1"/>
  <c r="BG15" i="1" s="1"/>
  <c r="AR18" i="1"/>
  <c r="AR23" i="1" s="1"/>
  <c r="BQ31" i="1"/>
  <c r="BD35" i="1"/>
  <c r="BC35" i="1"/>
  <c r="BF11" i="1"/>
  <c r="BG11" i="1" s="1"/>
  <c r="AR45" i="1"/>
  <c r="V23" i="1"/>
  <c r="U9" i="1"/>
  <c r="AG12" i="1"/>
  <c r="AH12" i="1" s="1"/>
  <c r="U19" i="1"/>
  <c r="BR19" i="1" s="1"/>
  <c r="U15" i="1"/>
  <c r="BR21" i="1"/>
  <c r="BN10" i="1"/>
  <c r="BO10" i="1" s="1"/>
  <c r="BO45" i="1"/>
  <c r="BQ42" i="1"/>
  <c r="BA23" i="1"/>
  <c r="BP9" i="1"/>
  <c r="BR9" i="1" s="1"/>
  <c r="U18" i="1"/>
  <c r="BO35" i="1"/>
  <c r="BP35" i="1"/>
  <c r="BR30" i="1"/>
  <c r="BR34" i="1"/>
  <c r="BQ28" i="1"/>
  <c r="BQ32" i="1"/>
  <c r="BQ21" i="1"/>
  <c r="F21" i="1"/>
  <c r="N23" i="1"/>
  <c r="BQ41" i="1"/>
  <c r="BF18" i="1"/>
  <c r="BG18" i="1" s="1"/>
  <c r="BR31" i="1"/>
  <c r="BR41" i="1"/>
  <c r="BQ34" i="1"/>
  <c r="BN19" i="1"/>
  <c r="BO19" i="1" s="1"/>
  <c r="AZ23" i="1"/>
  <c r="BQ40" i="1"/>
  <c r="S11" i="1"/>
  <c r="T11" i="1" s="1"/>
  <c r="BQ17" i="1"/>
  <c r="BQ29" i="1"/>
  <c r="BQ33" i="1"/>
  <c r="BB45" i="1"/>
  <c r="BQ43" i="1"/>
  <c r="BQ22" i="1"/>
  <c r="BQ30" i="1"/>
  <c r="BQ44" i="1"/>
  <c r="BF12" i="1"/>
  <c r="BG12" i="1" s="1"/>
  <c r="BF10" i="1"/>
  <c r="BG10" i="1" s="1"/>
  <c r="E23" i="1"/>
  <c r="F23" i="1" s="1"/>
  <c r="BR17" i="1"/>
  <c r="BR29" i="1"/>
  <c r="BR33" i="1"/>
  <c r="BE45" i="1"/>
  <c r="BR43" i="1"/>
  <c r="BR28" i="1"/>
  <c r="BR32" i="1"/>
  <c r="BP45" i="1"/>
  <c r="BR42" i="1"/>
  <c r="BP18" i="1"/>
  <c r="BR16" i="1"/>
  <c r="BQ16" i="1"/>
  <c r="BN12" i="1"/>
  <c r="BO12" i="1" s="1"/>
  <c r="BI23" i="1"/>
  <c r="BN23" i="1" s="1"/>
  <c r="BN11" i="1"/>
  <c r="BO11" i="1" s="1"/>
  <c r="BP11" i="1"/>
  <c r="BR11" i="1" s="1"/>
  <c r="BH18" i="1"/>
  <c r="BH23" i="1" s="1"/>
  <c r="AP12" i="1"/>
  <c r="AQ12" i="1" s="1"/>
  <c r="AJ23" i="1"/>
  <c r="AP15" i="1"/>
  <c r="AQ15" i="1" s="1"/>
  <c r="AC23" i="1"/>
  <c r="Z15" i="1"/>
  <c r="AA15" i="1" s="1"/>
  <c r="AB15" i="1"/>
  <c r="AB23" i="1" s="1"/>
  <c r="BR22" i="1"/>
  <c r="BR12" i="1"/>
  <c r="BR10" i="1"/>
  <c r="S10" i="1"/>
  <c r="T10" i="1" s="1"/>
  <c r="O23" i="1"/>
  <c r="BQ20" i="1"/>
  <c r="BR20" i="1"/>
  <c r="G23" i="1"/>
  <c r="F17" i="1"/>
  <c r="AY23" i="1"/>
  <c r="BR40" i="1"/>
  <c r="M16" i="1"/>
  <c r="F12" i="1"/>
  <c r="M13" i="1"/>
  <c r="BR13" i="1"/>
  <c r="F20" i="1"/>
  <c r="M22" i="1"/>
  <c r="AS35" i="1"/>
  <c r="BG9" i="1"/>
  <c r="F15" i="1"/>
  <c r="AX23" i="1"/>
  <c r="F9" i="1"/>
  <c r="L23" i="1"/>
  <c r="M23" i="1" s="1"/>
  <c r="AR35" i="1"/>
  <c r="AQ45" i="1"/>
  <c r="F14" i="1"/>
  <c r="BQ9" i="1"/>
  <c r="F19" i="1"/>
  <c r="AH23" i="1" l="1"/>
  <c r="BQ18" i="1"/>
  <c r="Z23" i="1"/>
  <c r="AI23" i="1"/>
  <c r="AA23" i="1"/>
  <c r="AG23" i="1"/>
  <c r="U23" i="1"/>
  <c r="BQ14" i="1"/>
  <c r="BQ45" i="1"/>
  <c r="T23" i="1"/>
  <c r="BG23" i="1"/>
  <c r="BQ13" i="1"/>
  <c r="BQ10" i="1"/>
  <c r="AQ23" i="1"/>
  <c r="BR15" i="1"/>
  <c r="BQ19" i="1"/>
  <c r="BQ35" i="1"/>
  <c r="BR35" i="1"/>
  <c r="BR45" i="1"/>
  <c r="BO23" i="1"/>
  <c r="BF23" i="1"/>
  <c r="AP23" i="1"/>
  <c r="BP23" i="1"/>
  <c r="BQ15" i="1"/>
  <c r="BQ11" i="1"/>
  <c r="BR18" i="1"/>
  <c r="BQ12" i="1"/>
  <c r="S23" i="1"/>
  <c r="BR53" i="1" l="1"/>
  <c r="BR23" i="1"/>
  <c r="BR50" i="1" s="1"/>
  <c r="BR51" i="1" s="1"/>
  <c r="AR49" i="1" s="1"/>
  <c r="AR50" i="1" s="1"/>
  <c r="BQ23" i="1"/>
  <c r="BQ48" i="1" s="1"/>
  <c r="BR48" i="1"/>
</calcChain>
</file>

<file path=xl/sharedStrings.xml><?xml version="1.0" encoding="utf-8"?>
<sst xmlns="http://schemas.openxmlformats.org/spreadsheetml/2006/main" count="209" uniqueCount="91">
  <si>
    <t>Pre-School and Elementary Level</t>
  </si>
  <si>
    <t>School</t>
  </si>
  <si>
    <t>Pre-Kindergarten</t>
  </si>
  <si>
    <t>4 YR OLD 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</si>
  <si>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</si>
  <si>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</si>
  <si>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</si>
  <si>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</si>
  <si>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</si>
  <si>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</si>
  <si>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</si>
  <si>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Totals</t>
  </si>
  <si>
    <t>Enrolled</t>
  </si>
  <si>
    <t>Add Res OE</t>
  </si>
  <si>
    <t>Subtract Non Res OE</t>
  </si>
  <si>
    <t>Total for DPI</t>
  </si>
  <si>
    <t>FTE for DPI</t>
  </si>
  <si>
    <t>Total for Staffing</t>
  </si>
  <si>
    <t>Add Res 66.030</t>
  </si>
  <si>
    <t>Add Residential Treatment</t>
  </si>
  <si>
    <t>Subtract Resident Part Time</t>
  </si>
  <si>
    <t>Add Res 66.03</t>
  </si>
  <si>
    <t>Subtract Resident Part-Time</t>
  </si>
  <si>
    <t>Add Res CESA</t>
  </si>
  <si>
    <t>School Total for DPI</t>
  </si>
  <si>
    <t>School Total for Staffing</t>
  </si>
  <si>
    <t>Elementary</t>
  </si>
  <si>
    <t xml:space="preserve"> </t>
  </si>
  <si>
    <t>Bannach</t>
  </si>
  <si>
    <t>Jefferson</t>
  </si>
  <si>
    <t>Kennedy</t>
  </si>
  <si>
    <t>Madison</t>
  </si>
  <si>
    <t>McDill</t>
  </si>
  <si>
    <t>McKinley</t>
  </si>
  <si>
    <t>Plover-Whiting.</t>
  </si>
  <si>
    <t>Point of Discovery</t>
  </si>
  <si>
    <t>Preschool Options</t>
  </si>
  <si>
    <t>Roosevelt</t>
  </si>
  <si>
    <t>Washington</t>
  </si>
  <si>
    <t>4 YR Old K-Agency</t>
  </si>
  <si>
    <t>RVA</t>
  </si>
  <si>
    <t>Total Elem.</t>
  </si>
  <si>
    <t>7th Grade</t>
  </si>
  <si>
    <t>8th Grade</t>
  </si>
  <si>
    <t>9th Grade</t>
  </si>
  <si>
    <t>Jr. Hi. Totals</t>
  </si>
  <si>
    <t>Subtract Residents Part Time</t>
  </si>
  <si>
    <t>Subtract Residents Age Ineligible</t>
  </si>
  <si>
    <t>Add Residents in Residential Treatment</t>
  </si>
  <si>
    <t>Subtract non-resident part-time</t>
  </si>
  <si>
    <t>Subtract Non Res 66.0301</t>
  </si>
  <si>
    <t>Subtract Non Res Incarcerated</t>
  </si>
  <si>
    <t>7th Total for DPI</t>
  </si>
  <si>
    <t>7th Total for Staffing</t>
  </si>
  <si>
    <t>Add Residential CESA</t>
  </si>
  <si>
    <t>8th Total for DPI</t>
  </si>
  <si>
    <t>8th Total for Staffing</t>
  </si>
  <si>
    <t>Add Resident 66.030</t>
  </si>
  <si>
    <t>Subtract Non Res Tuition</t>
  </si>
  <si>
    <t>9th Total for DPI</t>
  </si>
  <si>
    <t>9th Total for Staffing</t>
  </si>
  <si>
    <t>Ben Franklin</t>
  </si>
  <si>
    <t>P. J. Jacobs</t>
  </si>
  <si>
    <t>SPASH</t>
  </si>
  <si>
    <t>Juvenile Detention</t>
  </si>
  <si>
    <t>Fernandez Ctr.</t>
  </si>
  <si>
    <t>Total Jr. Hi.</t>
  </si>
  <si>
    <t>Senior High Level</t>
  </si>
  <si>
    <t>10th Grade</t>
  </si>
  <si>
    <t>11th Grade</t>
  </si>
  <si>
    <t>12th Grade</t>
  </si>
  <si>
    <t>Sr. Hi. Totals</t>
  </si>
  <si>
    <t>10th Total for DPI</t>
  </si>
  <si>
    <t>10th Total for Staffing</t>
  </si>
  <si>
    <t>Add Res Residential Treatment</t>
  </si>
  <si>
    <t>11th Total for DPI</t>
  </si>
  <si>
    <t>11th Total for Staffing</t>
  </si>
  <si>
    <t>12th Total for DPI</t>
  </si>
  <si>
    <t>12th Total for Staffing</t>
  </si>
  <si>
    <t>PoDS</t>
  </si>
  <si>
    <t>Total Sr. Hi</t>
  </si>
  <si>
    <t>Total Open Enrollment Residents</t>
  </si>
  <si>
    <t>Total Open Enrollment Non Residents</t>
  </si>
  <si>
    <t>September 19, 2025 DPI Final Count</t>
  </si>
  <si>
    <t>Net Change</t>
  </si>
  <si>
    <t>District Staffing Total</t>
  </si>
  <si>
    <t>Official DPI District Total</t>
  </si>
  <si>
    <t>State Aid FTE</t>
  </si>
  <si>
    <t>2ND FRIDAY COUNT</t>
  </si>
  <si>
    <t>FRIDAY, January 9, 2026</t>
  </si>
  <si>
    <t>January 9, 2026 DPI Final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</si>
</sst>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5">
    <font>
      <sz val="9"/>
      <color rgb="FF000000"/>
      <name val="Arimo"/>
      <scheme val="minor"/>
    </font>
    <font>
      <b/>
      <sz val="12"/>
      <color theme="1"/>
      <name val="Arial"/>
    </font>
    <font>
      <b/>
      <sz val="9"/>
      <color theme="1"/>
      <name val="Arial"/>
    </font>
    <font>
      <sz val="9"/>
      <name val="Arimo"/>
    </font>
    <font>
      <b/>
      <sz val="8"/>
      <color theme="1"/>
      <name val="Arial"/>
    </font>
    <font>
      <sz val="6"/>
      <color theme="1"/>
      <name val="Arial"/>
    </font>
    <font>
      <b/>
      <sz val="6"/>
      <color theme="1"/>
      <name val="Arial"/>
    </font>
    <font>
      <b/>
      <u/>
      <sz val="6"/>
      <color theme="1"/>
      <name val="Arial"/>
    </font>
    <font>
      <sz val="9"/>
      <color theme="1"/>
      <name val="Arial"/>
    </font>
    <font>
      <sz val="9"/>
      <color theme="1"/>
      <name val="Arimo"/>
    </font>
    <font>
      <b/>
      <u/>
      <sz val="6"/>
      <color theme="1"/>
      <name val="Arial"/>
    </font>
    <font>
      <b/>
      <u/>
      <sz val="6"/>
      <color theme="1"/>
      <name val="Arial"/>
    </font>
    <font>
      <sz val="6"/>
      <color theme="1"/>
      <name val="Arimo"/>
    </font>
    <font>
      <b/>
      <u/>
      <sz val="6"/>
      <color theme="1"/>
      <name val="Arial"/>
    </font>
    <font>
      <b/>
      <u/>
      <sz val="6"/>
      <color theme="1"/>
      <name val="Arial"/>
    </font>
    <font>
      <b/>
      <u/>
      <sz val="6"/>
      <color theme="1"/>
      <name val="Arial"/>
    </font>
    <font>
      <sz val="8"/>
      <color theme="1"/>
      <name val="Arial"/>
    </font>
    <font>
      <sz val="8"/>
      <color theme="1"/>
      <name val="Arimo"/>
    </font>
    <font>
      <b/>
      <sz val="16"/>
      <color theme="1"/>
      <name val="Arial"/>
    </font>
    <font>
      <sz val="11"/>
      <color theme="1"/>
      <name val="Arimo"/>
    </font>
    <font>
      <b/>
      <sz val="11"/>
      <color theme="1"/>
      <name val="Arimo"/>
    </font>
    <font>
      <b/>
      <sz val="9"/>
      <color theme="1"/>
      <name val="Arimo"/>
    </font>
    <font>
      <sz val="10"/>
      <color theme="1"/>
      <name val="Arimo"/>
    </font>
    <font>
      <b/>
      <sz val="11"/>
      <color theme="1"/>
      <name val="Arial"/>
    </font>
    <font>
      <b/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6600"/>
        <bgColor rgb="FFFF6600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14" fontId="2" fillId="0" borderId="0" xfId="0" applyNumberFormat="1" applyFont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textRotation="90"/>
    </xf>
    <xf numFmtId="0" fontId="5" fillId="0" borderId="7" xfId="0" applyFont="1" applyBorder="1" applyAlignment="1">
      <alignment textRotation="90"/>
    </xf>
    <xf numFmtId="0" fontId="6" fillId="0" borderId="7" xfId="0" applyFont="1" applyBorder="1" applyAlignment="1">
      <alignment textRotation="90"/>
    </xf>
    <xf numFmtId="0" fontId="5" fillId="2" borderId="8" xfId="0" applyFont="1" applyFill="1" applyBorder="1" applyAlignment="1">
      <alignment textRotation="90"/>
    </xf>
    <xf numFmtId="0" fontId="5" fillId="0" borderId="9" xfId="0" applyFont="1" applyBorder="1" applyAlignment="1">
      <alignment textRotation="90"/>
    </xf>
    <xf numFmtId="0" fontId="6" fillId="0" borderId="10" xfId="0" applyFont="1" applyBorder="1" applyAlignment="1">
      <alignment textRotation="90"/>
    </xf>
    <xf numFmtId="0" fontId="5" fillId="0" borderId="11" xfId="0" applyFont="1" applyBorder="1" applyAlignment="1">
      <alignment textRotation="90"/>
    </xf>
    <xf numFmtId="0" fontId="6" fillId="0" borderId="12" xfId="0" applyFont="1" applyBorder="1" applyAlignment="1">
      <alignment horizontal="center" textRotation="90"/>
    </xf>
    <xf numFmtId="0" fontId="6" fillId="0" borderId="5" xfId="0" applyFont="1" applyBorder="1" applyAlignment="1">
      <alignment horizontal="center" textRotation="90"/>
    </xf>
    <xf numFmtId="0" fontId="6" fillId="0" borderId="15" xfId="0" applyFont="1" applyBorder="1"/>
    <xf numFmtId="0" fontId="9" fillId="0" borderId="0" xfId="0" applyFont="1"/>
    <xf numFmtId="0" fontId="2" fillId="0" borderId="21" xfId="0" applyFont="1" applyBorder="1"/>
    <xf numFmtId="0" fontId="2" fillId="0" borderId="13" xfId="0" applyFont="1" applyBorder="1"/>
    <xf numFmtId="0" fontId="5" fillId="2" borderId="24" xfId="0" applyFont="1" applyFill="1" applyBorder="1"/>
    <xf numFmtId="0" fontId="6" fillId="0" borderId="26" xfId="0" applyFont="1" applyBorder="1"/>
    <xf numFmtId="0" fontId="6" fillId="2" borderId="26" xfId="0" applyFont="1" applyFill="1" applyBorder="1"/>
    <xf numFmtId="0" fontId="2" fillId="0" borderId="26" xfId="0" applyFont="1" applyBorder="1"/>
    <xf numFmtId="0" fontId="6" fillId="0" borderId="5" xfId="0" applyFont="1" applyBorder="1"/>
    <xf numFmtId="0" fontId="5" fillId="3" borderId="17" xfId="0" applyFont="1" applyFill="1" applyBorder="1"/>
    <xf numFmtId="0" fontId="5" fillId="3" borderId="38" xfId="0" applyFont="1" applyFill="1" applyBorder="1"/>
    <xf numFmtId="0" fontId="5" fillId="3" borderId="39" xfId="0" applyFont="1" applyFill="1" applyBorder="1"/>
    <xf numFmtId="0" fontId="8" fillId="3" borderId="39" xfId="0" applyFont="1" applyFill="1" applyBorder="1"/>
    <xf numFmtId="0" fontId="8" fillId="3" borderId="40" xfId="0" applyFont="1" applyFill="1" applyBorder="1"/>
    <xf numFmtId="0" fontId="5" fillId="0" borderId="0" xfId="0" applyFont="1"/>
    <xf numFmtId="0" fontId="8" fillId="0" borderId="0" xfId="0" applyFont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5" fillId="0" borderId="0" xfId="0" applyFont="1" applyAlignment="1">
      <alignment textRotation="90"/>
    </xf>
    <xf numFmtId="0" fontId="6" fillId="0" borderId="0" xfId="0" applyFont="1" applyAlignment="1">
      <alignment horizontal="center" textRotation="90"/>
    </xf>
    <xf numFmtId="2" fontId="5" fillId="0" borderId="12" xfId="0" applyNumberFormat="1" applyFont="1" applyBorder="1" applyAlignment="1">
      <alignment horizontal="center" textRotation="90"/>
    </xf>
    <xf numFmtId="0" fontId="5" fillId="0" borderId="5" xfId="0" applyFont="1" applyBorder="1" applyAlignment="1">
      <alignment textRotation="90"/>
    </xf>
    <xf numFmtId="0" fontId="6" fillId="0" borderId="6" xfId="0" applyFont="1" applyBorder="1" applyAlignment="1">
      <alignment horizontal="center" textRotation="90"/>
    </xf>
    <xf numFmtId="0" fontId="6" fillId="0" borderId="5" xfId="0" applyFont="1" applyBorder="1" applyAlignment="1">
      <alignment textRotation="90"/>
    </xf>
    <xf numFmtId="0" fontId="5" fillId="0" borderId="21" xfId="0" applyFont="1" applyBorder="1"/>
    <xf numFmtId="0" fontId="5" fillId="2" borderId="41" xfId="0" applyFont="1" applyFill="1" applyBorder="1"/>
    <xf numFmtId="0" fontId="5" fillId="2" borderId="13" xfId="0" applyFont="1" applyFill="1" applyBorder="1"/>
    <xf numFmtId="0" fontId="6" fillId="2" borderId="13" xfId="0" applyFont="1" applyFill="1" applyBorder="1"/>
    <xf numFmtId="0" fontId="12" fillId="2" borderId="13" xfId="0" applyFont="1" applyFill="1" applyBorder="1"/>
    <xf numFmtId="0" fontId="6" fillId="0" borderId="13" xfId="0" applyFont="1" applyBorder="1"/>
    <xf numFmtId="0" fontId="5" fillId="0" borderId="42" xfId="0" applyFont="1" applyBorder="1"/>
    <xf numFmtId="0" fontId="5" fillId="2" borderId="26" xfId="0" applyFont="1" applyFill="1" applyBorder="1"/>
    <xf numFmtId="0" fontId="5" fillId="2" borderId="43" xfId="0" applyFont="1" applyFill="1" applyBorder="1"/>
    <xf numFmtId="0" fontId="5" fillId="0" borderId="45" xfId="0" applyFont="1" applyBorder="1"/>
    <xf numFmtId="0" fontId="5" fillId="0" borderId="12" xfId="0" applyFont="1" applyBorder="1"/>
    <xf numFmtId="0" fontId="2" fillId="0" borderId="5" xfId="0" applyFont="1" applyBorder="1"/>
    <xf numFmtId="0" fontId="5" fillId="3" borderId="46" xfId="0" applyFont="1" applyFill="1" applyBorder="1"/>
    <xf numFmtId="0" fontId="8" fillId="3" borderId="46" xfId="0" applyFont="1" applyFill="1" applyBorder="1"/>
    <xf numFmtId="0" fontId="8" fillId="3" borderId="47" xfId="0" applyFont="1" applyFill="1" applyBorder="1"/>
    <xf numFmtId="0" fontId="15" fillId="0" borderId="12" xfId="0" applyFont="1" applyBorder="1"/>
    <xf numFmtId="0" fontId="5" fillId="2" borderId="47" xfId="0" applyFont="1" applyFill="1" applyBorder="1"/>
    <xf numFmtId="0" fontId="5" fillId="0" borderId="49" xfId="0" applyFont="1" applyBorder="1"/>
    <xf numFmtId="0" fontId="6" fillId="0" borderId="45" xfId="0" applyFont="1" applyBorder="1"/>
    <xf numFmtId="0" fontId="5" fillId="0" borderId="44" xfId="0" applyFont="1" applyBorder="1"/>
    <xf numFmtId="0" fontId="6" fillId="0" borderId="44" xfId="0" applyFont="1" applyBorder="1"/>
    <xf numFmtId="0" fontId="2" fillId="0" borderId="44" xfId="0" applyFont="1" applyBorder="1"/>
    <xf numFmtId="0" fontId="5" fillId="3" borderId="50" xfId="0" applyFont="1" applyFill="1" applyBorder="1" applyAlignment="1">
      <alignment horizontal="center"/>
    </xf>
    <xf numFmtId="0" fontId="5" fillId="3" borderId="38" xfId="0" applyFont="1" applyFill="1" applyBorder="1" applyAlignment="1">
      <alignment horizontal="center"/>
    </xf>
    <xf numFmtId="0" fontId="5" fillId="3" borderId="5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8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6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41" fontId="8" fillId="0" borderId="0" xfId="0" applyNumberFormat="1" applyFont="1"/>
    <xf numFmtId="0" fontId="17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8" fillId="0" borderId="2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6" fillId="0" borderId="0" xfId="0" applyFont="1"/>
    <xf numFmtId="0" fontId="1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21" fillId="0" borderId="21" xfId="0" applyFont="1" applyBorder="1" applyAlignment="1">
      <alignment horizontal="right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4" fillId="0" borderId="0" xfId="0" applyFont="1"/>
    <xf numFmtId="0" fontId="23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/>
    </xf>
    <xf numFmtId="0" fontId="0" fillId="0" borderId="0" xfId="0"/>
    <xf numFmtId="14" fontId="2" fillId="0" borderId="0" xfId="0" applyNumberFormat="1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0" fontId="22" fillId="0" borderId="0" xfId="0" applyFont="1" applyAlignment="1">
      <alignment horizontal="right"/>
    </xf>
    <xf numFmtId="0" fontId="4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0" borderId="38" xfId="0" applyFont="1" applyBorder="1"/>
    <xf numFmtId="0" fontId="5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51" xfId="0" applyFont="1" applyBorder="1"/>
    <xf numFmtId="2" fontId="5" fillId="0" borderId="51" xfId="0" applyNumberFormat="1" applyFont="1" applyBorder="1" applyAlignment="1">
      <alignment horizontal="center" textRotation="90"/>
    </xf>
    <xf numFmtId="0" fontId="13" fillId="0" borderId="55" xfId="0" applyFont="1" applyBorder="1"/>
    <xf numFmtId="0" fontId="14" fillId="0" borderId="39" xfId="0" applyFont="1" applyBorder="1"/>
    <xf numFmtId="0" fontId="15" fillId="0" borderId="40" xfId="0" applyFont="1" applyBorder="1"/>
    <xf numFmtId="0" fontId="4" fillId="0" borderId="50" xfId="0" applyFont="1" applyBorder="1"/>
    <xf numFmtId="0" fontId="24" fillId="0" borderId="56" xfId="0" applyFont="1" applyBorder="1" applyAlignment="1">
      <alignment horizontal="center"/>
    </xf>
    <xf numFmtId="0" fontId="24" fillId="0" borderId="54" xfId="0" applyFont="1" applyBorder="1" applyAlignment="1">
      <alignment horizontal="center"/>
    </xf>
    <xf numFmtId="0" fontId="24" fillId="0" borderId="57" xfId="0" applyFont="1" applyBorder="1" applyAlignment="1">
      <alignment horizontal="center"/>
    </xf>
    <xf numFmtId="0" fontId="24" fillId="4" borderId="60" xfId="0" applyFont="1" applyFill="1" applyBorder="1" applyAlignment="1">
      <alignment horizontal="center"/>
    </xf>
    <xf numFmtId="0" fontId="24" fillId="4" borderId="53" xfId="0" applyFont="1" applyFill="1" applyBorder="1" applyAlignment="1">
      <alignment horizontal="center"/>
    </xf>
    <xf numFmtId="0" fontId="24" fillId="4" borderId="61" xfId="0" applyFont="1" applyFill="1" applyBorder="1" applyAlignment="1">
      <alignment horizontal="center"/>
    </xf>
    <xf numFmtId="0" fontId="11" fillId="0" borderId="59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6" fillId="2" borderId="65" xfId="0" applyFont="1" applyFill="1" applyBorder="1"/>
    <xf numFmtId="0" fontId="0" fillId="0" borderId="0" xfId="0" applyAlignment="1">
      <alignment horizontal="center"/>
    </xf>
    <xf numFmtId="0" fontId="5" fillId="0" borderId="51" xfId="0" applyFont="1" applyBorder="1" applyAlignment="1">
      <alignment textRotation="90"/>
    </xf>
    <xf numFmtId="0" fontId="4" fillId="0" borderId="3" xfId="0" applyFont="1" applyBorder="1" applyAlignment="1">
      <alignment horizontal="center"/>
    </xf>
    <xf numFmtId="0" fontId="6" fillId="0" borderId="50" xfId="0" applyFont="1" applyBorder="1" applyAlignment="1">
      <alignment horizontal="center" textRotation="90"/>
    </xf>
    <xf numFmtId="0" fontId="6" fillId="2" borderId="15" xfId="0" applyFont="1" applyFill="1" applyBorder="1"/>
    <xf numFmtId="0" fontId="6" fillId="2" borderId="28" xfId="0" applyFont="1" applyFill="1" applyBorder="1"/>
    <xf numFmtId="0" fontId="5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3" borderId="55" xfId="0" applyFont="1" applyFill="1" applyBorder="1"/>
    <xf numFmtId="0" fontId="24" fillId="0" borderId="58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0" fillId="0" borderId="39" xfId="0" applyBorder="1"/>
    <xf numFmtId="0" fontId="4" fillId="0" borderId="63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5" fillId="2" borderId="15" xfId="0" applyFont="1" applyFill="1" applyBorder="1"/>
    <xf numFmtId="0" fontId="5" fillId="2" borderId="28" xfId="0" applyFont="1" applyFill="1" applyBorder="1"/>
    <xf numFmtId="0" fontId="5" fillId="2" borderId="49" xfId="0" applyFont="1" applyFill="1" applyBorder="1"/>
    <xf numFmtId="0" fontId="0" fillId="0" borderId="58" xfId="0" applyBorder="1"/>
    <xf numFmtId="0" fontId="5" fillId="0" borderId="50" xfId="0" applyFont="1" applyBorder="1" applyAlignment="1">
      <alignment textRotation="90"/>
    </xf>
    <xf numFmtId="0" fontId="12" fillId="2" borderId="15" xfId="0" applyFont="1" applyFill="1" applyBorder="1"/>
    <xf numFmtId="0" fontId="12" fillId="2" borderId="41" xfId="0" applyFont="1" applyFill="1" applyBorder="1"/>
    <xf numFmtId="0" fontId="0" fillId="0" borderId="59" xfId="0" applyBorder="1"/>
    <xf numFmtId="0" fontId="0" fillId="0" borderId="66" xfId="0" applyBorder="1"/>
    <xf numFmtId="0" fontId="0" fillId="0" borderId="58" xfId="0" applyBorder="1" applyAlignment="1"/>
    <xf numFmtId="2" fontId="5" fillId="0" borderId="67" xfId="0" applyNumberFormat="1" applyFont="1" applyBorder="1" applyAlignment="1">
      <alignment horizontal="center" textRotation="90"/>
    </xf>
    <xf numFmtId="0" fontId="0" fillId="0" borderId="59" xfId="0" applyBorder="1" applyAlignment="1"/>
    <xf numFmtId="0" fontId="0" fillId="0" borderId="66" xfId="0" applyBorder="1" applyAlignment="1"/>
    <xf numFmtId="0" fontId="12" fillId="0" borderId="41" xfId="0" applyFont="1" applyFill="1" applyBorder="1"/>
    <xf numFmtId="0" fontId="5" fillId="0" borderId="41" xfId="0" applyFont="1" applyFill="1" applyBorder="1"/>
    <xf numFmtId="0" fontId="5" fillId="0" borderId="49" xfId="0" applyFont="1" applyFill="1" applyBorder="1"/>
    <xf numFmtId="0" fontId="12" fillId="0" borderId="51" xfId="0" applyFont="1" applyFill="1" applyBorder="1"/>
    <xf numFmtId="0" fontId="5" fillId="0" borderId="47" xfId="0" applyFont="1" applyFill="1" applyBorder="1"/>
    <xf numFmtId="0" fontId="5" fillId="0" borderId="43" xfId="0" applyFont="1" applyFill="1" applyBorder="1"/>
    <xf numFmtId="0" fontId="5" fillId="0" borderId="13" xfId="0" applyFont="1" applyFill="1" applyBorder="1"/>
    <xf numFmtId="0" fontId="5" fillId="0" borderId="24" xfId="0" applyFont="1" applyFill="1" applyBorder="1"/>
    <xf numFmtId="0" fontId="5" fillId="0" borderId="26" xfId="0" applyFont="1" applyFill="1" applyBorder="1"/>
    <xf numFmtId="0" fontId="5" fillId="0" borderId="2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2" fillId="0" borderId="13" xfId="0" applyFont="1" applyFill="1" applyBorder="1"/>
    <xf numFmtId="0" fontId="5" fillId="0" borderId="2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16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left"/>
    </xf>
    <xf numFmtId="0" fontId="8" fillId="0" borderId="0" xfId="0" applyFont="1" applyFill="1"/>
    <xf numFmtId="41" fontId="8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29</xdr:row>
      <xdr:rowOff>0</xdr:rowOff>
    </xdr:from>
    <xdr:ext cx="3486150" cy="35909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" y="6734175"/>
          <a:ext cx="3486150" cy="35909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b="1" i="0" u="sng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Official DPI Totals (Resident students counted for state aid purposes)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Regular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Self-Contained Special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Gifted/Talented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Resident Open Enrollment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Resident Tuition Waiver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NorthWest Passage Day Treatment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b="1" i="0" u="sng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Staffing Totals (Students in seats for staffing purposes)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Regular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Self-Contained Special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Gifted/Talented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Open Enrollment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Tuition Waiver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66.30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NorthWest Passage Day Treatment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</xdr:txBody>
    </xdr:sp>
    <xdr:clientData fLocksWithSheet="0"/>
  </xdr:oneCellAnchor>
  <xdr:oneCellAnchor>
    <xdr:from>
      <xdr:col>1</xdr:col>
      <xdr:colOff>0</xdr:colOff>
      <xdr:row>50</xdr:row>
      <xdr:rowOff>295275</xdr:rowOff>
    </xdr:from>
    <xdr:ext cx="7829550" cy="1247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35988" y="3160875"/>
          <a:ext cx="7820025" cy="12382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mo"/>
            <a:buNone/>
          </a:pPr>
          <a:r>
            <a:rPr lang="en-US" sz="14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Please Note: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This document will be available on the district website.  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The district's home page is located at: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www.pointschools.net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Under District Home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Select "District Information"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</xdr:txBody>
    </xdr:sp>
    <xdr:clientData fLocksWithSheet="0"/>
  </xdr:oneCellAnchor>
  <xdr:oneCellAnchor>
    <xdr:from>
      <xdr:col>66</xdr:col>
      <xdr:colOff>161925</xdr:colOff>
      <xdr:row>53</xdr:row>
      <xdr:rowOff>57150</xdr:rowOff>
    </xdr:from>
    <xdr:ext cx="1800225" cy="990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001"/>
  <sheetViews>
    <sheetView tabSelected="1" topLeftCell="K33" workbookViewId="0">
      <selection activeCell="W62" sqref="W62"/>
    </sheetView>
  </sheetViews>
  <sheetFormatPr defaultColWidth="14.42578125" defaultRowHeight="15" customHeight="1"/>
  <cols>
    <col min="1" max="1" width="12.140625" style="173" customWidth="1"/>
    <col min="2" max="7" width="3.140625" customWidth="1"/>
    <col min="8" max="9" width="4" customWidth="1"/>
    <col min="10" max="10" width="3.85546875" customWidth="1"/>
    <col min="11" max="11" width="3.28515625" customWidth="1"/>
    <col min="12" max="12" width="4.42578125" customWidth="1"/>
    <col min="13" max="13" width="5.7109375" customWidth="1"/>
    <col min="14" max="14" width="4" customWidth="1"/>
    <col min="15" max="18" width="3.140625" customWidth="1"/>
    <col min="19" max="20" width="4" customWidth="1"/>
    <col min="21" max="21" width="4.42578125" customWidth="1"/>
    <col min="22" max="24" width="3.140625" customWidth="1"/>
    <col min="25" max="25" width="4.28515625" customWidth="1"/>
    <col min="26" max="27" width="3.140625" customWidth="1"/>
    <col min="28" max="28" width="4.5703125" customWidth="1"/>
    <col min="29" max="34" width="3.140625" customWidth="1"/>
    <col min="35" max="35" width="3.85546875" customWidth="1"/>
    <col min="36" max="42" width="3.140625" customWidth="1"/>
    <col min="43" max="43" width="3.7109375" customWidth="1"/>
    <col min="44" max="44" width="5.7109375" customWidth="1"/>
    <col min="45" max="46" width="3.85546875" bestFit="1" customWidth="1"/>
    <col min="47" max="48" width="3.140625" customWidth="1"/>
    <col min="49" max="49" width="4.140625" customWidth="1"/>
    <col min="50" max="50" width="4.42578125" customWidth="1"/>
    <col min="51" max="52" width="3.85546875" customWidth="1"/>
    <col min="53" max="53" width="3.140625" customWidth="1"/>
    <col min="54" max="54" width="3.7109375" customWidth="1"/>
    <col min="55" max="56" width="4.42578125" customWidth="1"/>
    <col min="57" max="57" width="4.140625" customWidth="1"/>
    <col min="58" max="58" width="3.140625" customWidth="1"/>
    <col min="59" max="59" width="3.7109375" customWidth="1"/>
    <col min="60" max="60" width="3.5703125" customWidth="1"/>
    <col min="61" max="61" width="3.85546875" customWidth="1"/>
    <col min="62" max="65" width="3.140625" customWidth="1"/>
    <col min="66" max="66" width="4.42578125" customWidth="1"/>
    <col min="67" max="67" width="3.42578125" customWidth="1"/>
    <col min="68" max="68" width="6" customWidth="1"/>
    <col min="69" max="69" width="10" customWidth="1"/>
    <col min="70" max="70" width="11.85546875" customWidth="1"/>
    <col min="71" max="78" width="11.42578125" customWidth="1"/>
  </cols>
  <sheetData>
    <row r="1" spans="1:78" ht="12" customHeight="1">
      <c r="A1" s="92" t="s">
        <v>88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</row>
    <row r="2" spans="1:78" ht="15.75" customHeight="1"/>
    <row r="3" spans="1:78" ht="12" customHeight="1">
      <c r="A3" s="94" t="s">
        <v>89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</row>
    <row r="4" spans="1:78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8" ht="12.75" customHeight="1">
      <c r="A5" s="95" t="s">
        <v>0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91"/>
    </row>
    <row r="6" spans="1:78" ht="12.75" customHeight="1">
      <c r="A6" s="2" t="s">
        <v>1</v>
      </c>
      <c r="B6" s="96" t="s">
        <v>2</v>
      </c>
      <c r="C6" s="89"/>
      <c r="D6" s="89"/>
      <c r="E6" s="89"/>
      <c r="F6" s="89"/>
      <c r="G6" s="91"/>
      <c r="H6" s="88" t="s">
        <v>3</v>
      </c>
      <c r="I6" s="89"/>
      <c r="J6" s="89"/>
      <c r="K6" s="89"/>
      <c r="L6" s="89"/>
      <c r="M6" s="89"/>
      <c r="N6" s="91"/>
      <c r="O6" s="96" t="s">
        <v>4</v>
      </c>
      <c r="P6" s="89"/>
      <c r="Q6" s="89"/>
      <c r="R6" s="89"/>
      <c r="S6" s="89"/>
      <c r="T6" s="89"/>
      <c r="U6" s="89"/>
      <c r="V6" s="88" t="s">
        <v>5</v>
      </c>
      <c r="W6" s="89"/>
      <c r="X6" s="89"/>
      <c r="Y6" s="89"/>
      <c r="Z6" s="89"/>
      <c r="AA6" s="89"/>
      <c r="AB6" s="89"/>
      <c r="AC6" s="88" t="s">
        <v>6</v>
      </c>
      <c r="AD6" s="89"/>
      <c r="AE6" s="89"/>
      <c r="AF6" s="89"/>
      <c r="AG6" s="89"/>
      <c r="AH6" s="89"/>
      <c r="AI6" s="89"/>
      <c r="AJ6" s="88" t="s">
        <v>7</v>
      </c>
      <c r="AK6" s="89"/>
      <c r="AL6" s="89"/>
      <c r="AM6" s="89"/>
      <c r="AN6" s="89"/>
      <c r="AO6" s="89"/>
      <c r="AP6" s="89"/>
      <c r="AQ6" s="89"/>
      <c r="AR6" s="91"/>
      <c r="AS6" s="88" t="s">
        <v>8</v>
      </c>
      <c r="AT6" s="89"/>
      <c r="AU6" s="89"/>
      <c r="AV6" s="89"/>
      <c r="AW6" s="89"/>
      <c r="AX6" s="89"/>
      <c r="AY6" s="89"/>
      <c r="AZ6" s="89"/>
      <c r="BA6" s="88" t="s">
        <v>9</v>
      </c>
      <c r="BB6" s="89"/>
      <c r="BC6" s="89"/>
      <c r="BD6" s="89"/>
      <c r="BE6" s="89"/>
      <c r="BF6" s="89"/>
      <c r="BG6" s="89"/>
      <c r="BH6" s="91"/>
      <c r="BI6" s="88" t="s">
        <v>10</v>
      </c>
      <c r="BJ6" s="89"/>
      <c r="BK6" s="89"/>
      <c r="BL6" s="89"/>
      <c r="BM6" s="89"/>
      <c r="BN6" s="89"/>
      <c r="BO6" s="89"/>
      <c r="BP6" s="91"/>
      <c r="BQ6" s="90" t="s">
        <v>11</v>
      </c>
      <c r="BR6" s="91"/>
    </row>
    <row r="7" spans="1:78" ht="94.5" customHeight="1">
      <c r="A7" s="179"/>
      <c r="B7" s="3" t="s">
        <v>12</v>
      </c>
      <c r="C7" s="3" t="s">
        <v>13</v>
      </c>
      <c r="D7" s="4" t="s">
        <v>14</v>
      </c>
      <c r="E7" s="5" t="s">
        <v>15</v>
      </c>
      <c r="F7" s="5" t="s">
        <v>16</v>
      </c>
      <c r="G7" s="5" t="s">
        <v>17</v>
      </c>
      <c r="H7" s="6" t="s">
        <v>12</v>
      </c>
      <c r="I7" s="7" t="s">
        <v>13</v>
      </c>
      <c r="J7" s="3" t="s">
        <v>18</v>
      </c>
      <c r="K7" s="4" t="s">
        <v>14</v>
      </c>
      <c r="L7" s="5" t="s">
        <v>15</v>
      </c>
      <c r="M7" s="5" t="s">
        <v>16</v>
      </c>
      <c r="N7" s="8" t="s">
        <v>17</v>
      </c>
      <c r="O7" s="9" t="s">
        <v>12</v>
      </c>
      <c r="P7" s="3" t="s">
        <v>13</v>
      </c>
      <c r="Q7" s="3" t="s">
        <v>18</v>
      </c>
      <c r="R7" s="4" t="s">
        <v>14</v>
      </c>
      <c r="S7" s="5" t="s">
        <v>15</v>
      </c>
      <c r="T7" s="5" t="s">
        <v>16</v>
      </c>
      <c r="U7" s="8" t="s">
        <v>17</v>
      </c>
      <c r="V7" s="9" t="s">
        <v>12</v>
      </c>
      <c r="W7" s="3" t="s">
        <v>13</v>
      </c>
      <c r="X7" s="3" t="s">
        <v>18</v>
      </c>
      <c r="Y7" s="4" t="s">
        <v>14</v>
      </c>
      <c r="Z7" s="5" t="s">
        <v>15</v>
      </c>
      <c r="AA7" s="5" t="s">
        <v>16</v>
      </c>
      <c r="AB7" s="8" t="s">
        <v>17</v>
      </c>
      <c r="AC7" s="9" t="s">
        <v>12</v>
      </c>
      <c r="AD7" s="3" t="s">
        <v>13</v>
      </c>
      <c r="AE7" s="3" t="s">
        <v>18</v>
      </c>
      <c r="AF7" s="4" t="s">
        <v>14</v>
      </c>
      <c r="AG7" s="5" t="s">
        <v>15</v>
      </c>
      <c r="AH7" s="5" t="s">
        <v>16</v>
      </c>
      <c r="AI7" s="8" t="s">
        <v>17</v>
      </c>
      <c r="AJ7" s="9" t="s">
        <v>12</v>
      </c>
      <c r="AK7" s="3" t="s">
        <v>13</v>
      </c>
      <c r="AL7" s="3" t="s">
        <v>19</v>
      </c>
      <c r="AM7" s="3" t="s">
        <v>18</v>
      </c>
      <c r="AN7" s="3" t="s">
        <v>20</v>
      </c>
      <c r="AO7" s="4" t="s">
        <v>14</v>
      </c>
      <c r="AP7" s="5" t="s">
        <v>15</v>
      </c>
      <c r="AQ7" s="5" t="s">
        <v>16</v>
      </c>
      <c r="AR7" s="8" t="s">
        <v>17</v>
      </c>
      <c r="AS7" s="9" t="s">
        <v>12</v>
      </c>
      <c r="AT7" s="3" t="s">
        <v>13</v>
      </c>
      <c r="AU7" s="3" t="s">
        <v>21</v>
      </c>
      <c r="AV7" s="3" t="s">
        <v>19</v>
      </c>
      <c r="AW7" s="4" t="s">
        <v>14</v>
      </c>
      <c r="AX7" s="5" t="s">
        <v>15</v>
      </c>
      <c r="AY7" s="5" t="s">
        <v>16</v>
      </c>
      <c r="AZ7" s="8" t="s">
        <v>17</v>
      </c>
      <c r="BA7" s="9" t="s">
        <v>12</v>
      </c>
      <c r="BB7" s="3" t="s">
        <v>13</v>
      </c>
      <c r="BC7" s="3" t="s">
        <v>18</v>
      </c>
      <c r="BD7" s="3" t="s">
        <v>22</v>
      </c>
      <c r="BE7" s="4" t="s">
        <v>14</v>
      </c>
      <c r="BF7" s="5" t="s">
        <v>15</v>
      </c>
      <c r="BG7" s="5" t="s">
        <v>16</v>
      </c>
      <c r="BH7" s="8" t="s">
        <v>17</v>
      </c>
      <c r="BI7" s="9" t="s">
        <v>12</v>
      </c>
      <c r="BJ7" s="3" t="s">
        <v>13</v>
      </c>
      <c r="BK7" s="3" t="s">
        <v>23</v>
      </c>
      <c r="BL7" s="3" t="s">
        <v>20</v>
      </c>
      <c r="BM7" s="4" t="s">
        <v>14</v>
      </c>
      <c r="BN7" s="5" t="s">
        <v>15</v>
      </c>
      <c r="BO7" s="5" t="s">
        <v>16</v>
      </c>
      <c r="BP7" s="8" t="s">
        <v>17</v>
      </c>
      <c r="BQ7" s="10" t="s">
        <v>24</v>
      </c>
      <c r="BR7" s="11" t="s">
        <v>25</v>
      </c>
    </row>
    <row r="8" spans="1:78" ht="12" customHeight="1">
      <c r="A8" s="180" t="s">
        <v>26</v>
      </c>
      <c r="B8" s="105"/>
      <c r="C8" s="105"/>
      <c r="D8" s="105"/>
      <c r="E8" s="106"/>
      <c r="F8" s="106"/>
      <c r="G8" s="106"/>
      <c r="H8" s="107"/>
      <c r="I8" s="108"/>
      <c r="J8" s="108"/>
      <c r="K8" s="109"/>
      <c r="L8" s="110"/>
      <c r="M8" s="110"/>
      <c r="N8" s="111"/>
      <c r="O8" s="112"/>
      <c r="P8" s="113"/>
      <c r="Q8" s="113"/>
      <c r="R8" s="110"/>
      <c r="S8" s="110"/>
      <c r="T8" s="110"/>
      <c r="U8" s="111"/>
      <c r="V8" s="112"/>
      <c r="W8" s="113"/>
      <c r="X8" s="113"/>
      <c r="Y8" s="110"/>
      <c r="Z8" s="110"/>
      <c r="AA8" s="110"/>
      <c r="AB8" s="111"/>
      <c r="AC8" s="112"/>
      <c r="AD8" s="113"/>
      <c r="AE8" s="113"/>
      <c r="AF8" s="110"/>
      <c r="AG8" s="110"/>
      <c r="AH8" s="110"/>
      <c r="AI8" s="111"/>
      <c r="AJ8" s="112"/>
      <c r="AK8" s="113"/>
      <c r="AL8" s="113"/>
      <c r="AM8" s="113"/>
      <c r="AN8" s="113"/>
      <c r="AO8" s="110"/>
      <c r="AP8" s="110"/>
      <c r="AQ8" s="110"/>
      <c r="AR8" s="111"/>
      <c r="AS8" s="112"/>
      <c r="AT8" s="113"/>
      <c r="AU8" s="113"/>
      <c r="AV8" s="113"/>
      <c r="AW8" s="110"/>
      <c r="AX8" s="110"/>
      <c r="AY8" s="110"/>
      <c r="AZ8" s="111"/>
      <c r="BA8" s="112"/>
      <c r="BB8" s="113"/>
      <c r="BC8" s="113"/>
      <c r="BD8" s="113"/>
      <c r="BE8" s="110"/>
      <c r="BF8" s="110"/>
      <c r="BG8" s="110"/>
      <c r="BH8" s="111"/>
      <c r="BI8" s="112"/>
      <c r="BJ8" s="113"/>
      <c r="BK8" s="113"/>
      <c r="BL8" s="113"/>
      <c r="BM8" s="110"/>
      <c r="BN8" s="110"/>
      <c r="BO8" s="110"/>
      <c r="BP8" s="111"/>
      <c r="BQ8" s="114"/>
      <c r="BR8" s="115"/>
      <c r="BS8" s="13" t="s">
        <v>27</v>
      </c>
    </row>
    <row r="9" spans="1:78" ht="12" customHeight="1">
      <c r="A9" s="156" t="s">
        <v>28</v>
      </c>
      <c r="B9" s="109">
        <v>0</v>
      </c>
      <c r="C9" s="109">
        <v>0</v>
      </c>
      <c r="D9" s="109">
        <v>0</v>
      </c>
      <c r="E9" s="106">
        <f t="shared" ref="E9:E22" si="0">B9+C9-D9</f>
        <v>0</v>
      </c>
      <c r="F9" s="106">
        <f t="shared" ref="F9:F22" si="1">E9*0.5</f>
        <v>0</v>
      </c>
      <c r="G9" s="106">
        <f t="shared" ref="G9:G22" si="2">B9</f>
        <v>0</v>
      </c>
      <c r="H9" s="109">
        <v>0</v>
      </c>
      <c r="I9" s="109">
        <v>0</v>
      </c>
      <c r="J9" s="109">
        <v>0</v>
      </c>
      <c r="K9" s="109">
        <v>0</v>
      </c>
      <c r="L9" s="106">
        <f t="shared" ref="L9:L22" si="3">H9+I9+J9-K9</f>
        <v>0</v>
      </c>
      <c r="M9" s="106">
        <f t="shared" ref="M9:M23" si="4">ROUND(L9*0.6,0)</f>
        <v>0</v>
      </c>
      <c r="N9" s="116">
        <f t="shared" ref="N9:N22" si="5">H9</f>
        <v>0</v>
      </c>
      <c r="O9" s="109">
        <f>48+2</f>
        <v>50</v>
      </c>
      <c r="P9" s="218">
        <v>36</v>
      </c>
      <c r="Q9" s="109">
        <v>0</v>
      </c>
      <c r="R9" s="109">
        <v>0</v>
      </c>
      <c r="S9" s="106">
        <f t="shared" ref="S9:S22" si="6">O9+P9+Q9-R9</f>
        <v>86</v>
      </c>
      <c r="T9" s="106">
        <f t="shared" ref="T9:T22" si="7">S9</f>
        <v>86</v>
      </c>
      <c r="U9" s="116">
        <f t="shared" ref="U9:U22" si="8">O9</f>
        <v>50</v>
      </c>
      <c r="V9" s="109">
        <v>44</v>
      </c>
      <c r="W9" s="218">
        <v>35</v>
      </c>
      <c r="X9" s="109">
        <v>0</v>
      </c>
      <c r="Y9" s="109">
        <v>0</v>
      </c>
      <c r="Z9" s="105">
        <f t="shared" ref="Z9:Z22" si="9">V9+W9+X9-Y9</f>
        <v>79</v>
      </c>
      <c r="AA9" s="105">
        <f t="shared" ref="AA9:AA22" si="10">Z9</f>
        <v>79</v>
      </c>
      <c r="AB9" s="117">
        <f t="shared" ref="AB9:AB22" si="11">V9</f>
        <v>44</v>
      </c>
      <c r="AC9" s="118">
        <v>48</v>
      </c>
      <c r="AD9" s="218">
        <v>40</v>
      </c>
      <c r="AE9" s="109">
        <v>0</v>
      </c>
      <c r="AF9" s="218">
        <v>3</v>
      </c>
      <c r="AG9" s="106">
        <f t="shared" ref="AG9:AG22" si="12">AC9+AD9+AE9-AF9</f>
        <v>85</v>
      </c>
      <c r="AH9" s="106">
        <f t="shared" ref="AH9:AH22" si="13">AG9</f>
        <v>85</v>
      </c>
      <c r="AI9" s="116">
        <f t="shared" ref="AI9:AI22" si="14">AC9</f>
        <v>48</v>
      </c>
      <c r="AJ9" s="109">
        <v>62</v>
      </c>
      <c r="AK9" s="218">
        <v>32</v>
      </c>
      <c r="AL9" s="109">
        <v>0</v>
      </c>
      <c r="AM9" s="109">
        <v>0</v>
      </c>
      <c r="AN9" s="218">
        <v>1</v>
      </c>
      <c r="AO9" s="218">
        <v>3</v>
      </c>
      <c r="AP9" s="106">
        <f t="shared" ref="AP9:AP22" si="15">AJ9+AK9+AL9+AM9-AN9-AO9</f>
        <v>90</v>
      </c>
      <c r="AQ9" s="106">
        <f t="shared" ref="AQ9:AQ22" si="16">AP9</f>
        <v>90</v>
      </c>
      <c r="AR9" s="116">
        <f t="shared" ref="AR9:AR22" si="17">AJ9</f>
        <v>62</v>
      </c>
      <c r="AS9" s="109">
        <v>52</v>
      </c>
      <c r="AT9" s="218">
        <v>38</v>
      </c>
      <c r="AU9" s="109">
        <v>0</v>
      </c>
      <c r="AV9" s="109">
        <v>0</v>
      </c>
      <c r="AW9" s="109">
        <v>0</v>
      </c>
      <c r="AX9" s="106">
        <f t="shared" ref="AX9:AX22" si="18">AS9+AT9+AU9+AV9-AW9</f>
        <v>90</v>
      </c>
      <c r="AY9" s="106">
        <f t="shared" ref="AY9:AY22" si="19">AX9</f>
        <v>90</v>
      </c>
      <c r="AZ9" s="116">
        <f t="shared" ref="AZ9:AZ22" si="20">AS9</f>
        <v>52</v>
      </c>
      <c r="BA9" s="109">
        <f>48+5</f>
        <v>53</v>
      </c>
      <c r="BB9" s="218">
        <v>27</v>
      </c>
      <c r="BC9" s="109">
        <v>0</v>
      </c>
      <c r="BD9" s="109">
        <v>0</v>
      </c>
      <c r="BE9" s="218">
        <v>2</v>
      </c>
      <c r="BF9" s="106">
        <f t="shared" ref="BF9:BF22" si="21">BA9+BB9+BC9-BD9-BE9</f>
        <v>78</v>
      </c>
      <c r="BG9" s="106">
        <f t="shared" ref="BG9:BG22" si="22">BF9</f>
        <v>78</v>
      </c>
      <c r="BH9" s="116">
        <f t="shared" ref="BH9:BH22" si="23">BA9</f>
        <v>53</v>
      </c>
      <c r="BI9" s="109">
        <f>53</f>
        <v>53</v>
      </c>
      <c r="BJ9" s="218">
        <v>37</v>
      </c>
      <c r="BK9" s="109">
        <v>0</v>
      </c>
      <c r="BL9" s="109">
        <v>0</v>
      </c>
      <c r="BM9" s="109">
        <v>0</v>
      </c>
      <c r="BN9" s="106">
        <f t="shared" ref="BN9:BN23" si="24">BI9+BJ9+BK9-BL9-BM9</f>
        <v>90</v>
      </c>
      <c r="BO9" s="106">
        <f t="shared" ref="BO9:BO22" si="25">BN9</f>
        <v>90</v>
      </c>
      <c r="BP9" s="116">
        <f t="shared" ref="BP9:BP22" si="26">BI9</f>
        <v>53</v>
      </c>
      <c r="BQ9" s="119">
        <f t="shared" ref="BQ9:BQ22" si="27">E9+L9+S9+Z9+AG9+AP9+AX9+BF9+BN9</f>
        <v>598</v>
      </c>
      <c r="BR9" s="120">
        <f t="shared" ref="BR9:BR22" si="28">G9+N9+U9+AB9+AI9+AR9+AZ9+BH9+BP9</f>
        <v>362</v>
      </c>
      <c r="BS9" s="13"/>
      <c r="BT9" s="13"/>
      <c r="BU9" s="13"/>
      <c r="BV9" s="13"/>
      <c r="BW9" s="13"/>
      <c r="BX9" s="13"/>
      <c r="BY9" s="13"/>
      <c r="BZ9" s="13"/>
    </row>
    <row r="10" spans="1:78" ht="12" customHeight="1">
      <c r="A10" s="156" t="s">
        <v>29</v>
      </c>
      <c r="B10" s="109">
        <v>0</v>
      </c>
      <c r="C10" s="109">
        <v>0</v>
      </c>
      <c r="D10" s="109">
        <v>0</v>
      </c>
      <c r="E10" s="106">
        <f t="shared" si="0"/>
        <v>0</v>
      </c>
      <c r="F10" s="106">
        <f t="shared" si="1"/>
        <v>0</v>
      </c>
      <c r="G10" s="106">
        <f t="shared" si="2"/>
        <v>0</v>
      </c>
      <c r="H10" s="109">
        <v>0</v>
      </c>
      <c r="I10" s="109">
        <v>0</v>
      </c>
      <c r="J10" s="109">
        <v>0</v>
      </c>
      <c r="K10" s="109">
        <v>0</v>
      </c>
      <c r="L10" s="106">
        <f t="shared" si="3"/>
        <v>0</v>
      </c>
      <c r="M10" s="106">
        <f t="shared" si="4"/>
        <v>0</v>
      </c>
      <c r="N10" s="116">
        <f t="shared" si="5"/>
        <v>0</v>
      </c>
      <c r="O10" s="109">
        <f>33+2</f>
        <v>35</v>
      </c>
      <c r="P10" s="109">
        <v>0</v>
      </c>
      <c r="Q10" s="109">
        <v>0</v>
      </c>
      <c r="R10" s="109">
        <v>0</v>
      </c>
      <c r="S10" s="106">
        <f t="shared" si="6"/>
        <v>35</v>
      </c>
      <c r="T10" s="106">
        <f t="shared" si="7"/>
        <v>35</v>
      </c>
      <c r="U10" s="116">
        <f t="shared" si="8"/>
        <v>35</v>
      </c>
      <c r="V10" s="109">
        <v>37</v>
      </c>
      <c r="W10" s="109">
        <v>0</v>
      </c>
      <c r="X10" s="109">
        <v>0</v>
      </c>
      <c r="Y10" s="109">
        <v>0</v>
      </c>
      <c r="Z10" s="105">
        <f t="shared" si="9"/>
        <v>37</v>
      </c>
      <c r="AA10" s="105">
        <f t="shared" si="10"/>
        <v>37</v>
      </c>
      <c r="AB10" s="117">
        <f t="shared" si="11"/>
        <v>37</v>
      </c>
      <c r="AC10" s="118">
        <f>34+1</f>
        <v>35</v>
      </c>
      <c r="AD10" s="109">
        <v>0</v>
      </c>
      <c r="AE10" s="109">
        <v>0</v>
      </c>
      <c r="AF10" s="109">
        <v>0</v>
      </c>
      <c r="AG10" s="106">
        <f t="shared" si="12"/>
        <v>35</v>
      </c>
      <c r="AH10" s="106">
        <f t="shared" si="13"/>
        <v>35</v>
      </c>
      <c r="AI10" s="116">
        <f t="shared" si="14"/>
        <v>35</v>
      </c>
      <c r="AJ10" s="109">
        <f>37+2</f>
        <v>39</v>
      </c>
      <c r="AK10" s="109">
        <v>0</v>
      </c>
      <c r="AL10" s="109">
        <v>0</v>
      </c>
      <c r="AM10" s="109">
        <v>0</v>
      </c>
      <c r="AN10" s="109">
        <v>0</v>
      </c>
      <c r="AO10" s="218">
        <v>0</v>
      </c>
      <c r="AP10" s="106">
        <f t="shared" si="15"/>
        <v>39</v>
      </c>
      <c r="AQ10" s="106">
        <f t="shared" si="16"/>
        <v>39</v>
      </c>
      <c r="AR10" s="116">
        <f t="shared" si="17"/>
        <v>39</v>
      </c>
      <c r="AS10" s="109">
        <v>40</v>
      </c>
      <c r="AT10" s="109">
        <v>0</v>
      </c>
      <c r="AU10" s="109">
        <v>0</v>
      </c>
      <c r="AV10" s="109">
        <v>0</v>
      </c>
      <c r="AW10" s="109">
        <v>0</v>
      </c>
      <c r="AX10" s="106">
        <f t="shared" si="18"/>
        <v>40</v>
      </c>
      <c r="AY10" s="106">
        <f t="shared" si="19"/>
        <v>40</v>
      </c>
      <c r="AZ10" s="116">
        <f t="shared" si="20"/>
        <v>40</v>
      </c>
      <c r="BA10" s="109">
        <f>35+3</f>
        <v>38</v>
      </c>
      <c r="BB10" s="109">
        <v>0</v>
      </c>
      <c r="BC10" s="218">
        <v>0</v>
      </c>
      <c r="BD10" s="109">
        <v>0</v>
      </c>
      <c r="BE10" s="218">
        <v>1</v>
      </c>
      <c r="BF10" s="106">
        <f t="shared" si="21"/>
        <v>37</v>
      </c>
      <c r="BG10" s="106">
        <f t="shared" si="22"/>
        <v>37</v>
      </c>
      <c r="BH10" s="116">
        <f t="shared" si="23"/>
        <v>38</v>
      </c>
      <c r="BI10" s="109">
        <f>32+3</f>
        <v>35</v>
      </c>
      <c r="BJ10" s="109">
        <v>0</v>
      </c>
      <c r="BK10" s="109">
        <v>0</v>
      </c>
      <c r="BL10" s="109">
        <v>0</v>
      </c>
      <c r="BM10" s="218">
        <v>1</v>
      </c>
      <c r="BN10" s="106">
        <f t="shared" si="24"/>
        <v>34</v>
      </c>
      <c r="BO10" s="106">
        <f t="shared" si="25"/>
        <v>34</v>
      </c>
      <c r="BP10" s="116">
        <f t="shared" si="26"/>
        <v>35</v>
      </c>
      <c r="BQ10" s="119">
        <f t="shared" si="27"/>
        <v>257</v>
      </c>
      <c r="BR10" s="120">
        <f t="shared" si="28"/>
        <v>259</v>
      </c>
      <c r="BS10" s="13"/>
      <c r="BT10" s="13"/>
      <c r="BU10" s="13"/>
      <c r="BV10" s="13"/>
      <c r="BW10" s="13"/>
      <c r="BX10" s="13"/>
      <c r="BY10" s="13"/>
      <c r="BZ10" s="13"/>
    </row>
    <row r="11" spans="1:78" ht="12" customHeight="1">
      <c r="A11" s="156" t="s">
        <v>30</v>
      </c>
      <c r="B11" s="109">
        <v>0</v>
      </c>
      <c r="C11" s="109">
        <v>0</v>
      </c>
      <c r="D11" s="109">
        <v>0</v>
      </c>
      <c r="E11" s="106">
        <f t="shared" si="0"/>
        <v>0</v>
      </c>
      <c r="F11" s="106">
        <f t="shared" si="1"/>
        <v>0</v>
      </c>
      <c r="G11" s="106">
        <f t="shared" si="2"/>
        <v>0</v>
      </c>
      <c r="H11" s="109">
        <v>0</v>
      </c>
      <c r="I11" s="109">
        <v>0</v>
      </c>
      <c r="J11" s="109">
        <v>0</v>
      </c>
      <c r="K11" s="109">
        <v>0</v>
      </c>
      <c r="L11" s="106">
        <f t="shared" si="3"/>
        <v>0</v>
      </c>
      <c r="M11" s="106">
        <f t="shared" si="4"/>
        <v>0</v>
      </c>
      <c r="N11" s="116">
        <f t="shared" si="5"/>
        <v>0</v>
      </c>
      <c r="O11" s="109">
        <f>22+1</f>
        <v>23</v>
      </c>
      <c r="P11" s="109">
        <v>0</v>
      </c>
      <c r="Q11" s="109">
        <v>0</v>
      </c>
      <c r="R11" s="218">
        <v>3</v>
      </c>
      <c r="S11" s="106">
        <f t="shared" si="6"/>
        <v>20</v>
      </c>
      <c r="T11" s="106">
        <f t="shared" si="7"/>
        <v>20</v>
      </c>
      <c r="U11" s="116">
        <f t="shared" si="8"/>
        <v>23</v>
      </c>
      <c r="V11" s="109">
        <f>19+2</f>
        <v>21</v>
      </c>
      <c r="W11" s="109">
        <v>0</v>
      </c>
      <c r="X11" s="109">
        <v>0</v>
      </c>
      <c r="Y11" s="218">
        <v>1</v>
      </c>
      <c r="Z11" s="105">
        <f t="shared" si="9"/>
        <v>20</v>
      </c>
      <c r="AA11" s="105">
        <f t="shared" si="10"/>
        <v>20</v>
      </c>
      <c r="AB11" s="117">
        <f t="shared" si="11"/>
        <v>21</v>
      </c>
      <c r="AC11" s="118">
        <v>23</v>
      </c>
      <c r="AD11" s="109">
        <v>0</v>
      </c>
      <c r="AE11" s="109">
        <v>0</v>
      </c>
      <c r="AF11" s="218">
        <v>1</v>
      </c>
      <c r="AG11" s="106">
        <f t="shared" si="12"/>
        <v>22</v>
      </c>
      <c r="AH11" s="106">
        <f t="shared" si="13"/>
        <v>22</v>
      </c>
      <c r="AI11" s="116">
        <f t="shared" si="14"/>
        <v>23</v>
      </c>
      <c r="AJ11" s="109">
        <v>21</v>
      </c>
      <c r="AK11" s="109">
        <v>0</v>
      </c>
      <c r="AL11" s="109">
        <v>0</v>
      </c>
      <c r="AM11" s="109">
        <v>0</v>
      </c>
      <c r="AN11" s="109">
        <v>0</v>
      </c>
      <c r="AO11" s="218">
        <v>1</v>
      </c>
      <c r="AP11" s="106">
        <f t="shared" si="15"/>
        <v>20</v>
      </c>
      <c r="AQ11" s="106">
        <f t="shared" si="16"/>
        <v>20</v>
      </c>
      <c r="AR11" s="116">
        <f t="shared" si="17"/>
        <v>21</v>
      </c>
      <c r="AS11" s="109">
        <v>19</v>
      </c>
      <c r="AT11" s="109">
        <v>0</v>
      </c>
      <c r="AU11" s="109">
        <v>0</v>
      </c>
      <c r="AV11" s="109">
        <v>0</v>
      </c>
      <c r="AW11" s="109">
        <v>0</v>
      </c>
      <c r="AX11" s="106">
        <f t="shared" si="18"/>
        <v>19</v>
      </c>
      <c r="AY11" s="106">
        <f t="shared" si="19"/>
        <v>19</v>
      </c>
      <c r="AZ11" s="116">
        <f t="shared" si="20"/>
        <v>19</v>
      </c>
      <c r="BA11" s="109">
        <f>20</f>
        <v>20</v>
      </c>
      <c r="BB11" s="109">
        <v>0</v>
      </c>
      <c r="BC11" s="109">
        <v>0</v>
      </c>
      <c r="BD11" s="109">
        <v>0</v>
      </c>
      <c r="BE11" s="109">
        <v>0</v>
      </c>
      <c r="BF11" s="106">
        <f t="shared" si="21"/>
        <v>20</v>
      </c>
      <c r="BG11" s="106">
        <f t="shared" si="22"/>
        <v>20</v>
      </c>
      <c r="BH11" s="116">
        <f t="shared" si="23"/>
        <v>20</v>
      </c>
      <c r="BI11" s="109">
        <f>22+1</f>
        <v>23</v>
      </c>
      <c r="BJ11" s="109">
        <v>0</v>
      </c>
      <c r="BK11" s="109">
        <v>0</v>
      </c>
      <c r="BL11" s="109">
        <v>0</v>
      </c>
      <c r="BM11" s="218">
        <v>2</v>
      </c>
      <c r="BN11" s="106">
        <f t="shared" si="24"/>
        <v>21</v>
      </c>
      <c r="BO11" s="106">
        <f t="shared" si="25"/>
        <v>21</v>
      </c>
      <c r="BP11" s="116">
        <f t="shared" si="26"/>
        <v>23</v>
      </c>
      <c r="BQ11" s="119">
        <f t="shared" si="27"/>
        <v>142</v>
      </c>
      <c r="BR11" s="120">
        <f t="shared" si="28"/>
        <v>150</v>
      </c>
      <c r="BS11" s="13"/>
      <c r="BT11" s="13"/>
      <c r="BU11" s="13"/>
      <c r="BV11" s="13"/>
      <c r="BW11" s="13"/>
      <c r="BX11" s="13"/>
      <c r="BY11" s="13"/>
      <c r="BZ11" s="13"/>
    </row>
    <row r="12" spans="1:78" ht="12" customHeight="1">
      <c r="A12" s="156" t="s">
        <v>31</v>
      </c>
      <c r="B12" s="109">
        <v>0</v>
      </c>
      <c r="C12" s="109">
        <v>0</v>
      </c>
      <c r="D12" s="109">
        <v>0</v>
      </c>
      <c r="E12" s="106">
        <f t="shared" si="0"/>
        <v>0</v>
      </c>
      <c r="F12" s="106">
        <f t="shared" si="1"/>
        <v>0</v>
      </c>
      <c r="G12" s="106">
        <f t="shared" si="2"/>
        <v>0</v>
      </c>
      <c r="H12" s="109">
        <v>0</v>
      </c>
      <c r="I12" s="109">
        <v>0</v>
      </c>
      <c r="J12" s="109">
        <v>0</v>
      </c>
      <c r="K12" s="109">
        <v>0</v>
      </c>
      <c r="L12" s="106">
        <f t="shared" si="3"/>
        <v>0</v>
      </c>
      <c r="M12" s="106">
        <f t="shared" si="4"/>
        <v>0</v>
      </c>
      <c r="N12" s="116">
        <f t="shared" si="5"/>
        <v>0</v>
      </c>
      <c r="O12" s="109">
        <f>36+4</f>
        <v>40</v>
      </c>
      <c r="P12" s="109">
        <v>0</v>
      </c>
      <c r="Q12" s="109">
        <v>0</v>
      </c>
      <c r="R12" s="109">
        <v>0</v>
      </c>
      <c r="S12" s="106">
        <f t="shared" si="6"/>
        <v>40</v>
      </c>
      <c r="T12" s="106">
        <f t="shared" si="7"/>
        <v>40</v>
      </c>
      <c r="U12" s="116">
        <f t="shared" si="8"/>
        <v>40</v>
      </c>
      <c r="V12" s="109">
        <v>46</v>
      </c>
      <c r="W12" s="109">
        <v>0</v>
      </c>
      <c r="X12" s="109">
        <v>0</v>
      </c>
      <c r="Y12" s="218">
        <v>1</v>
      </c>
      <c r="Z12" s="105">
        <f t="shared" si="9"/>
        <v>45</v>
      </c>
      <c r="AA12" s="105">
        <f t="shared" si="10"/>
        <v>45</v>
      </c>
      <c r="AB12" s="117">
        <f t="shared" si="11"/>
        <v>46</v>
      </c>
      <c r="AC12" s="118">
        <f>48+2</f>
        <v>50</v>
      </c>
      <c r="AD12" s="109">
        <v>0</v>
      </c>
      <c r="AE12" s="109">
        <v>0</v>
      </c>
      <c r="AF12" s="218">
        <v>1</v>
      </c>
      <c r="AG12" s="106">
        <f t="shared" si="12"/>
        <v>49</v>
      </c>
      <c r="AH12" s="106">
        <f t="shared" si="13"/>
        <v>49</v>
      </c>
      <c r="AI12" s="116">
        <f t="shared" si="14"/>
        <v>50</v>
      </c>
      <c r="AJ12" s="109">
        <f>43+3</f>
        <v>46</v>
      </c>
      <c r="AK12" s="109">
        <v>0</v>
      </c>
      <c r="AL12" s="109">
        <v>0</v>
      </c>
      <c r="AM12" s="109">
        <v>0</v>
      </c>
      <c r="AN12" s="109">
        <v>0</v>
      </c>
      <c r="AO12" s="218">
        <v>1</v>
      </c>
      <c r="AP12" s="106">
        <f t="shared" si="15"/>
        <v>45</v>
      </c>
      <c r="AQ12" s="106">
        <f t="shared" si="16"/>
        <v>45</v>
      </c>
      <c r="AR12" s="116">
        <f t="shared" si="17"/>
        <v>46</v>
      </c>
      <c r="AS12" s="109">
        <v>53</v>
      </c>
      <c r="AT12" s="109">
        <v>0</v>
      </c>
      <c r="AU12" s="109">
        <v>0</v>
      </c>
      <c r="AV12" s="109">
        <v>0</v>
      </c>
      <c r="AW12" s="109">
        <v>0</v>
      </c>
      <c r="AX12" s="106">
        <f t="shared" si="18"/>
        <v>53</v>
      </c>
      <c r="AY12" s="106">
        <f t="shared" si="19"/>
        <v>53</v>
      </c>
      <c r="AZ12" s="116">
        <f t="shared" si="20"/>
        <v>53</v>
      </c>
      <c r="BA12" s="109">
        <f>49</f>
        <v>49</v>
      </c>
      <c r="BB12" s="109">
        <v>0</v>
      </c>
      <c r="BC12" s="109">
        <v>0</v>
      </c>
      <c r="BD12" s="109">
        <v>0</v>
      </c>
      <c r="BE12" s="109">
        <v>0</v>
      </c>
      <c r="BF12" s="106">
        <f t="shared" si="21"/>
        <v>49</v>
      </c>
      <c r="BG12" s="106">
        <f t="shared" si="22"/>
        <v>49</v>
      </c>
      <c r="BH12" s="116">
        <f t="shared" si="23"/>
        <v>49</v>
      </c>
      <c r="BI12" s="109">
        <f>46+3</f>
        <v>49</v>
      </c>
      <c r="BJ12" s="109">
        <v>0</v>
      </c>
      <c r="BK12" s="109">
        <v>0</v>
      </c>
      <c r="BL12" s="109">
        <v>0</v>
      </c>
      <c r="BM12" s="218">
        <v>1</v>
      </c>
      <c r="BN12" s="106">
        <f t="shared" si="24"/>
        <v>48</v>
      </c>
      <c r="BO12" s="106">
        <f t="shared" si="25"/>
        <v>48</v>
      </c>
      <c r="BP12" s="116">
        <f t="shared" si="26"/>
        <v>49</v>
      </c>
      <c r="BQ12" s="119">
        <f t="shared" si="27"/>
        <v>329</v>
      </c>
      <c r="BR12" s="120">
        <f t="shared" si="28"/>
        <v>333</v>
      </c>
      <c r="BS12" s="13"/>
      <c r="BT12" s="13"/>
      <c r="BU12" s="13"/>
      <c r="BV12" s="13"/>
      <c r="BW12" s="13"/>
      <c r="BX12" s="13"/>
      <c r="BY12" s="13"/>
      <c r="BZ12" s="13"/>
    </row>
    <row r="13" spans="1:78" ht="12" customHeight="1">
      <c r="A13" s="156" t="s">
        <v>32</v>
      </c>
      <c r="B13" s="109">
        <v>0</v>
      </c>
      <c r="C13" s="109">
        <v>0</v>
      </c>
      <c r="D13" s="109">
        <v>0</v>
      </c>
      <c r="E13" s="106">
        <f t="shared" si="0"/>
        <v>0</v>
      </c>
      <c r="F13" s="106">
        <f t="shared" si="1"/>
        <v>0</v>
      </c>
      <c r="G13" s="106">
        <f t="shared" si="2"/>
        <v>0</v>
      </c>
      <c r="H13" s="109">
        <v>0</v>
      </c>
      <c r="I13" s="109">
        <v>0</v>
      </c>
      <c r="J13" s="109">
        <v>0</v>
      </c>
      <c r="K13" s="109">
        <v>0</v>
      </c>
      <c r="L13" s="106">
        <f t="shared" si="3"/>
        <v>0</v>
      </c>
      <c r="M13" s="106">
        <f t="shared" si="4"/>
        <v>0</v>
      </c>
      <c r="N13" s="116">
        <f t="shared" si="5"/>
        <v>0</v>
      </c>
      <c r="O13" s="109">
        <f>44+1</f>
        <v>45</v>
      </c>
      <c r="P13" s="109">
        <v>0</v>
      </c>
      <c r="Q13" s="109">
        <v>0</v>
      </c>
      <c r="R13" s="109">
        <v>0</v>
      </c>
      <c r="S13" s="106">
        <f t="shared" si="6"/>
        <v>45</v>
      </c>
      <c r="T13" s="106">
        <f t="shared" si="7"/>
        <v>45</v>
      </c>
      <c r="U13" s="116">
        <f t="shared" si="8"/>
        <v>45</v>
      </c>
      <c r="V13" s="109">
        <v>41</v>
      </c>
      <c r="W13" s="109">
        <v>0</v>
      </c>
      <c r="X13" s="109">
        <v>0</v>
      </c>
      <c r="Y13" s="218">
        <v>4</v>
      </c>
      <c r="Z13" s="105">
        <f t="shared" si="9"/>
        <v>37</v>
      </c>
      <c r="AA13" s="105">
        <f t="shared" si="10"/>
        <v>37</v>
      </c>
      <c r="AB13" s="117">
        <f t="shared" si="11"/>
        <v>41</v>
      </c>
      <c r="AC13" s="118">
        <f>54+3</f>
        <v>57</v>
      </c>
      <c r="AD13" s="109">
        <v>0</v>
      </c>
      <c r="AE13" s="109">
        <v>0</v>
      </c>
      <c r="AF13" s="218">
        <v>1</v>
      </c>
      <c r="AG13" s="106">
        <f t="shared" si="12"/>
        <v>56</v>
      </c>
      <c r="AH13" s="106">
        <f t="shared" si="13"/>
        <v>56</v>
      </c>
      <c r="AI13" s="116">
        <f t="shared" si="14"/>
        <v>57</v>
      </c>
      <c r="AJ13" s="109">
        <f>46+2</f>
        <v>48</v>
      </c>
      <c r="AK13" s="109">
        <v>0</v>
      </c>
      <c r="AL13" s="109">
        <v>0</v>
      </c>
      <c r="AM13" s="109">
        <v>0</v>
      </c>
      <c r="AN13" s="109">
        <v>0</v>
      </c>
      <c r="AO13" s="218">
        <v>1</v>
      </c>
      <c r="AP13" s="106">
        <f t="shared" si="15"/>
        <v>47</v>
      </c>
      <c r="AQ13" s="106">
        <f t="shared" si="16"/>
        <v>47</v>
      </c>
      <c r="AR13" s="116">
        <f t="shared" si="17"/>
        <v>48</v>
      </c>
      <c r="AS13" s="109">
        <v>44</v>
      </c>
      <c r="AT13" s="109">
        <v>0</v>
      </c>
      <c r="AU13" s="109">
        <v>0</v>
      </c>
      <c r="AV13" s="109">
        <v>0</v>
      </c>
      <c r="AW13" s="109">
        <v>0</v>
      </c>
      <c r="AX13" s="106">
        <f t="shared" si="18"/>
        <v>44</v>
      </c>
      <c r="AY13" s="106">
        <f t="shared" si="19"/>
        <v>44</v>
      </c>
      <c r="AZ13" s="116">
        <f t="shared" si="20"/>
        <v>44</v>
      </c>
      <c r="BA13" s="109">
        <f>60+2</f>
        <v>62</v>
      </c>
      <c r="BB13" s="109">
        <v>0</v>
      </c>
      <c r="BC13" s="109">
        <v>0</v>
      </c>
      <c r="BD13" s="109">
        <v>0</v>
      </c>
      <c r="BE13" s="218">
        <v>1</v>
      </c>
      <c r="BF13" s="106">
        <f t="shared" si="21"/>
        <v>61</v>
      </c>
      <c r="BG13" s="106">
        <f t="shared" si="22"/>
        <v>61</v>
      </c>
      <c r="BH13" s="116">
        <f t="shared" si="23"/>
        <v>62</v>
      </c>
      <c r="BI13" s="109">
        <f>53+2</f>
        <v>55</v>
      </c>
      <c r="BJ13" s="109">
        <v>0</v>
      </c>
      <c r="BK13" s="109">
        <v>0</v>
      </c>
      <c r="BL13" s="109">
        <v>0</v>
      </c>
      <c r="BM13" s="218">
        <v>2</v>
      </c>
      <c r="BN13" s="106">
        <f t="shared" si="24"/>
        <v>53</v>
      </c>
      <c r="BO13" s="106">
        <f t="shared" si="25"/>
        <v>53</v>
      </c>
      <c r="BP13" s="116">
        <f t="shared" si="26"/>
        <v>55</v>
      </c>
      <c r="BQ13" s="119">
        <f t="shared" si="27"/>
        <v>343</v>
      </c>
      <c r="BR13" s="120">
        <f t="shared" si="28"/>
        <v>352</v>
      </c>
      <c r="BS13" s="13"/>
      <c r="BT13" s="13"/>
      <c r="BU13" s="13"/>
      <c r="BV13" s="13"/>
      <c r="BW13" s="13"/>
      <c r="BX13" s="13"/>
      <c r="BY13" s="13"/>
      <c r="BZ13" s="13"/>
    </row>
    <row r="14" spans="1:78" ht="12" customHeight="1">
      <c r="A14" s="156" t="s">
        <v>33</v>
      </c>
      <c r="B14" s="109">
        <v>0</v>
      </c>
      <c r="C14" s="109">
        <v>0</v>
      </c>
      <c r="D14" s="109">
        <v>0</v>
      </c>
      <c r="E14" s="106">
        <f t="shared" si="0"/>
        <v>0</v>
      </c>
      <c r="F14" s="106">
        <f t="shared" si="1"/>
        <v>0</v>
      </c>
      <c r="G14" s="106">
        <f t="shared" si="2"/>
        <v>0</v>
      </c>
      <c r="H14" s="109">
        <v>0</v>
      </c>
      <c r="I14" s="109">
        <v>0</v>
      </c>
      <c r="J14" s="109">
        <v>0</v>
      </c>
      <c r="K14" s="109">
        <v>0</v>
      </c>
      <c r="L14" s="106">
        <f t="shared" si="3"/>
        <v>0</v>
      </c>
      <c r="M14" s="106">
        <f t="shared" si="4"/>
        <v>0</v>
      </c>
      <c r="N14" s="116">
        <f t="shared" si="5"/>
        <v>0</v>
      </c>
      <c r="O14" s="109">
        <f>33</f>
        <v>33</v>
      </c>
      <c r="P14" s="109">
        <v>0</v>
      </c>
      <c r="Q14" s="109">
        <v>0</v>
      </c>
      <c r="R14" s="109">
        <v>0</v>
      </c>
      <c r="S14" s="106">
        <f t="shared" si="6"/>
        <v>33</v>
      </c>
      <c r="T14" s="106">
        <f t="shared" si="7"/>
        <v>33</v>
      </c>
      <c r="U14" s="116">
        <f t="shared" si="8"/>
        <v>33</v>
      </c>
      <c r="V14" s="109">
        <v>62</v>
      </c>
      <c r="W14" s="109">
        <v>0</v>
      </c>
      <c r="X14" s="109">
        <v>0</v>
      </c>
      <c r="Y14" s="218">
        <v>2</v>
      </c>
      <c r="Z14" s="105">
        <f t="shared" si="9"/>
        <v>60</v>
      </c>
      <c r="AA14" s="105">
        <f t="shared" si="10"/>
        <v>60</v>
      </c>
      <c r="AB14" s="117">
        <f t="shared" si="11"/>
        <v>62</v>
      </c>
      <c r="AC14" s="118">
        <f>46+3</f>
        <v>49</v>
      </c>
      <c r="AD14" s="109">
        <v>0</v>
      </c>
      <c r="AE14" s="109">
        <v>0</v>
      </c>
      <c r="AF14" s="218">
        <v>1</v>
      </c>
      <c r="AG14" s="106">
        <f t="shared" si="12"/>
        <v>48</v>
      </c>
      <c r="AH14" s="106">
        <f t="shared" si="13"/>
        <v>48</v>
      </c>
      <c r="AI14" s="116">
        <f t="shared" si="14"/>
        <v>49</v>
      </c>
      <c r="AJ14" s="109">
        <v>54</v>
      </c>
      <c r="AK14" s="109">
        <v>0</v>
      </c>
      <c r="AL14" s="109">
        <v>0</v>
      </c>
      <c r="AM14" s="109">
        <v>0</v>
      </c>
      <c r="AN14" s="109">
        <v>0</v>
      </c>
      <c r="AO14" s="218">
        <v>0</v>
      </c>
      <c r="AP14" s="106">
        <f t="shared" si="15"/>
        <v>54</v>
      </c>
      <c r="AQ14" s="106">
        <f t="shared" si="16"/>
        <v>54</v>
      </c>
      <c r="AR14" s="116">
        <f t="shared" si="17"/>
        <v>54</v>
      </c>
      <c r="AS14" s="109">
        <v>44</v>
      </c>
      <c r="AT14" s="109">
        <v>0</v>
      </c>
      <c r="AU14" s="109">
        <v>0</v>
      </c>
      <c r="AV14" s="109">
        <v>0</v>
      </c>
      <c r="AW14" s="218">
        <v>2</v>
      </c>
      <c r="AX14" s="106">
        <f t="shared" si="18"/>
        <v>42</v>
      </c>
      <c r="AY14" s="106">
        <f t="shared" si="19"/>
        <v>42</v>
      </c>
      <c r="AZ14" s="116">
        <f t="shared" si="20"/>
        <v>44</v>
      </c>
      <c r="BA14" s="109">
        <f>59+2</f>
        <v>61</v>
      </c>
      <c r="BB14" s="109">
        <v>0</v>
      </c>
      <c r="BC14" s="109">
        <v>0</v>
      </c>
      <c r="BD14" s="109">
        <v>0</v>
      </c>
      <c r="BE14" s="109">
        <v>0</v>
      </c>
      <c r="BF14" s="106">
        <f t="shared" si="21"/>
        <v>61</v>
      </c>
      <c r="BG14" s="106">
        <f t="shared" si="22"/>
        <v>61</v>
      </c>
      <c r="BH14" s="116">
        <f t="shared" si="23"/>
        <v>61</v>
      </c>
      <c r="BI14" s="109">
        <f>43+2</f>
        <v>45</v>
      </c>
      <c r="BJ14" s="109">
        <v>0</v>
      </c>
      <c r="BK14" s="109">
        <v>0</v>
      </c>
      <c r="BL14" s="109">
        <v>0</v>
      </c>
      <c r="BM14" s="109">
        <v>0</v>
      </c>
      <c r="BN14" s="106">
        <f t="shared" si="24"/>
        <v>45</v>
      </c>
      <c r="BO14" s="106">
        <f t="shared" si="25"/>
        <v>45</v>
      </c>
      <c r="BP14" s="116">
        <f t="shared" si="26"/>
        <v>45</v>
      </c>
      <c r="BQ14" s="119">
        <f t="shared" si="27"/>
        <v>343</v>
      </c>
      <c r="BR14" s="120">
        <f t="shared" si="28"/>
        <v>348</v>
      </c>
      <c r="BS14" s="13"/>
      <c r="BT14" s="13"/>
      <c r="BU14" s="13"/>
      <c r="BV14" s="13"/>
      <c r="BW14" s="13"/>
      <c r="BX14" s="13"/>
      <c r="BY14" s="13"/>
      <c r="BZ14" s="13"/>
    </row>
    <row r="15" spans="1:78" ht="12" customHeight="1">
      <c r="A15" s="156" t="s">
        <v>34</v>
      </c>
      <c r="B15" s="109">
        <v>0</v>
      </c>
      <c r="C15" s="109">
        <v>0</v>
      </c>
      <c r="D15" s="109">
        <v>0</v>
      </c>
      <c r="E15" s="106">
        <f t="shared" si="0"/>
        <v>0</v>
      </c>
      <c r="F15" s="106">
        <f t="shared" si="1"/>
        <v>0</v>
      </c>
      <c r="G15" s="106">
        <f t="shared" si="2"/>
        <v>0</v>
      </c>
      <c r="H15" s="109">
        <v>0</v>
      </c>
      <c r="I15" s="109">
        <v>0</v>
      </c>
      <c r="J15" s="109">
        <v>0</v>
      </c>
      <c r="K15" s="109">
        <v>0</v>
      </c>
      <c r="L15" s="106">
        <f t="shared" si="3"/>
        <v>0</v>
      </c>
      <c r="M15" s="106">
        <f t="shared" si="4"/>
        <v>0</v>
      </c>
      <c r="N15" s="116">
        <f t="shared" si="5"/>
        <v>0</v>
      </c>
      <c r="O15" s="109">
        <f>53+4</f>
        <v>57</v>
      </c>
      <c r="P15" s="109">
        <v>0</v>
      </c>
      <c r="Q15" s="109">
        <v>0</v>
      </c>
      <c r="R15" s="218">
        <v>4</v>
      </c>
      <c r="S15" s="106">
        <f t="shared" si="6"/>
        <v>53</v>
      </c>
      <c r="T15" s="106">
        <f t="shared" si="7"/>
        <v>53</v>
      </c>
      <c r="U15" s="116">
        <f t="shared" si="8"/>
        <v>57</v>
      </c>
      <c r="V15" s="109">
        <f>53</f>
        <v>53</v>
      </c>
      <c r="W15" s="109">
        <v>0</v>
      </c>
      <c r="X15" s="109">
        <v>0</v>
      </c>
      <c r="Y15" s="218">
        <v>3</v>
      </c>
      <c r="Z15" s="105">
        <f t="shared" si="9"/>
        <v>50</v>
      </c>
      <c r="AA15" s="105">
        <f t="shared" si="10"/>
        <v>50</v>
      </c>
      <c r="AB15" s="117">
        <f t="shared" si="11"/>
        <v>53</v>
      </c>
      <c r="AC15" s="118">
        <f>62+5</f>
        <v>67</v>
      </c>
      <c r="AD15" s="109">
        <v>0</v>
      </c>
      <c r="AE15" s="109">
        <v>0</v>
      </c>
      <c r="AF15" s="218">
        <v>4</v>
      </c>
      <c r="AG15" s="106">
        <f t="shared" si="12"/>
        <v>63</v>
      </c>
      <c r="AH15" s="106">
        <f t="shared" si="13"/>
        <v>63</v>
      </c>
      <c r="AI15" s="116">
        <f t="shared" si="14"/>
        <v>67</v>
      </c>
      <c r="AJ15" s="109">
        <f>63</f>
        <v>63</v>
      </c>
      <c r="AK15" s="109">
        <v>0</v>
      </c>
      <c r="AL15" s="109">
        <v>0</v>
      </c>
      <c r="AM15" s="109">
        <v>0</v>
      </c>
      <c r="AN15" s="109">
        <v>0</v>
      </c>
      <c r="AO15" s="218">
        <v>2</v>
      </c>
      <c r="AP15" s="106">
        <f t="shared" si="15"/>
        <v>61</v>
      </c>
      <c r="AQ15" s="106">
        <f t="shared" si="16"/>
        <v>61</v>
      </c>
      <c r="AR15" s="116">
        <f t="shared" si="17"/>
        <v>63</v>
      </c>
      <c r="AS15" s="109">
        <v>58</v>
      </c>
      <c r="AT15" s="109">
        <v>0</v>
      </c>
      <c r="AU15" s="109">
        <v>0</v>
      </c>
      <c r="AV15" s="109">
        <v>0</v>
      </c>
      <c r="AW15" s="218">
        <v>2</v>
      </c>
      <c r="AX15" s="106">
        <f t="shared" si="18"/>
        <v>56</v>
      </c>
      <c r="AY15" s="106">
        <f t="shared" si="19"/>
        <v>56</v>
      </c>
      <c r="AZ15" s="116">
        <f t="shared" si="20"/>
        <v>58</v>
      </c>
      <c r="BA15" s="109">
        <f>70+3</f>
        <v>73</v>
      </c>
      <c r="BB15" s="109">
        <v>0</v>
      </c>
      <c r="BC15" s="109">
        <v>0</v>
      </c>
      <c r="BD15" s="109">
        <v>0</v>
      </c>
      <c r="BE15" s="218">
        <v>2</v>
      </c>
      <c r="BF15" s="106">
        <f t="shared" si="21"/>
        <v>71</v>
      </c>
      <c r="BG15" s="106">
        <f t="shared" si="22"/>
        <v>71</v>
      </c>
      <c r="BH15" s="116">
        <f t="shared" si="23"/>
        <v>73</v>
      </c>
      <c r="BI15" s="109">
        <f>61</f>
        <v>61</v>
      </c>
      <c r="BJ15" s="109">
        <v>0</v>
      </c>
      <c r="BK15" s="109">
        <v>0</v>
      </c>
      <c r="BL15" s="109">
        <v>0</v>
      </c>
      <c r="BM15" s="218">
        <v>1</v>
      </c>
      <c r="BN15" s="106">
        <f t="shared" si="24"/>
        <v>60</v>
      </c>
      <c r="BO15" s="106">
        <f t="shared" si="25"/>
        <v>60</v>
      </c>
      <c r="BP15" s="116">
        <f t="shared" si="26"/>
        <v>61</v>
      </c>
      <c r="BQ15" s="119">
        <f t="shared" si="27"/>
        <v>414</v>
      </c>
      <c r="BR15" s="120">
        <f t="shared" si="28"/>
        <v>432</v>
      </c>
      <c r="BS15" s="13"/>
      <c r="BT15" s="13"/>
      <c r="BU15" s="13"/>
      <c r="BV15" s="13"/>
      <c r="BW15" s="13"/>
      <c r="BX15" s="13"/>
      <c r="BY15" s="13"/>
      <c r="BZ15" s="13"/>
    </row>
    <row r="16" spans="1:78" ht="12" customHeight="1">
      <c r="A16" s="156" t="s">
        <v>35</v>
      </c>
      <c r="B16" s="109">
        <v>0</v>
      </c>
      <c r="C16" s="109">
        <v>0</v>
      </c>
      <c r="D16" s="109">
        <v>0</v>
      </c>
      <c r="E16" s="106">
        <f t="shared" si="0"/>
        <v>0</v>
      </c>
      <c r="F16" s="106">
        <f t="shared" si="1"/>
        <v>0</v>
      </c>
      <c r="G16" s="106">
        <f t="shared" si="2"/>
        <v>0</v>
      </c>
      <c r="H16" s="109">
        <v>0</v>
      </c>
      <c r="I16" s="109">
        <v>0</v>
      </c>
      <c r="J16" s="109">
        <v>0</v>
      </c>
      <c r="K16" s="109">
        <v>0</v>
      </c>
      <c r="L16" s="106">
        <f t="shared" si="3"/>
        <v>0</v>
      </c>
      <c r="M16" s="106">
        <f t="shared" si="4"/>
        <v>0</v>
      </c>
      <c r="N16" s="116">
        <f t="shared" si="5"/>
        <v>0</v>
      </c>
      <c r="O16" s="109">
        <v>0</v>
      </c>
      <c r="P16" s="109">
        <v>0</v>
      </c>
      <c r="Q16" s="109">
        <v>0</v>
      </c>
      <c r="R16" s="109">
        <v>0</v>
      </c>
      <c r="S16" s="106">
        <f t="shared" si="6"/>
        <v>0</v>
      </c>
      <c r="T16" s="106">
        <f t="shared" si="7"/>
        <v>0</v>
      </c>
      <c r="U16" s="116">
        <f t="shared" si="8"/>
        <v>0</v>
      </c>
      <c r="V16" s="109">
        <v>0</v>
      </c>
      <c r="W16" s="109">
        <v>0</v>
      </c>
      <c r="X16" s="109">
        <v>0</v>
      </c>
      <c r="Y16" s="109">
        <v>0</v>
      </c>
      <c r="Z16" s="105">
        <f t="shared" si="9"/>
        <v>0</v>
      </c>
      <c r="AA16" s="105">
        <f t="shared" si="10"/>
        <v>0</v>
      </c>
      <c r="AB16" s="117">
        <f t="shared" si="11"/>
        <v>0</v>
      </c>
      <c r="AC16" s="118">
        <v>0</v>
      </c>
      <c r="AD16" s="109">
        <v>0</v>
      </c>
      <c r="AE16" s="109">
        <v>0</v>
      </c>
      <c r="AF16" s="109">
        <v>0</v>
      </c>
      <c r="AG16" s="106">
        <f t="shared" si="12"/>
        <v>0</v>
      </c>
      <c r="AH16" s="106">
        <f t="shared" si="13"/>
        <v>0</v>
      </c>
      <c r="AI16" s="116">
        <f t="shared" si="14"/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218">
        <v>0</v>
      </c>
      <c r="AP16" s="106">
        <f t="shared" si="15"/>
        <v>0</v>
      </c>
      <c r="AQ16" s="106">
        <f t="shared" si="16"/>
        <v>0</v>
      </c>
      <c r="AR16" s="116">
        <f t="shared" si="17"/>
        <v>0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6">
        <f t="shared" si="18"/>
        <v>0</v>
      </c>
      <c r="AY16" s="106">
        <f t="shared" si="19"/>
        <v>0</v>
      </c>
      <c r="AZ16" s="116">
        <f t="shared" si="20"/>
        <v>0</v>
      </c>
      <c r="BA16" s="109">
        <v>0</v>
      </c>
      <c r="BB16" s="109">
        <v>0</v>
      </c>
      <c r="BC16" s="109">
        <v>0</v>
      </c>
      <c r="BD16" s="109">
        <v>0</v>
      </c>
      <c r="BE16" s="109">
        <v>0</v>
      </c>
      <c r="BF16" s="106">
        <f t="shared" si="21"/>
        <v>0</v>
      </c>
      <c r="BG16" s="106">
        <f t="shared" si="22"/>
        <v>0</v>
      </c>
      <c r="BH16" s="116">
        <f t="shared" si="23"/>
        <v>0</v>
      </c>
      <c r="BI16" s="109">
        <v>0</v>
      </c>
      <c r="BJ16" s="109">
        <v>0</v>
      </c>
      <c r="BK16" s="109">
        <v>0</v>
      </c>
      <c r="BL16" s="109">
        <v>0</v>
      </c>
      <c r="BM16" s="109">
        <v>0</v>
      </c>
      <c r="BN16" s="106">
        <f t="shared" si="24"/>
        <v>0</v>
      </c>
      <c r="BO16" s="106">
        <f t="shared" si="25"/>
        <v>0</v>
      </c>
      <c r="BP16" s="116">
        <f t="shared" si="26"/>
        <v>0</v>
      </c>
      <c r="BQ16" s="119">
        <f t="shared" si="27"/>
        <v>0</v>
      </c>
      <c r="BR16" s="120">
        <f t="shared" si="28"/>
        <v>0</v>
      </c>
      <c r="BS16" s="13"/>
      <c r="BT16" s="13"/>
      <c r="BU16" s="13"/>
      <c r="BV16" s="13"/>
      <c r="BW16" s="13"/>
      <c r="BX16" s="13"/>
      <c r="BY16" s="13"/>
      <c r="BZ16" s="13"/>
    </row>
    <row r="17" spans="1:78" ht="12" customHeight="1">
      <c r="A17" s="156" t="s">
        <v>36</v>
      </c>
      <c r="B17" s="109">
        <v>52</v>
      </c>
      <c r="C17" s="109">
        <v>0</v>
      </c>
      <c r="D17" s="109">
        <v>0</v>
      </c>
      <c r="E17" s="106">
        <f t="shared" si="0"/>
        <v>52</v>
      </c>
      <c r="F17" s="106">
        <f t="shared" si="1"/>
        <v>26</v>
      </c>
      <c r="G17" s="106">
        <f t="shared" si="2"/>
        <v>52</v>
      </c>
      <c r="H17" s="109">
        <v>0</v>
      </c>
      <c r="I17" s="109">
        <v>0</v>
      </c>
      <c r="J17" s="109">
        <v>0</v>
      </c>
      <c r="K17" s="109">
        <v>0</v>
      </c>
      <c r="L17" s="106">
        <f t="shared" si="3"/>
        <v>0</v>
      </c>
      <c r="M17" s="106">
        <f t="shared" si="4"/>
        <v>0</v>
      </c>
      <c r="N17" s="116">
        <f t="shared" si="5"/>
        <v>0</v>
      </c>
      <c r="O17" s="109">
        <v>0</v>
      </c>
      <c r="P17" s="109">
        <v>0</v>
      </c>
      <c r="Q17" s="109">
        <v>0</v>
      </c>
      <c r="R17" s="109">
        <v>0</v>
      </c>
      <c r="S17" s="106">
        <f t="shared" si="6"/>
        <v>0</v>
      </c>
      <c r="T17" s="106">
        <f t="shared" si="7"/>
        <v>0</v>
      </c>
      <c r="U17" s="116">
        <f t="shared" si="8"/>
        <v>0</v>
      </c>
      <c r="V17" s="109">
        <v>0</v>
      </c>
      <c r="W17" s="109">
        <v>0</v>
      </c>
      <c r="X17" s="109">
        <v>0</v>
      </c>
      <c r="Y17" s="109">
        <v>0</v>
      </c>
      <c r="Z17" s="105">
        <f t="shared" si="9"/>
        <v>0</v>
      </c>
      <c r="AA17" s="105">
        <f t="shared" si="10"/>
        <v>0</v>
      </c>
      <c r="AB17" s="117">
        <f t="shared" si="11"/>
        <v>0</v>
      </c>
      <c r="AC17" s="118">
        <v>0</v>
      </c>
      <c r="AD17" s="109">
        <v>0</v>
      </c>
      <c r="AE17" s="109">
        <v>0</v>
      </c>
      <c r="AF17" s="109">
        <v>0</v>
      </c>
      <c r="AG17" s="106">
        <f t="shared" si="12"/>
        <v>0</v>
      </c>
      <c r="AH17" s="106">
        <f t="shared" si="13"/>
        <v>0</v>
      </c>
      <c r="AI17" s="116">
        <f t="shared" si="14"/>
        <v>0</v>
      </c>
      <c r="AJ17" s="109">
        <v>0</v>
      </c>
      <c r="AK17" s="109">
        <v>0</v>
      </c>
      <c r="AL17" s="109">
        <v>0</v>
      </c>
      <c r="AM17" s="109">
        <v>0</v>
      </c>
      <c r="AN17" s="109">
        <v>0</v>
      </c>
      <c r="AO17" s="218">
        <v>0</v>
      </c>
      <c r="AP17" s="106">
        <f t="shared" si="15"/>
        <v>0</v>
      </c>
      <c r="AQ17" s="106">
        <f t="shared" si="16"/>
        <v>0</v>
      </c>
      <c r="AR17" s="116">
        <f t="shared" si="17"/>
        <v>0</v>
      </c>
      <c r="AS17" s="109">
        <v>0</v>
      </c>
      <c r="AT17" s="109">
        <v>0</v>
      </c>
      <c r="AU17" s="109">
        <v>0</v>
      </c>
      <c r="AV17" s="109">
        <v>0</v>
      </c>
      <c r="AW17" s="109">
        <v>0</v>
      </c>
      <c r="AX17" s="106">
        <f t="shared" si="18"/>
        <v>0</v>
      </c>
      <c r="AY17" s="106">
        <f t="shared" si="19"/>
        <v>0</v>
      </c>
      <c r="AZ17" s="116">
        <f t="shared" si="20"/>
        <v>0</v>
      </c>
      <c r="BA17" s="109">
        <v>0</v>
      </c>
      <c r="BB17" s="109">
        <v>0</v>
      </c>
      <c r="BC17" s="109">
        <v>0</v>
      </c>
      <c r="BD17" s="109">
        <v>0</v>
      </c>
      <c r="BE17" s="109">
        <v>0</v>
      </c>
      <c r="BF17" s="106">
        <f t="shared" si="21"/>
        <v>0</v>
      </c>
      <c r="BG17" s="106">
        <f t="shared" si="22"/>
        <v>0</v>
      </c>
      <c r="BH17" s="116">
        <f t="shared" si="23"/>
        <v>0</v>
      </c>
      <c r="BI17" s="109">
        <v>0</v>
      </c>
      <c r="BJ17" s="109">
        <v>0</v>
      </c>
      <c r="BK17" s="109">
        <v>0</v>
      </c>
      <c r="BL17" s="109">
        <v>0</v>
      </c>
      <c r="BM17" s="109">
        <v>0</v>
      </c>
      <c r="BN17" s="106">
        <f t="shared" si="24"/>
        <v>0</v>
      </c>
      <c r="BO17" s="106">
        <f t="shared" si="25"/>
        <v>0</v>
      </c>
      <c r="BP17" s="116">
        <f t="shared" si="26"/>
        <v>0</v>
      </c>
      <c r="BQ17" s="119">
        <f t="shared" si="27"/>
        <v>52</v>
      </c>
      <c r="BR17" s="120">
        <f t="shared" si="28"/>
        <v>52</v>
      </c>
      <c r="BS17" s="13"/>
      <c r="BT17" s="13"/>
      <c r="BU17" s="13"/>
      <c r="BV17" s="13"/>
      <c r="BW17" s="13"/>
      <c r="BX17" s="13"/>
      <c r="BY17" s="13"/>
      <c r="BZ17" s="13"/>
    </row>
    <row r="18" spans="1:78" ht="12" customHeight="1">
      <c r="A18" s="156" t="s">
        <v>37</v>
      </c>
      <c r="B18" s="109">
        <v>0</v>
      </c>
      <c r="C18" s="109">
        <v>0</v>
      </c>
      <c r="D18" s="109">
        <v>0</v>
      </c>
      <c r="E18" s="106">
        <f t="shared" si="0"/>
        <v>0</v>
      </c>
      <c r="F18" s="106">
        <f t="shared" si="1"/>
        <v>0</v>
      </c>
      <c r="G18" s="106">
        <f t="shared" si="2"/>
        <v>0</v>
      </c>
      <c r="H18" s="109">
        <v>0</v>
      </c>
      <c r="I18" s="109">
        <v>0</v>
      </c>
      <c r="J18" s="109">
        <v>0</v>
      </c>
      <c r="K18" s="109">
        <v>0</v>
      </c>
      <c r="L18" s="106">
        <f t="shared" si="3"/>
        <v>0</v>
      </c>
      <c r="M18" s="106">
        <f t="shared" si="4"/>
        <v>0</v>
      </c>
      <c r="N18" s="116">
        <f t="shared" si="5"/>
        <v>0</v>
      </c>
      <c r="O18" s="109">
        <f>56+2</f>
        <v>58</v>
      </c>
      <c r="P18" s="109">
        <v>0</v>
      </c>
      <c r="Q18" s="109">
        <v>0</v>
      </c>
      <c r="R18" s="218">
        <v>2</v>
      </c>
      <c r="S18" s="106">
        <f t="shared" si="6"/>
        <v>56</v>
      </c>
      <c r="T18" s="106">
        <f t="shared" si="7"/>
        <v>56</v>
      </c>
      <c r="U18" s="116">
        <f t="shared" si="8"/>
        <v>58</v>
      </c>
      <c r="V18" s="109">
        <v>60</v>
      </c>
      <c r="W18" s="109">
        <v>0</v>
      </c>
      <c r="X18" s="109">
        <v>0</v>
      </c>
      <c r="Y18" s="109">
        <v>0</v>
      </c>
      <c r="Z18" s="105">
        <f t="shared" si="9"/>
        <v>60</v>
      </c>
      <c r="AA18" s="105">
        <f t="shared" si="10"/>
        <v>60</v>
      </c>
      <c r="AB18" s="117">
        <f t="shared" si="11"/>
        <v>60</v>
      </c>
      <c r="AC18" s="118">
        <v>69</v>
      </c>
      <c r="AD18" s="109">
        <v>0</v>
      </c>
      <c r="AE18" s="218">
        <v>0</v>
      </c>
      <c r="AF18" s="109">
        <v>0</v>
      </c>
      <c r="AG18" s="106">
        <f t="shared" si="12"/>
        <v>69</v>
      </c>
      <c r="AH18" s="106">
        <f t="shared" si="13"/>
        <v>69</v>
      </c>
      <c r="AI18" s="116">
        <f t="shared" si="14"/>
        <v>69</v>
      </c>
      <c r="AJ18" s="109">
        <f>79+4</f>
        <v>83</v>
      </c>
      <c r="AK18" s="109">
        <v>0</v>
      </c>
      <c r="AL18" s="109">
        <v>0</v>
      </c>
      <c r="AM18" s="109">
        <v>0</v>
      </c>
      <c r="AN18" s="109">
        <v>0</v>
      </c>
      <c r="AO18" s="218">
        <v>1</v>
      </c>
      <c r="AP18" s="106">
        <f t="shared" si="15"/>
        <v>82</v>
      </c>
      <c r="AQ18" s="106">
        <f t="shared" si="16"/>
        <v>82</v>
      </c>
      <c r="AR18" s="116">
        <f t="shared" si="17"/>
        <v>83</v>
      </c>
      <c r="AS18" s="109">
        <v>80</v>
      </c>
      <c r="AT18" s="109">
        <v>0</v>
      </c>
      <c r="AU18" s="109">
        <v>0</v>
      </c>
      <c r="AV18" s="109">
        <v>0</v>
      </c>
      <c r="AW18" s="218">
        <v>1</v>
      </c>
      <c r="AX18" s="106">
        <f t="shared" si="18"/>
        <v>79</v>
      </c>
      <c r="AY18" s="106">
        <f t="shared" si="19"/>
        <v>79</v>
      </c>
      <c r="AZ18" s="116">
        <f t="shared" si="20"/>
        <v>80</v>
      </c>
      <c r="BA18" s="109">
        <f>74+7</f>
        <v>81</v>
      </c>
      <c r="BB18" s="109">
        <v>0</v>
      </c>
      <c r="BC18" s="109">
        <v>0</v>
      </c>
      <c r="BD18" s="109">
        <v>0</v>
      </c>
      <c r="BE18" s="218">
        <v>1</v>
      </c>
      <c r="BF18" s="106">
        <f t="shared" si="21"/>
        <v>80</v>
      </c>
      <c r="BG18" s="106">
        <f t="shared" si="22"/>
        <v>80</v>
      </c>
      <c r="BH18" s="116">
        <f t="shared" si="23"/>
        <v>81</v>
      </c>
      <c r="BI18" s="109">
        <f>63+4</f>
        <v>67</v>
      </c>
      <c r="BJ18" s="109">
        <v>0</v>
      </c>
      <c r="BK18" s="109">
        <v>0</v>
      </c>
      <c r="BL18" s="109">
        <v>0</v>
      </c>
      <c r="BM18" s="218">
        <v>2</v>
      </c>
      <c r="BN18" s="106">
        <f t="shared" si="24"/>
        <v>65</v>
      </c>
      <c r="BO18" s="106">
        <f t="shared" si="25"/>
        <v>65</v>
      </c>
      <c r="BP18" s="116">
        <f t="shared" si="26"/>
        <v>67</v>
      </c>
      <c r="BQ18" s="119">
        <f t="shared" si="27"/>
        <v>491</v>
      </c>
      <c r="BR18" s="120">
        <f t="shared" si="28"/>
        <v>498</v>
      </c>
      <c r="BS18" s="13"/>
      <c r="BT18" s="13"/>
      <c r="BU18" s="13"/>
      <c r="BV18" s="13"/>
      <c r="BW18" s="13"/>
      <c r="BX18" s="13"/>
      <c r="BY18" s="13"/>
      <c r="BZ18" s="13"/>
    </row>
    <row r="19" spans="1:78" ht="12" customHeight="1">
      <c r="A19" s="181" t="s">
        <v>38</v>
      </c>
      <c r="B19" s="121">
        <v>0</v>
      </c>
      <c r="C19" s="121">
        <v>0</v>
      </c>
      <c r="D19" s="121">
        <v>0</v>
      </c>
      <c r="E19" s="106">
        <f t="shared" si="0"/>
        <v>0</v>
      </c>
      <c r="F19" s="106">
        <f t="shared" si="1"/>
        <v>0</v>
      </c>
      <c r="G19" s="106">
        <f t="shared" si="2"/>
        <v>0</v>
      </c>
      <c r="H19" s="121">
        <v>0</v>
      </c>
      <c r="I19" s="121">
        <v>0</v>
      </c>
      <c r="J19" s="121">
        <v>0</v>
      </c>
      <c r="K19" s="122">
        <v>0</v>
      </c>
      <c r="L19" s="106">
        <f t="shared" si="3"/>
        <v>0</v>
      </c>
      <c r="M19" s="106">
        <f t="shared" si="4"/>
        <v>0</v>
      </c>
      <c r="N19" s="116">
        <f t="shared" si="5"/>
        <v>0</v>
      </c>
      <c r="O19" s="121">
        <f>61+1</f>
        <v>62</v>
      </c>
      <c r="P19" s="109">
        <v>0</v>
      </c>
      <c r="Q19" s="121">
        <v>0</v>
      </c>
      <c r="R19" s="220">
        <v>1</v>
      </c>
      <c r="S19" s="106">
        <f t="shared" si="6"/>
        <v>61</v>
      </c>
      <c r="T19" s="106">
        <f t="shared" si="7"/>
        <v>61</v>
      </c>
      <c r="U19" s="116">
        <f t="shared" si="8"/>
        <v>62</v>
      </c>
      <c r="V19" s="121">
        <v>44</v>
      </c>
      <c r="W19" s="109">
        <v>0</v>
      </c>
      <c r="X19" s="109">
        <v>0</v>
      </c>
      <c r="Y19" s="220">
        <v>1</v>
      </c>
      <c r="Z19" s="105">
        <f t="shared" si="9"/>
        <v>43</v>
      </c>
      <c r="AA19" s="105">
        <f t="shared" si="10"/>
        <v>43</v>
      </c>
      <c r="AB19" s="117">
        <f t="shared" si="11"/>
        <v>44</v>
      </c>
      <c r="AC19" s="123">
        <v>48</v>
      </c>
      <c r="AD19" s="109">
        <v>0</v>
      </c>
      <c r="AE19" s="109">
        <v>0</v>
      </c>
      <c r="AF19" s="220">
        <v>4</v>
      </c>
      <c r="AG19" s="106">
        <f t="shared" si="12"/>
        <v>44</v>
      </c>
      <c r="AH19" s="106">
        <f t="shared" si="13"/>
        <v>44</v>
      </c>
      <c r="AI19" s="116">
        <f t="shared" si="14"/>
        <v>48</v>
      </c>
      <c r="AJ19" s="121">
        <v>87</v>
      </c>
      <c r="AK19" s="121">
        <v>0</v>
      </c>
      <c r="AL19" s="121">
        <v>0</v>
      </c>
      <c r="AM19" s="121">
        <v>0</v>
      </c>
      <c r="AN19" s="121">
        <v>0</v>
      </c>
      <c r="AO19" s="220">
        <v>3</v>
      </c>
      <c r="AP19" s="106">
        <f t="shared" si="15"/>
        <v>84</v>
      </c>
      <c r="AQ19" s="106">
        <f t="shared" si="16"/>
        <v>84</v>
      </c>
      <c r="AR19" s="116">
        <f t="shared" si="17"/>
        <v>87</v>
      </c>
      <c r="AS19" s="121">
        <v>70</v>
      </c>
      <c r="AT19" s="121">
        <v>0</v>
      </c>
      <c r="AU19" s="121">
        <v>0</v>
      </c>
      <c r="AV19" s="121">
        <v>0</v>
      </c>
      <c r="AW19" s="220">
        <v>6</v>
      </c>
      <c r="AX19" s="106">
        <f t="shared" si="18"/>
        <v>64</v>
      </c>
      <c r="AY19" s="106">
        <f t="shared" si="19"/>
        <v>64</v>
      </c>
      <c r="AZ19" s="116">
        <f t="shared" si="20"/>
        <v>70</v>
      </c>
      <c r="BA19" s="121">
        <f>56+2</f>
        <v>58</v>
      </c>
      <c r="BB19" s="121">
        <v>0</v>
      </c>
      <c r="BC19" s="121">
        <v>0</v>
      </c>
      <c r="BD19" s="121">
        <v>0</v>
      </c>
      <c r="BE19" s="122">
        <v>0</v>
      </c>
      <c r="BF19" s="106">
        <f t="shared" si="21"/>
        <v>58</v>
      </c>
      <c r="BG19" s="106">
        <f t="shared" si="22"/>
        <v>58</v>
      </c>
      <c r="BH19" s="116">
        <f t="shared" si="23"/>
        <v>58</v>
      </c>
      <c r="BI19" s="121">
        <f>75+3</f>
        <v>78</v>
      </c>
      <c r="BJ19" s="121">
        <v>0</v>
      </c>
      <c r="BK19" s="121">
        <v>0</v>
      </c>
      <c r="BL19" s="121">
        <v>0</v>
      </c>
      <c r="BM19" s="220">
        <v>3</v>
      </c>
      <c r="BN19" s="106">
        <f t="shared" si="24"/>
        <v>75</v>
      </c>
      <c r="BO19" s="106">
        <f t="shared" si="25"/>
        <v>75</v>
      </c>
      <c r="BP19" s="116">
        <f t="shared" si="26"/>
        <v>78</v>
      </c>
      <c r="BQ19" s="119">
        <f t="shared" si="27"/>
        <v>429</v>
      </c>
      <c r="BR19" s="120">
        <f t="shared" si="28"/>
        <v>447</v>
      </c>
      <c r="BS19" s="13"/>
      <c r="BT19" s="13"/>
      <c r="BU19" s="13"/>
      <c r="BV19" s="13"/>
      <c r="BW19" s="13"/>
      <c r="BX19" s="13"/>
      <c r="BY19" s="13"/>
      <c r="BZ19" s="13"/>
    </row>
    <row r="20" spans="1:78" ht="12.75" customHeight="1">
      <c r="A20" s="181" t="s">
        <v>39</v>
      </c>
      <c r="B20" s="121">
        <v>0</v>
      </c>
      <c r="C20" s="121">
        <v>0</v>
      </c>
      <c r="D20" s="121">
        <v>0</v>
      </c>
      <c r="E20" s="106">
        <f t="shared" si="0"/>
        <v>0</v>
      </c>
      <c r="F20" s="106">
        <f t="shared" si="1"/>
        <v>0</v>
      </c>
      <c r="G20" s="106">
        <f t="shared" si="2"/>
        <v>0</v>
      </c>
      <c r="H20" s="121">
        <v>376</v>
      </c>
      <c r="I20" s="217">
        <v>43</v>
      </c>
      <c r="J20" s="121">
        <v>0</v>
      </c>
      <c r="K20" s="217">
        <v>17</v>
      </c>
      <c r="L20" s="106">
        <f t="shared" si="3"/>
        <v>402</v>
      </c>
      <c r="M20" s="106">
        <f t="shared" si="4"/>
        <v>241</v>
      </c>
      <c r="N20" s="116">
        <f t="shared" si="5"/>
        <v>376</v>
      </c>
      <c r="O20" s="121">
        <v>0</v>
      </c>
      <c r="P20" s="121">
        <v>0</v>
      </c>
      <c r="Q20" s="121">
        <v>0</v>
      </c>
      <c r="R20" s="121">
        <v>0</v>
      </c>
      <c r="S20" s="106">
        <f t="shared" si="6"/>
        <v>0</v>
      </c>
      <c r="T20" s="106">
        <f t="shared" si="7"/>
        <v>0</v>
      </c>
      <c r="U20" s="116">
        <f t="shared" si="8"/>
        <v>0</v>
      </c>
      <c r="V20" s="121">
        <v>0</v>
      </c>
      <c r="W20" s="121">
        <v>0</v>
      </c>
      <c r="X20" s="121">
        <v>0</v>
      </c>
      <c r="Y20" s="121">
        <v>0</v>
      </c>
      <c r="Z20" s="105">
        <f t="shared" si="9"/>
        <v>0</v>
      </c>
      <c r="AA20" s="105">
        <f t="shared" si="10"/>
        <v>0</v>
      </c>
      <c r="AB20" s="117">
        <f t="shared" si="11"/>
        <v>0</v>
      </c>
      <c r="AC20" s="123">
        <v>0</v>
      </c>
      <c r="AD20" s="121">
        <v>0</v>
      </c>
      <c r="AE20" s="121">
        <v>0</v>
      </c>
      <c r="AF20" s="121">
        <v>0</v>
      </c>
      <c r="AG20" s="124">
        <f t="shared" si="12"/>
        <v>0</v>
      </c>
      <c r="AH20" s="124">
        <f t="shared" si="13"/>
        <v>0</v>
      </c>
      <c r="AI20" s="125">
        <f t="shared" si="14"/>
        <v>0</v>
      </c>
      <c r="AJ20" s="121">
        <v>0</v>
      </c>
      <c r="AK20" s="121">
        <v>0</v>
      </c>
      <c r="AL20" s="121">
        <v>0</v>
      </c>
      <c r="AM20" s="121">
        <v>0</v>
      </c>
      <c r="AN20" s="121">
        <v>0</v>
      </c>
      <c r="AO20" s="121">
        <v>0</v>
      </c>
      <c r="AP20" s="124">
        <f t="shared" si="15"/>
        <v>0</v>
      </c>
      <c r="AQ20" s="124">
        <f t="shared" si="16"/>
        <v>0</v>
      </c>
      <c r="AR20" s="125">
        <f t="shared" si="17"/>
        <v>0</v>
      </c>
      <c r="AS20" s="121">
        <v>0</v>
      </c>
      <c r="AT20" s="121">
        <v>0</v>
      </c>
      <c r="AU20" s="121">
        <v>0</v>
      </c>
      <c r="AV20" s="121">
        <v>0</v>
      </c>
      <c r="AW20" s="121">
        <v>0</v>
      </c>
      <c r="AX20" s="124">
        <f t="shared" si="18"/>
        <v>0</v>
      </c>
      <c r="AY20" s="124">
        <f t="shared" si="19"/>
        <v>0</v>
      </c>
      <c r="AZ20" s="125">
        <f t="shared" si="20"/>
        <v>0</v>
      </c>
      <c r="BA20" s="121">
        <v>0</v>
      </c>
      <c r="BB20" s="121">
        <v>0</v>
      </c>
      <c r="BC20" s="121">
        <v>0</v>
      </c>
      <c r="BD20" s="121">
        <v>0</v>
      </c>
      <c r="BE20" s="121">
        <v>0</v>
      </c>
      <c r="BF20" s="124">
        <f t="shared" si="21"/>
        <v>0</v>
      </c>
      <c r="BG20" s="124">
        <f t="shared" si="22"/>
        <v>0</v>
      </c>
      <c r="BH20" s="125">
        <f t="shared" si="23"/>
        <v>0</v>
      </c>
      <c r="BI20" s="121">
        <v>0</v>
      </c>
      <c r="BJ20" s="121">
        <v>0</v>
      </c>
      <c r="BK20" s="121">
        <v>0</v>
      </c>
      <c r="BL20" s="121">
        <v>0</v>
      </c>
      <c r="BM20" s="121">
        <v>0</v>
      </c>
      <c r="BN20" s="106">
        <f t="shared" si="24"/>
        <v>0</v>
      </c>
      <c r="BO20" s="106">
        <f t="shared" si="25"/>
        <v>0</v>
      </c>
      <c r="BP20" s="116">
        <f t="shared" si="26"/>
        <v>0</v>
      </c>
      <c r="BQ20" s="119">
        <f t="shared" si="27"/>
        <v>402</v>
      </c>
      <c r="BR20" s="120">
        <f t="shared" si="28"/>
        <v>376</v>
      </c>
      <c r="BS20" s="13"/>
      <c r="BT20" s="13"/>
      <c r="BU20" s="13"/>
      <c r="BV20" s="13"/>
      <c r="BW20" s="13"/>
      <c r="BX20" s="13"/>
      <c r="BY20" s="13"/>
      <c r="BZ20" s="13"/>
    </row>
    <row r="21" spans="1:78" ht="12.75" customHeight="1">
      <c r="A21" s="181" t="s">
        <v>64</v>
      </c>
      <c r="B21" s="126">
        <v>0</v>
      </c>
      <c r="C21" s="126">
        <v>0</v>
      </c>
      <c r="D21" s="126">
        <v>0</v>
      </c>
      <c r="E21" s="106">
        <f t="shared" ref="E21" si="29">B21+C21-D21</f>
        <v>0</v>
      </c>
      <c r="F21" s="106">
        <f t="shared" ref="F21" si="30">E21*0.5</f>
        <v>0</v>
      </c>
      <c r="G21" s="106">
        <f t="shared" ref="G21" si="31">B21</f>
        <v>0</v>
      </c>
      <c r="H21" s="126">
        <v>0</v>
      </c>
      <c r="I21" s="126">
        <v>0</v>
      </c>
      <c r="J21" s="126">
        <v>0</v>
      </c>
      <c r="K21" s="126">
        <v>0</v>
      </c>
      <c r="L21" s="106">
        <f t="shared" ref="L21" si="32">H21+I21+J21-K21</f>
        <v>0</v>
      </c>
      <c r="M21" s="106">
        <f t="shared" ref="M21" si="33">ROUND(L21*0.6,0)</f>
        <v>0</v>
      </c>
      <c r="N21" s="116">
        <f t="shared" ref="N21" si="34">H21</f>
        <v>0</v>
      </c>
      <c r="O21" s="126">
        <v>0</v>
      </c>
      <c r="P21" s="126">
        <v>0</v>
      </c>
      <c r="Q21" s="126">
        <v>0</v>
      </c>
      <c r="R21" s="126">
        <v>0</v>
      </c>
      <c r="S21" s="127">
        <f t="shared" si="6"/>
        <v>0</v>
      </c>
      <c r="T21" s="127">
        <f t="shared" si="7"/>
        <v>0</v>
      </c>
      <c r="U21" s="128">
        <f t="shared" si="8"/>
        <v>0</v>
      </c>
      <c r="V21" s="126">
        <v>0</v>
      </c>
      <c r="W21" s="126">
        <v>0</v>
      </c>
      <c r="X21" s="126">
        <v>0</v>
      </c>
      <c r="Y21" s="126">
        <v>0</v>
      </c>
      <c r="Z21" s="129">
        <f t="shared" si="9"/>
        <v>0</v>
      </c>
      <c r="AA21" s="129">
        <f t="shared" si="10"/>
        <v>0</v>
      </c>
      <c r="AB21" s="130">
        <f t="shared" si="11"/>
        <v>0</v>
      </c>
      <c r="AC21" s="123">
        <v>0</v>
      </c>
      <c r="AD21" s="126">
        <v>0</v>
      </c>
      <c r="AE21" s="126">
        <v>0</v>
      </c>
      <c r="AF21" s="126">
        <v>0</v>
      </c>
      <c r="AG21" s="131">
        <f t="shared" si="12"/>
        <v>0</v>
      </c>
      <c r="AH21" s="131">
        <f t="shared" si="13"/>
        <v>0</v>
      </c>
      <c r="AI21" s="132">
        <f t="shared" si="14"/>
        <v>0</v>
      </c>
      <c r="AJ21" s="126">
        <v>0</v>
      </c>
      <c r="AK21" s="126">
        <v>0</v>
      </c>
      <c r="AL21" s="126">
        <v>0</v>
      </c>
      <c r="AM21" s="126">
        <v>0</v>
      </c>
      <c r="AN21" s="126">
        <v>0</v>
      </c>
      <c r="AO21" s="126">
        <v>0</v>
      </c>
      <c r="AP21" s="131">
        <f t="shared" si="15"/>
        <v>0</v>
      </c>
      <c r="AQ21" s="131">
        <f t="shared" si="16"/>
        <v>0</v>
      </c>
      <c r="AR21" s="132">
        <f t="shared" si="17"/>
        <v>0</v>
      </c>
      <c r="AS21" s="126">
        <v>0</v>
      </c>
      <c r="AT21" s="126">
        <v>0</v>
      </c>
      <c r="AU21" s="126">
        <v>0</v>
      </c>
      <c r="AV21" s="126">
        <v>0</v>
      </c>
      <c r="AW21" s="126">
        <v>0</v>
      </c>
      <c r="AX21" s="131">
        <f t="shared" si="18"/>
        <v>0</v>
      </c>
      <c r="AY21" s="131">
        <f t="shared" si="19"/>
        <v>0</v>
      </c>
      <c r="AZ21" s="132">
        <f t="shared" si="20"/>
        <v>0</v>
      </c>
      <c r="BA21" s="126">
        <v>0</v>
      </c>
      <c r="BB21" s="126">
        <v>0</v>
      </c>
      <c r="BC21" s="126">
        <v>0</v>
      </c>
      <c r="BD21" s="126">
        <v>0</v>
      </c>
      <c r="BE21" s="126">
        <v>0</v>
      </c>
      <c r="BF21" s="131">
        <f t="shared" si="21"/>
        <v>0</v>
      </c>
      <c r="BG21" s="131">
        <f t="shared" si="22"/>
        <v>0</v>
      </c>
      <c r="BH21" s="132">
        <f t="shared" si="23"/>
        <v>0</v>
      </c>
      <c r="BI21" s="126">
        <v>1</v>
      </c>
      <c r="BJ21" s="126">
        <v>0</v>
      </c>
      <c r="BK21" s="126">
        <v>0</v>
      </c>
      <c r="BL21" s="126">
        <v>0</v>
      </c>
      <c r="BM21" s="126">
        <v>0</v>
      </c>
      <c r="BN21" s="127">
        <f t="shared" si="24"/>
        <v>1</v>
      </c>
      <c r="BO21" s="127">
        <f t="shared" si="25"/>
        <v>1</v>
      </c>
      <c r="BP21" s="128">
        <f t="shared" si="26"/>
        <v>1</v>
      </c>
      <c r="BQ21" s="119">
        <f t="shared" ref="BQ21" si="35">E21+L21+S21+Z21+AG21+AP21+AX21+BF21+BN21</f>
        <v>1</v>
      </c>
      <c r="BR21" s="120">
        <f t="shared" ref="BR21" si="36">G21+N21+U21+AB21+AI21+AR21+AZ21+BH21+BP21</f>
        <v>1</v>
      </c>
      <c r="BS21" s="13"/>
      <c r="BT21" s="13"/>
      <c r="BU21" s="13"/>
      <c r="BV21" s="13"/>
      <c r="BW21" s="13"/>
      <c r="BX21" s="13"/>
      <c r="BY21" s="13"/>
      <c r="BZ21" s="13"/>
    </row>
    <row r="22" spans="1:78" ht="13.5" customHeight="1" thickBot="1">
      <c r="A22" s="182" t="s">
        <v>40</v>
      </c>
      <c r="B22" s="133">
        <v>0</v>
      </c>
      <c r="C22" s="133">
        <v>0</v>
      </c>
      <c r="D22" s="133">
        <v>0</v>
      </c>
      <c r="E22" s="134">
        <f t="shared" si="0"/>
        <v>0</v>
      </c>
      <c r="F22" s="135">
        <f t="shared" si="1"/>
        <v>0</v>
      </c>
      <c r="G22" s="136">
        <f t="shared" si="2"/>
        <v>0</v>
      </c>
      <c r="H22" s="133">
        <v>1</v>
      </c>
      <c r="I22" s="133">
        <v>0</v>
      </c>
      <c r="J22" s="133">
        <v>0</v>
      </c>
      <c r="K22" s="133">
        <v>0</v>
      </c>
      <c r="L22" s="135">
        <f t="shared" si="3"/>
        <v>1</v>
      </c>
      <c r="M22" s="134">
        <f t="shared" si="4"/>
        <v>1</v>
      </c>
      <c r="N22" s="136">
        <f t="shared" si="5"/>
        <v>1</v>
      </c>
      <c r="O22" s="133">
        <v>1</v>
      </c>
      <c r="P22" s="133">
        <v>0</v>
      </c>
      <c r="Q22" s="133">
        <v>0</v>
      </c>
      <c r="R22" s="133">
        <v>0</v>
      </c>
      <c r="S22" s="135">
        <f t="shared" si="6"/>
        <v>1</v>
      </c>
      <c r="T22" s="134">
        <f t="shared" si="7"/>
        <v>1</v>
      </c>
      <c r="U22" s="136">
        <f t="shared" si="8"/>
        <v>1</v>
      </c>
      <c r="V22" s="133">
        <v>3</v>
      </c>
      <c r="W22" s="133">
        <v>0</v>
      </c>
      <c r="X22" s="133">
        <v>0</v>
      </c>
      <c r="Y22" s="133">
        <v>0</v>
      </c>
      <c r="Z22" s="133">
        <f t="shared" si="9"/>
        <v>3</v>
      </c>
      <c r="AA22" s="137">
        <f t="shared" si="10"/>
        <v>3</v>
      </c>
      <c r="AB22" s="138">
        <f t="shared" si="11"/>
        <v>3</v>
      </c>
      <c r="AC22" s="139">
        <v>6</v>
      </c>
      <c r="AD22" s="133">
        <v>0</v>
      </c>
      <c r="AE22" s="133">
        <v>0</v>
      </c>
      <c r="AF22" s="133">
        <v>0</v>
      </c>
      <c r="AG22" s="140">
        <f t="shared" si="12"/>
        <v>6</v>
      </c>
      <c r="AH22" s="141">
        <f t="shared" si="13"/>
        <v>6</v>
      </c>
      <c r="AI22" s="142">
        <f t="shared" si="14"/>
        <v>6</v>
      </c>
      <c r="AJ22" s="133">
        <v>2</v>
      </c>
      <c r="AK22" s="133">
        <v>0</v>
      </c>
      <c r="AL22" s="133">
        <v>0</v>
      </c>
      <c r="AM22" s="133">
        <v>0</v>
      </c>
      <c r="AN22" s="133">
        <v>0</v>
      </c>
      <c r="AO22" s="133">
        <v>0</v>
      </c>
      <c r="AP22" s="139">
        <f t="shared" si="15"/>
        <v>2</v>
      </c>
      <c r="AQ22" s="141">
        <f t="shared" si="16"/>
        <v>2</v>
      </c>
      <c r="AR22" s="142">
        <f t="shared" si="17"/>
        <v>2</v>
      </c>
      <c r="AS22" s="133">
        <v>2</v>
      </c>
      <c r="AT22" s="133">
        <v>0</v>
      </c>
      <c r="AU22" s="133">
        <v>0</v>
      </c>
      <c r="AV22" s="133">
        <v>0</v>
      </c>
      <c r="AW22" s="133">
        <v>0</v>
      </c>
      <c r="AX22" s="141">
        <f t="shared" si="18"/>
        <v>2</v>
      </c>
      <c r="AY22" s="141">
        <f t="shared" si="19"/>
        <v>2</v>
      </c>
      <c r="AZ22" s="142">
        <f t="shared" si="20"/>
        <v>2</v>
      </c>
      <c r="BA22" s="133">
        <v>3</v>
      </c>
      <c r="BB22" s="133">
        <v>0</v>
      </c>
      <c r="BC22" s="133">
        <v>0</v>
      </c>
      <c r="BD22" s="133">
        <v>0</v>
      </c>
      <c r="BE22" s="133">
        <v>0</v>
      </c>
      <c r="BF22" s="140">
        <f t="shared" si="21"/>
        <v>3</v>
      </c>
      <c r="BG22" s="141">
        <f t="shared" si="22"/>
        <v>3</v>
      </c>
      <c r="BH22" s="142">
        <f t="shared" si="23"/>
        <v>3</v>
      </c>
      <c r="BI22" s="133">
        <v>9</v>
      </c>
      <c r="BJ22" s="133">
        <v>0</v>
      </c>
      <c r="BK22" s="133">
        <v>0</v>
      </c>
      <c r="BL22" s="133">
        <v>0</v>
      </c>
      <c r="BM22" s="133">
        <v>0</v>
      </c>
      <c r="BN22" s="134">
        <f t="shared" si="24"/>
        <v>9</v>
      </c>
      <c r="BO22" s="134">
        <f t="shared" si="25"/>
        <v>9</v>
      </c>
      <c r="BP22" s="136">
        <f t="shared" si="26"/>
        <v>9</v>
      </c>
      <c r="BQ22" s="143">
        <f t="shared" si="27"/>
        <v>27</v>
      </c>
      <c r="BR22" s="144">
        <f t="shared" si="28"/>
        <v>27</v>
      </c>
      <c r="BS22" s="13"/>
      <c r="BT22" s="13"/>
      <c r="BU22" s="13"/>
      <c r="BV22" s="13"/>
      <c r="BW22" s="13"/>
      <c r="BX22" s="13"/>
      <c r="BY22" s="13"/>
      <c r="BZ22" s="13"/>
    </row>
    <row r="23" spans="1:78" ht="13.5" customHeight="1" thickTop="1" thickBot="1">
      <c r="A23" s="183" t="s">
        <v>41</v>
      </c>
      <c r="B23" s="145">
        <f t="shared" ref="B23:E23" si="37">SUM(B9:B22)</f>
        <v>52</v>
      </c>
      <c r="C23" s="145">
        <f t="shared" si="37"/>
        <v>0</v>
      </c>
      <c r="D23" s="145">
        <f t="shared" si="37"/>
        <v>0</v>
      </c>
      <c r="E23" s="146">
        <f t="shared" si="37"/>
        <v>52</v>
      </c>
      <c r="F23" s="146">
        <f>ROUND(E23*0.5,0)</f>
        <v>26</v>
      </c>
      <c r="G23" s="146">
        <f t="shared" ref="G23:L23" si="38">SUM(G9:G22)</f>
        <v>52</v>
      </c>
      <c r="H23" s="147">
        <f t="shared" si="38"/>
        <v>377</v>
      </c>
      <c r="I23" s="147">
        <f t="shared" si="38"/>
        <v>43</v>
      </c>
      <c r="J23" s="148">
        <f t="shared" si="38"/>
        <v>0</v>
      </c>
      <c r="K23" s="148">
        <f t="shared" si="38"/>
        <v>17</v>
      </c>
      <c r="L23" s="149">
        <f t="shared" si="38"/>
        <v>403</v>
      </c>
      <c r="M23" s="149">
        <f t="shared" si="4"/>
        <v>242</v>
      </c>
      <c r="N23" s="150">
        <f t="shared" ref="N23:BM23" si="39">SUM(N9:N22)</f>
        <v>377</v>
      </c>
      <c r="O23" s="147">
        <f t="shared" si="39"/>
        <v>404</v>
      </c>
      <c r="P23" s="148">
        <f t="shared" si="39"/>
        <v>36</v>
      </c>
      <c r="Q23" s="148">
        <f t="shared" si="39"/>
        <v>0</v>
      </c>
      <c r="R23" s="148">
        <f t="shared" si="39"/>
        <v>10</v>
      </c>
      <c r="S23" s="149">
        <f t="shared" si="39"/>
        <v>430</v>
      </c>
      <c r="T23" s="149">
        <f t="shared" si="39"/>
        <v>430</v>
      </c>
      <c r="U23" s="150">
        <f t="shared" si="39"/>
        <v>404</v>
      </c>
      <c r="V23" s="147">
        <f t="shared" si="39"/>
        <v>411</v>
      </c>
      <c r="W23" s="148">
        <f t="shared" si="39"/>
        <v>35</v>
      </c>
      <c r="X23" s="148">
        <f t="shared" si="39"/>
        <v>0</v>
      </c>
      <c r="Y23" s="148">
        <f t="shared" si="39"/>
        <v>12</v>
      </c>
      <c r="Z23" s="148">
        <f t="shared" si="39"/>
        <v>434</v>
      </c>
      <c r="AA23" s="148">
        <f t="shared" si="39"/>
        <v>434</v>
      </c>
      <c r="AB23" s="150">
        <f t="shared" si="39"/>
        <v>411</v>
      </c>
      <c r="AC23" s="147">
        <f t="shared" si="39"/>
        <v>452</v>
      </c>
      <c r="AD23" s="148">
        <f t="shared" si="39"/>
        <v>40</v>
      </c>
      <c r="AE23" s="148">
        <f t="shared" si="39"/>
        <v>0</v>
      </c>
      <c r="AF23" s="148">
        <f t="shared" si="39"/>
        <v>15</v>
      </c>
      <c r="AG23" s="148">
        <f t="shared" si="39"/>
        <v>477</v>
      </c>
      <c r="AH23" s="148">
        <f t="shared" si="39"/>
        <v>477</v>
      </c>
      <c r="AI23" s="150">
        <f t="shared" si="39"/>
        <v>452</v>
      </c>
      <c r="AJ23" s="147">
        <f t="shared" si="39"/>
        <v>505</v>
      </c>
      <c r="AK23" s="148">
        <f t="shared" si="39"/>
        <v>32</v>
      </c>
      <c r="AL23" s="148">
        <f t="shared" si="39"/>
        <v>0</v>
      </c>
      <c r="AM23" s="148">
        <f t="shared" si="39"/>
        <v>0</v>
      </c>
      <c r="AN23" s="148">
        <f t="shared" si="39"/>
        <v>1</v>
      </c>
      <c r="AO23" s="148">
        <f t="shared" si="39"/>
        <v>12</v>
      </c>
      <c r="AP23" s="148">
        <f t="shared" si="39"/>
        <v>524</v>
      </c>
      <c r="AQ23" s="148">
        <f t="shared" si="39"/>
        <v>524</v>
      </c>
      <c r="AR23" s="150">
        <f t="shared" si="39"/>
        <v>505</v>
      </c>
      <c r="AS23" s="151">
        <f t="shared" si="39"/>
        <v>462</v>
      </c>
      <c r="AT23" s="152">
        <f t="shared" si="39"/>
        <v>38</v>
      </c>
      <c r="AU23" s="152">
        <f t="shared" si="39"/>
        <v>0</v>
      </c>
      <c r="AV23" s="152">
        <f t="shared" si="39"/>
        <v>0</v>
      </c>
      <c r="AW23" s="152">
        <f t="shared" si="39"/>
        <v>11</v>
      </c>
      <c r="AX23" s="148">
        <f t="shared" si="39"/>
        <v>489</v>
      </c>
      <c r="AY23" s="148">
        <f t="shared" si="39"/>
        <v>489</v>
      </c>
      <c r="AZ23" s="150">
        <f t="shared" si="39"/>
        <v>462</v>
      </c>
      <c r="BA23" s="147">
        <f t="shared" si="39"/>
        <v>498</v>
      </c>
      <c r="BB23" s="148">
        <f t="shared" si="39"/>
        <v>27</v>
      </c>
      <c r="BC23" s="148">
        <f t="shared" si="39"/>
        <v>0</v>
      </c>
      <c r="BD23" s="148">
        <f t="shared" si="39"/>
        <v>0</v>
      </c>
      <c r="BE23" s="148">
        <f t="shared" si="39"/>
        <v>7</v>
      </c>
      <c r="BF23" s="148">
        <f t="shared" si="39"/>
        <v>518</v>
      </c>
      <c r="BG23" s="148">
        <f t="shared" si="39"/>
        <v>518</v>
      </c>
      <c r="BH23" s="150">
        <f t="shared" si="39"/>
        <v>498</v>
      </c>
      <c r="BI23" s="147">
        <f t="shared" si="39"/>
        <v>476</v>
      </c>
      <c r="BJ23" s="148">
        <f t="shared" si="39"/>
        <v>37</v>
      </c>
      <c r="BK23" s="148">
        <f t="shared" si="39"/>
        <v>0</v>
      </c>
      <c r="BL23" s="148">
        <f t="shared" si="39"/>
        <v>0</v>
      </c>
      <c r="BM23" s="148">
        <f t="shared" si="39"/>
        <v>12</v>
      </c>
      <c r="BN23" s="146">
        <f t="shared" si="24"/>
        <v>501</v>
      </c>
      <c r="BO23" s="148">
        <f t="shared" ref="BO23:BR23" si="40">SUM(BO9:BO22)</f>
        <v>501</v>
      </c>
      <c r="BP23" s="150">
        <f t="shared" si="40"/>
        <v>476</v>
      </c>
      <c r="BQ23" s="153">
        <f t="shared" si="40"/>
        <v>3828</v>
      </c>
      <c r="BR23" s="154">
        <f t="shared" si="40"/>
        <v>3637</v>
      </c>
      <c r="BT23" s="13"/>
    </row>
    <row r="24" spans="1:78" ht="9" customHeight="1">
      <c r="A24" s="184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4"/>
      <c r="BR24" s="25"/>
    </row>
    <row r="25" spans="1:78" ht="14.25" customHeight="1" thickBot="1">
      <c r="A25" s="6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97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</row>
    <row r="26" spans="1:78" ht="12.75" customHeight="1" thickBot="1">
      <c r="A26" s="185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171" t="s">
        <v>1</v>
      </c>
      <c r="AB26" s="193"/>
      <c r="AC26" s="193"/>
      <c r="AD26" s="193"/>
      <c r="AE26" s="193"/>
      <c r="AF26" s="194"/>
      <c r="AG26" s="171" t="s">
        <v>42</v>
      </c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4"/>
      <c r="AT26" s="171" t="s">
        <v>43</v>
      </c>
      <c r="AU26" s="193"/>
      <c r="AV26" s="193"/>
      <c r="AW26" s="193"/>
      <c r="AX26" s="193"/>
      <c r="AY26" s="193"/>
      <c r="AZ26" s="193"/>
      <c r="BA26" s="193"/>
      <c r="BB26" s="193"/>
      <c r="BC26" s="193"/>
      <c r="BD26" s="193"/>
      <c r="BE26" s="193"/>
      <c r="BF26" s="194"/>
      <c r="BG26" s="157" t="s">
        <v>44</v>
      </c>
      <c r="BH26" s="157"/>
      <c r="BI26" s="157"/>
      <c r="BJ26" s="157"/>
      <c r="BK26" s="157"/>
      <c r="BL26" s="157"/>
      <c r="BM26" s="157"/>
      <c r="BN26" s="157"/>
      <c r="BO26" s="157"/>
      <c r="BP26" s="175"/>
      <c r="BQ26" s="90" t="s">
        <v>45</v>
      </c>
      <c r="BR26" s="91"/>
    </row>
    <row r="27" spans="1:78" ht="114" customHeight="1">
      <c r="A27" s="186"/>
      <c r="B27" s="29"/>
      <c r="C27" s="29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1"/>
      <c r="Q27" s="31"/>
      <c r="R27" s="31"/>
      <c r="S27" s="31"/>
      <c r="T27" s="31"/>
      <c r="U27" s="30"/>
      <c r="V27" s="30"/>
      <c r="W27" s="31"/>
      <c r="X27" s="31"/>
      <c r="Y27" s="31"/>
      <c r="Z27" s="31"/>
      <c r="AA27" s="170"/>
      <c r="AB27" s="170"/>
      <c r="AC27" s="170"/>
      <c r="AD27" s="170"/>
      <c r="AE27" s="170"/>
      <c r="AF27" s="170"/>
      <c r="AG27" s="159" t="s">
        <v>12</v>
      </c>
      <c r="AH27" s="33" t="s">
        <v>13</v>
      </c>
      <c r="AI27" s="33" t="s">
        <v>23</v>
      </c>
      <c r="AJ27" s="33" t="s">
        <v>46</v>
      </c>
      <c r="AK27" s="33" t="s">
        <v>47</v>
      </c>
      <c r="AL27" s="33" t="s">
        <v>14</v>
      </c>
      <c r="AM27" s="33" t="s">
        <v>48</v>
      </c>
      <c r="AN27" s="33" t="s">
        <v>49</v>
      </c>
      <c r="AO27" s="192"/>
      <c r="AP27" s="33" t="s">
        <v>50</v>
      </c>
      <c r="AQ27" s="33" t="s">
        <v>51</v>
      </c>
      <c r="AR27" s="11" t="s">
        <v>52</v>
      </c>
      <c r="AS27" s="11" t="s">
        <v>53</v>
      </c>
      <c r="AT27" s="205" t="s">
        <v>12</v>
      </c>
      <c r="AU27" s="174" t="s">
        <v>13</v>
      </c>
      <c r="AV27" s="199" t="s">
        <v>54</v>
      </c>
      <c r="AW27" s="202"/>
      <c r="AX27" s="174" t="s">
        <v>46</v>
      </c>
      <c r="AY27" s="33" t="s">
        <v>18</v>
      </c>
      <c r="AZ27" s="33" t="s">
        <v>14</v>
      </c>
      <c r="BA27" s="33" t="s">
        <v>50</v>
      </c>
      <c r="BB27" s="33" t="s">
        <v>51</v>
      </c>
      <c r="BC27" s="11" t="s">
        <v>55</v>
      </c>
      <c r="BD27" s="176" t="s">
        <v>56</v>
      </c>
      <c r="BE27" s="206"/>
      <c r="BF27" s="206"/>
      <c r="BG27" s="159" t="s">
        <v>12</v>
      </c>
      <c r="BH27" s="33" t="s">
        <v>13</v>
      </c>
      <c r="BI27" s="33" t="s">
        <v>57</v>
      </c>
      <c r="BJ27" s="33" t="s">
        <v>46</v>
      </c>
      <c r="BK27" s="33" t="s">
        <v>47</v>
      </c>
      <c r="BL27" s="33" t="s">
        <v>14</v>
      </c>
      <c r="BM27" s="33" t="s">
        <v>58</v>
      </c>
      <c r="BN27" s="33" t="s">
        <v>51</v>
      </c>
      <c r="BO27" s="11" t="s">
        <v>59</v>
      </c>
      <c r="BP27" s="34" t="s">
        <v>60</v>
      </c>
      <c r="BQ27" s="35" t="s">
        <v>24</v>
      </c>
      <c r="BR27" s="35" t="s">
        <v>25</v>
      </c>
    </row>
    <row r="28" spans="1:78" ht="12" customHeight="1">
      <c r="A28" s="18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190" t="s">
        <v>61</v>
      </c>
      <c r="AB28" s="190"/>
      <c r="AC28" s="190"/>
      <c r="AD28" s="190"/>
      <c r="AE28" s="190"/>
      <c r="AF28" s="190"/>
      <c r="AG28" s="209">
        <f>207+17</f>
        <v>224</v>
      </c>
      <c r="AH28" s="214">
        <v>39</v>
      </c>
      <c r="AI28" s="38">
        <v>0</v>
      </c>
      <c r="AJ28" s="38">
        <v>0</v>
      </c>
      <c r="AK28" s="38">
        <v>0</v>
      </c>
      <c r="AL28" s="214">
        <v>5</v>
      </c>
      <c r="AM28" s="38">
        <v>0</v>
      </c>
      <c r="AN28" s="195">
        <v>0</v>
      </c>
      <c r="AO28" s="198"/>
      <c r="AP28" s="37">
        <v>0</v>
      </c>
      <c r="AQ28" s="38">
        <v>0</v>
      </c>
      <c r="AR28" s="39">
        <f>AG28+AH28+AI28-AJ28-AK28-AL28+AM28-AP28-AQ28-AN28</f>
        <v>258</v>
      </c>
      <c r="AS28" s="39">
        <f>AG28</f>
        <v>224</v>
      </c>
      <c r="AT28" s="211">
        <f>215+14</f>
        <v>229</v>
      </c>
      <c r="AU28" s="219">
        <v>27</v>
      </c>
      <c r="AV28" s="200">
        <v>0</v>
      </c>
      <c r="AW28" s="198"/>
      <c r="AX28" s="201">
        <v>0</v>
      </c>
      <c r="AY28" s="219">
        <v>0</v>
      </c>
      <c r="AZ28" s="219">
        <v>5</v>
      </c>
      <c r="BA28" s="214">
        <v>0</v>
      </c>
      <c r="BB28" s="38">
        <v>0</v>
      </c>
      <c r="BC28" s="39">
        <f>AT28+AU28+AV28-AX28+AY28-AZ28-BA28-BB28</f>
        <v>251</v>
      </c>
      <c r="BD28" s="177">
        <f>AT28</f>
        <v>229</v>
      </c>
      <c r="BE28" s="204"/>
      <c r="BF28" s="204"/>
      <c r="BG28" s="208">
        <f>240+19</f>
        <v>259</v>
      </c>
      <c r="BH28" s="219">
        <v>34</v>
      </c>
      <c r="BI28" s="40">
        <v>0</v>
      </c>
      <c r="BJ28" s="40">
        <v>0</v>
      </c>
      <c r="BK28" s="40">
        <v>0</v>
      </c>
      <c r="BL28" s="219">
        <v>8</v>
      </c>
      <c r="BM28" s="38">
        <v>0</v>
      </c>
      <c r="BN28" s="38">
        <v>0</v>
      </c>
      <c r="BO28" s="41">
        <f>BG28+BH28+BI28-BJ28-BK28-BL28-BM28-BN28</f>
        <v>285</v>
      </c>
      <c r="BP28" s="12">
        <f>BG28</f>
        <v>259</v>
      </c>
      <c r="BQ28" s="15">
        <f>SUM(AR28+BC28+BO28)</f>
        <v>794</v>
      </c>
      <c r="BR28" s="15">
        <f>SUM(AS28+BD28+BP28)</f>
        <v>712</v>
      </c>
      <c r="BS28" s="13"/>
      <c r="BT28" s="13"/>
      <c r="BU28" s="13"/>
      <c r="BV28" s="13"/>
      <c r="BW28" s="13"/>
      <c r="BX28" s="13"/>
      <c r="BY28" s="13"/>
      <c r="BZ28" s="13"/>
    </row>
    <row r="29" spans="1:78" ht="12" customHeight="1">
      <c r="A29" s="18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190" t="s">
        <v>40</v>
      </c>
      <c r="AB29" s="190"/>
      <c r="AC29" s="190"/>
      <c r="AD29" s="190"/>
      <c r="AE29" s="190"/>
      <c r="AF29" s="190"/>
      <c r="AG29" s="209">
        <v>6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195">
        <v>0</v>
      </c>
      <c r="AO29" s="198"/>
      <c r="AP29" s="37">
        <v>0</v>
      </c>
      <c r="AQ29" s="38">
        <v>0</v>
      </c>
      <c r="AR29" s="39">
        <f>AG29+AH29+AI29-AJ29-AK29-AL29+AM29-AP29-AQ29-AN29</f>
        <v>6</v>
      </c>
      <c r="AS29" s="39">
        <f>AG29</f>
        <v>6</v>
      </c>
      <c r="AT29" s="208">
        <f>9</f>
        <v>9</v>
      </c>
      <c r="AU29" s="40">
        <v>0</v>
      </c>
      <c r="AV29" s="200">
        <v>0</v>
      </c>
      <c r="AW29" s="198"/>
      <c r="AX29" s="201">
        <v>0</v>
      </c>
      <c r="AY29" s="40">
        <v>0</v>
      </c>
      <c r="AZ29" s="40">
        <v>0</v>
      </c>
      <c r="BA29" s="38">
        <v>0</v>
      </c>
      <c r="BB29" s="38">
        <v>0</v>
      </c>
      <c r="BC29" s="39">
        <f>AT29+AU29+AV29-AX29+AY29-AZ29-BA29-BB29</f>
        <v>9</v>
      </c>
      <c r="BD29" s="177">
        <f>AT29</f>
        <v>9</v>
      </c>
      <c r="BE29" s="204"/>
      <c r="BF29" s="204"/>
      <c r="BG29" s="208">
        <f>13</f>
        <v>13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38">
        <v>0</v>
      </c>
      <c r="BN29" s="38">
        <v>0</v>
      </c>
      <c r="BO29" s="41">
        <f>BG29+BH29+BI29-BJ29-BK29-BL29-BM29-BN29</f>
        <v>13</v>
      </c>
      <c r="BP29" s="12">
        <f>BG29</f>
        <v>13</v>
      </c>
      <c r="BQ29" s="15">
        <f>SUM(AR29+BC29+BO29)</f>
        <v>28</v>
      </c>
      <c r="BR29" s="15">
        <f>SUM(AS29+BD29+BP29)</f>
        <v>28</v>
      </c>
      <c r="BS29" s="13"/>
      <c r="BT29" s="13"/>
      <c r="BU29" s="13"/>
      <c r="BV29" s="13"/>
      <c r="BW29" s="13"/>
      <c r="BX29" s="13"/>
      <c r="BY29" s="13"/>
      <c r="BZ29" s="13"/>
    </row>
    <row r="30" spans="1:78" ht="12" customHeight="1">
      <c r="A30" s="18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190" t="s">
        <v>62</v>
      </c>
      <c r="AB30" s="190"/>
      <c r="AC30" s="190"/>
      <c r="AD30" s="190"/>
      <c r="AE30" s="190"/>
      <c r="AF30" s="190"/>
      <c r="AG30" s="209">
        <f>226+12</f>
        <v>238</v>
      </c>
      <c r="AH30" s="38">
        <v>0</v>
      </c>
      <c r="AI30" s="38">
        <v>0</v>
      </c>
      <c r="AJ30" s="38">
        <v>0</v>
      </c>
      <c r="AK30" s="38">
        <v>0</v>
      </c>
      <c r="AL30" s="214">
        <v>6</v>
      </c>
      <c r="AM30" s="38">
        <v>0</v>
      </c>
      <c r="AN30" s="195">
        <v>0</v>
      </c>
      <c r="AO30" s="198"/>
      <c r="AP30" s="209">
        <v>1</v>
      </c>
      <c r="AQ30" s="38">
        <v>0</v>
      </c>
      <c r="AR30" s="39">
        <f>AG30+AH30+AI30-AJ30-AK30-AL30+AM30-AP30-AQ30-AN30</f>
        <v>231</v>
      </c>
      <c r="AS30" s="39">
        <f>AG30</f>
        <v>238</v>
      </c>
      <c r="AT30" s="208">
        <f>213+24</f>
        <v>237</v>
      </c>
      <c r="AU30" s="40">
        <v>0</v>
      </c>
      <c r="AV30" s="200">
        <v>0</v>
      </c>
      <c r="AW30" s="198"/>
      <c r="AX30" s="201">
        <v>1</v>
      </c>
      <c r="AY30" s="40">
        <v>0</v>
      </c>
      <c r="AZ30" s="219">
        <v>6</v>
      </c>
      <c r="BA30" s="38">
        <v>0</v>
      </c>
      <c r="BB30" s="38">
        <v>0</v>
      </c>
      <c r="BC30" s="39">
        <f>AT30+AU30+AV30-AX30+AY30-AZ30-BA30-BB30</f>
        <v>230</v>
      </c>
      <c r="BD30" s="177">
        <f>AT30</f>
        <v>237</v>
      </c>
      <c r="BE30" s="204"/>
      <c r="BF30" s="204"/>
      <c r="BG30" s="208">
        <f>221+16</f>
        <v>237</v>
      </c>
      <c r="BH30" s="40">
        <v>0</v>
      </c>
      <c r="BI30" s="40">
        <v>0</v>
      </c>
      <c r="BJ30" s="219">
        <v>1</v>
      </c>
      <c r="BK30" s="40">
        <v>0</v>
      </c>
      <c r="BL30" s="219">
        <v>7</v>
      </c>
      <c r="BM30" s="38">
        <v>0</v>
      </c>
      <c r="BN30" s="214">
        <v>1</v>
      </c>
      <c r="BO30" s="41">
        <f>BG30+BH30+BI30-BJ30-BK30-BL30-BM30-BN30</f>
        <v>228</v>
      </c>
      <c r="BP30" s="12">
        <f>BG30</f>
        <v>237</v>
      </c>
      <c r="BQ30" s="15">
        <f>SUM(AR30+BC30+BO30)</f>
        <v>689</v>
      </c>
      <c r="BR30" s="15">
        <f>SUM(AS30+BD30+BP30)</f>
        <v>712</v>
      </c>
      <c r="BS30" s="13"/>
      <c r="BT30" s="13"/>
      <c r="BU30" s="13"/>
      <c r="BV30" s="13"/>
      <c r="BW30" s="13"/>
      <c r="BX30" s="13"/>
      <c r="BY30" s="13"/>
      <c r="BZ30" s="13"/>
    </row>
    <row r="31" spans="1:78" ht="12" customHeight="1">
      <c r="A31" s="18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190" t="s">
        <v>35</v>
      </c>
      <c r="AB31" s="190"/>
      <c r="AC31" s="190"/>
      <c r="AD31" s="190"/>
      <c r="AE31" s="190"/>
      <c r="AF31" s="190"/>
      <c r="AG31" s="209">
        <f>16+1</f>
        <v>17</v>
      </c>
      <c r="AH31" s="37">
        <v>0</v>
      </c>
      <c r="AI31" s="37">
        <v>0</v>
      </c>
      <c r="AJ31" s="37">
        <v>0</v>
      </c>
      <c r="AK31" s="37">
        <v>0</v>
      </c>
      <c r="AL31" s="214">
        <v>3</v>
      </c>
      <c r="AM31" s="38">
        <v>0</v>
      </c>
      <c r="AN31" s="195">
        <v>0</v>
      </c>
      <c r="AO31" s="198"/>
      <c r="AP31" s="37">
        <v>0</v>
      </c>
      <c r="AQ31" s="38">
        <v>0</v>
      </c>
      <c r="AR31" s="39">
        <f>AG31+AH31+AI31-AJ31-AK31-AL31+AM31-AP31-AQ31-AN31</f>
        <v>14</v>
      </c>
      <c r="AS31" s="39">
        <f>AG31</f>
        <v>17</v>
      </c>
      <c r="AT31" s="208">
        <f>9+2</f>
        <v>11</v>
      </c>
      <c r="AU31" s="40">
        <v>0</v>
      </c>
      <c r="AV31" s="200">
        <v>0</v>
      </c>
      <c r="AW31" s="198"/>
      <c r="AX31" s="201">
        <v>0</v>
      </c>
      <c r="AY31" s="40">
        <v>0</v>
      </c>
      <c r="AZ31" s="219">
        <v>2</v>
      </c>
      <c r="BA31" s="38">
        <v>0</v>
      </c>
      <c r="BB31" s="38">
        <v>0</v>
      </c>
      <c r="BC31" s="39">
        <f>AT31+AU31+AV31-AX31+AY31-AZ31-BA31-BB31</f>
        <v>9</v>
      </c>
      <c r="BD31" s="177">
        <f>AT31</f>
        <v>11</v>
      </c>
      <c r="BE31" s="204"/>
      <c r="BF31" s="204"/>
      <c r="BG31" s="208">
        <f>13+4</f>
        <v>17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38">
        <v>0</v>
      </c>
      <c r="BN31" s="38">
        <v>0</v>
      </c>
      <c r="BO31" s="41">
        <f>BG31+BH31+BI31-BJ31-BK31-BL31-BM31-BN31</f>
        <v>17</v>
      </c>
      <c r="BP31" s="12">
        <f>BG31</f>
        <v>17</v>
      </c>
      <c r="BQ31" s="15">
        <f>SUM(AR31+BC31+BO31)</f>
        <v>40</v>
      </c>
      <c r="BR31" s="15">
        <f>SUM(AS31+BD31+BP31)</f>
        <v>45</v>
      </c>
      <c r="BS31" s="13"/>
      <c r="BT31" s="13"/>
      <c r="BU31" s="13"/>
      <c r="BV31" s="13"/>
      <c r="BW31" s="13"/>
      <c r="BX31" s="13"/>
      <c r="BY31" s="13"/>
      <c r="BZ31" s="13"/>
    </row>
    <row r="32" spans="1:78" ht="12" customHeight="1">
      <c r="A32" s="18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190" t="s">
        <v>63</v>
      </c>
      <c r="AB32" s="190"/>
      <c r="AC32" s="190"/>
      <c r="AD32" s="190"/>
      <c r="AE32" s="190"/>
      <c r="AF32" s="190"/>
      <c r="AG32" s="209">
        <v>0</v>
      </c>
      <c r="AH32" s="37">
        <v>0</v>
      </c>
      <c r="AI32" s="37">
        <v>0</v>
      </c>
      <c r="AJ32" s="37">
        <v>0</v>
      </c>
      <c r="AK32" s="37">
        <v>0</v>
      </c>
      <c r="AL32" s="38">
        <v>0</v>
      </c>
      <c r="AM32" s="38">
        <v>0</v>
      </c>
      <c r="AN32" s="195">
        <v>0</v>
      </c>
      <c r="AO32" s="198"/>
      <c r="AP32" s="37">
        <v>0</v>
      </c>
      <c r="AQ32" s="38">
        <v>0</v>
      </c>
      <c r="AR32" s="39">
        <f>AG32+AH32+AI32-AJ32-AK32-AL32+AM32-AP32-AQ32-AN32</f>
        <v>0</v>
      </c>
      <c r="AS32" s="39">
        <f>AG32</f>
        <v>0</v>
      </c>
      <c r="AT32" s="208">
        <v>0</v>
      </c>
      <c r="AU32" s="40">
        <v>0</v>
      </c>
      <c r="AV32" s="200">
        <v>0</v>
      </c>
      <c r="AW32" s="198"/>
      <c r="AX32" s="201">
        <v>0</v>
      </c>
      <c r="AY32" s="40">
        <v>0</v>
      </c>
      <c r="AZ32" s="40">
        <v>0</v>
      </c>
      <c r="BA32" s="38">
        <v>0</v>
      </c>
      <c r="BB32" s="38">
        <v>0</v>
      </c>
      <c r="BC32" s="39">
        <f>AT32+AU32+AV32-AX32+AY32-AZ32-BA32-BB32</f>
        <v>0</v>
      </c>
      <c r="BD32" s="177">
        <f>AT32</f>
        <v>0</v>
      </c>
      <c r="BE32" s="204"/>
      <c r="BF32" s="204"/>
      <c r="BG32" s="208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38">
        <v>0</v>
      </c>
      <c r="BN32" s="38">
        <v>0</v>
      </c>
      <c r="BO32" s="41">
        <f>BG32+BH32+BI32-BJ32-BK32-BL32-BM32-BN32</f>
        <v>0</v>
      </c>
      <c r="BP32" s="12">
        <f>BG32</f>
        <v>0</v>
      </c>
      <c r="BQ32" s="15">
        <f>SUM(AR32+BC32+BO32)</f>
        <v>0</v>
      </c>
      <c r="BR32" s="15">
        <f>SUM(AS32+BD32+BP32)</f>
        <v>0</v>
      </c>
      <c r="BS32" s="13"/>
      <c r="BT32" s="13"/>
      <c r="BU32" s="13"/>
      <c r="BV32" s="13"/>
      <c r="BW32" s="13"/>
      <c r="BX32" s="13"/>
      <c r="BY32" s="13"/>
      <c r="BZ32" s="13"/>
    </row>
    <row r="33" spans="1:78" ht="12" customHeight="1">
      <c r="A33" s="18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190" t="s">
        <v>64</v>
      </c>
      <c r="AB33" s="190"/>
      <c r="AC33" s="190"/>
      <c r="AD33" s="190"/>
      <c r="AE33" s="190"/>
      <c r="AF33" s="190"/>
      <c r="AG33" s="209">
        <v>0</v>
      </c>
      <c r="AH33" s="37">
        <v>0</v>
      </c>
      <c r="AI33" s="37">
        <v>0</v>
      </c>
      <c r="AJ33" s="37">
        <v>0</v>
      </c>
      <c r="AK33" s="37">
        <v>0</v>
      </c>
      <c r="AL33" s="38">
        <v>0</v>
      </c>
      <c r="AM33" s="38">
        <v>0</v>
      </c>
      <c r="AN33" s="195">
        <v>0</v>
      </c>
      <c r="AO33" s="198"/>
      <c r="AP33" s="37">
        <v>0</v>
      </c>
      <c r="AQ33" s="214">
        <v>1</v>
      </c>
      <c r="AR33" s="39">
        <f>AG33+AH33+AI33-AJ33-AK33-AL33+AM33-AP33-AQ33-AN33</f>
        <v>-1</v>
      </c>
      <c r="AS33" s="39">
        <f>AG33</f>
        <v>0</v>
      </c>
      <c r="AT33" s="208">
        <v>0</v>
      </c>
      <c r="AU33" s="40">
        <v>0</v>
      </c>
      <c r="AV33" s="200">
        <v>0</v>
      </c>
      <c r="AW33" s="198"/>
      <c r="AX33" s="201">
        <v>0</v>
      </c>
      <c r="AY33" s="40">
        <v>0</v>
      </c>
      <c r="AZ33" s="40">
        <v>0</v>
      </c>
      <c r="BA33" s="38">
        <v>0</v>
      </c>
      <c r="BB33" s="214">
        <v>0</v>
      </c>
      <c r="BC33" s="39">
        <f>AT33+AU33+AV33-AX33+AY33-AZ33-BA33-BB33</f>
        <v>0</v>
      </c>
      <c r="BD33" s="177">
        <f>AT33</f>
        <v>0</v>
      </c>
      <c r="BE33" s="204"/>
      <c r="BF33" s="204"/>
      <c r="BG33" s="208">
        <v>2</v>
      </c>
      <c r="BH33" s="40">
        <v>0</v>
      </c>
      <c r="BI33" s="40">
        <v>0</v>
      </c>
      <c r="BJ33" s="40">
        <v>0</v>
      </c>
      <c r="BK33" s="40">
        <v>0</v>
      </c>
      <c r="BL33" s="40">
        <v>0</v>
      </c>
      <c r="BM33" s="38">
        <v>0</v>
      </c>
      <c r="BN33" s="38">
        <v>2</v>
      </c>
      <c r="BO33" s="41">
        <f>BG33+BH33+BI33-BJ33-BK33-BL33-BM33-BN33</f>
        <v>0</v>
      </c>
      <c r="BP33" s="12">
        <f>BG33</f>
        <v>2</v>
      </c>
      <c r="BQ33" s="15">
        <f>SUM(AR33+BC33+BO33)</f>
        <v>-1</v>
      </c>
      <c r="BR33" s="15">
        <f>SUM(AS33+BD33+BP33)</f>
        <v>2</v>
      </c>
      <c r="BS33" s="13"/>
      <c r="BT33" s="13"/>
      <c r="BU33" s="13"/>
      <c r="BV33" s="13"/>
      <c r="BW33" s="13"/>
      <c r="BX33" s="13"/>
      <c r="BY33" s="13"/>
      <c r="BZ33" s="13"/>
    </row>
    <row r="34" spans="1:78" ht="12.75" customHeight="1" thickBot="1">
      <c r="A34" s="18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190" t="s">
        <v>65</v>
      </c>
      <c r="AB34" s="190"/>
      <c r="AC34" s="190"/>
      <c r="AD34" s="190"/>
      <c r="AE34" s="190"/>
      <c r="AF34" s="190"/>
      <c r="AG34" s="210">
        <v>0</v>
      </c>
      <c r="AH34" s="44">
        <v>0</v>
      </c>
      <c r="AI34" s="44">
        <v>0</v>
      </c>
      <c r="AJ34" s="44">
        <v>0</v>
      </c>
      <c r="AK34" s="44">
        <v>0</v>
      </c>
      <c r="AL34" s="43">
        <v>0</v>
      </c>
      <c r="AM34" s="43">
        <v>0</v>
      </c>
      <c r="AN34" s="196">
        <v>0</v>
      </c>
      <c r="AO34" s="203"/>
      <c r="AP34" s="197">
        <v>0</v>
      </c>
      <c r="AQ34" s="43">
        <v>0</v>
      </c>
      <c r="AR34" s="172">
        <f>AG34+AH34+AI34-AJ34-AK34-AL34+AM34-AP34-AQ34-AN34</f>
        <v>0</v>
      </c>
      <c r="AS34" s="18">
        <f>AG34</f>
        <v>0</v>
      </c>
      <c r="AT34" s="210">
        <v>0</v>
      </c>
      <c r="AU34" s="43">
        <v>0</v>
      </c>
      <c r="AV34" s="196">
        <v>0</v>
      </c>
      <c r="AW34" s="203"/>
      <c r="AX34" s="197">
        <v>0</v>
      </c>
      <c r="AY34" s="43">
        <v>0</v>
      </c>
      <c r="AZ34" s="43">
        <v>0</v>
      </c>
      <c r="BA34" s="43">
        <v>0</v>
      </c>
      <c r="BB34" s="43">
        <v>0</v>
      </c>
      <c r="BC34" s="18">
        <f>AT34+AU34+AV34-AX34+AY34-AZ34-BA34-BB34</f>
        <v>0</v>
      </c>
      <c r="BD34" s="178">
        <f>AT34</f>
        <v>0</v>
      </c>
      <c r="BE34" s="207"/>
      <c r="BF34" s="207"/>
      <c r="BG34" s="210">
        <v>0</v>
      </c>
      <c r="BH34" s="43">
        <v>0</v>
      </c>
      <c r="BI34" s="43">
        <v>0</v>
      </c>
      <c r="BJ34" s="43">
        <v>0</v>
      </c>
      <c r="BK34" s="43">
        <v>0</v>
      </c>
      <c r="BL34" s="43">
        <v>0</v>
      </c>
      <c r="BM34" s="43">
        <v>0</v>
      </c>
      <c r="BN34" s="43">
        <v>0</v>
      </c>
      <c r="BO34" s="17">
        <f>BG34+BH34+BI34-BJ34-BK34-BL34-BM34-BN34</f>
        <v>0</v>
      </c>
      <c r="BP34" s="17">
        <f>BG34</f>
        <v>0</v>
      </c>
      <c r="BQ34" s="19">
        <f>SUM(AR34+BC34+BO34)</f>
        <v>0</v>
      </c>
      <c r="BR34" s="19">
        <f>SUM(AS34+BD34+BP34)</f>
        <v>0</v>
      </c>
      <c r="BS34" s="13"/>
      <c r="BT34" s="13"/>
      <c r="BU34" s="13"/>
      <c r="BV34" s="13"/>
      <c r="BW34" s="13"/>
      <c r="BX34" s="13"/>
      <c r="BY34" s="13"/>
      <c r="BZ34" s="13"/>
    </row>
    <row r="35" spans="1:78" ht="12.75" customHeight="1" thickTop="1">
      <c r="A35" s="18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191" t="s">
        <v>66</v>
      </c>
      <c r="AB35" s="191"/>
      <c r="AC35" s="191"/>
      <c r="AD35" s="191"/>
      <c r="AE35" s="191"/>
      <c r="AF35" s="191"/>
      <c r="AG35" s="158">
        <f>SUM(AG28:AG34)</f>
        <v>485</v>
      </c>
      <c r="AH35" s="46">
        <f t="shared" ref="AH35:AM35" si="41">SUM(AH28:AH34)</f>
        <v>39</v>
      </c>
      <c r="AI35" s="46">
        <f t="shared" si="41"/>
        <v>0</v>
      </c>
      <c r="AJ35" s="46">
        <f t="shared" si="41"/>
        <v>0</v>
      </c>
      <c r="AK35" s="46">
        <f t="shared" si="41"/>
        <v>0</v>
      </c>
      <c r="AL35" s="46">
        <f t="shared" si="41"/>
        <v>14</v>
      </c>
      <c r="AM35" s="46">
        <f t="shared" si="41"/>
        <v>0</v>
      </c>
      <c r="AN35" s="155">
        <v>0</v>
      </c>
      <c r="AO35" s="202"/>
      <c r="AP35" s="158">
        <f t="shared" ref="AP35:AS35" si="42">SUM(AP28:AP34)</f>
        <v>1</v>
      </c>
      <c r="AQ35" s="46">
        <f t="shared" si="42"/>
        <v>1</v>
      </c>
      <c r="AR35" s="20">
        <f t="shared" si="42"/>
        <v>508</v>
      </c>
      <c r="AS35" s="20">
        <f t="shared" si="42"/>
        <v>485</v>
      </c>
      <c r="AT35" s="158">
        <f>SUM(AT28:AT34)</f>
        <v>486</v>
      </c>
      <c r="AU35" s="46">
        <f t="shared" ref="AU35:AV35" si="43">SUM(AU28:AU34)</f>
        <v>27</v>
      </c>
      <c r="AV35" s="155">
        <f t="shared" si="43"/>
        <v>0</v>
      </c>
      <c r="AW35" s="202"/>
      <c r="AX35" s="158">
        <f>SUM(AX28:AX34)</f>
        <v>1</v>
      </c>
      <c r="AY35" s="46">
        <f>SUM(AY28:AY34)</f>
        <v>0</v>
      </c>
      <c r="AZ35" s="46">
        <f>SUM(AZ28:AZ34)</f>
        <v>13</v>
      </c>
      <c r="BA35" s="46">
        <f>SUM(BA28:BA34)</f>
        <v>0</v>
      </c>
      <c r="BB35" s="46">
        <f>SUM(BB28:BB34)</f>
        <v>0</v>
      </c>
      <c r="BC35" s="46">
        <f>SUM(BC28:BC34)</f>
        <v>499</v>
      </c>
      <c r="BD35" s="155">
        <f>SUM(BD28:BD34)</f>
        <v>486</v>
      </c>
      <c r="BE35" s="206"/>
      <c r="BF35" s="206"/>
      <c r="BG35" s="158">
        <f t="shared" ref="BG35:BK35" si="44">SUM(BG28:BG34)</f>
        <v>528</v>
      </c>
      <c r="BH35" s="46">
        <f t="shared" si="44"/>
        <v>34</v>
      </c>
      <c r="BI35" s="46">
        <f t="shared" si="44"/>
        <v>0</v>
      </c>
      <c r="BJ35" s="46">
        <f t="shared" si="44"/>
        <v>1</v>
      </c>
      <c r="BK35" s="46">
        <f t="shared" si="44"/>
        <v>0</v>
      </c>
      <c r="BL35" s="46">
        <f t="shared" ref="BL35:BR35" si="45">SUM(BL28:BL34)</f>
        <v>15</v>
      </c>
      <c r="BM35" s="46">
        <f t="shared" si="45"/>
        <v>0</v>
      </c>
      <c r="BN35" s="46">
        <f t="shared" si="45"/>
        <v>3</v>
      </c>
      <c r="BO35" s="20">
        <f t="shared" si="45"/>
        <v>543</v>
      </c>
      <c r="BP35" s="20">
        <f t="shared" si="45"/>
        <v>528</v>
      </c>
      <c r="BQ35" s="47">
        <f t="shared" si="45"/>
        <v>1550</v>
      </c>
      <c r="BR35" s="47">
        <f t="shared" si="45"/>
        <v>1499</v>
      </c>
      <c r="BT35" s="13"/>
    </row>
    <row r="36" spans="1:78" ht="9" customHeight="1" thickBot="1">
      <c r="A36" s="61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89"/>
      <c r="AB36" s="23"/>
      <c r="AC36" s="23"/>
      <c r="AD36" s="23"/>
      <c r="AE36" s="23"/>
      <c r="AF36" s="23"/>
      <c r="AG36" s="48"/>
      <c r="AH36" s="48"/>
      <c r="AI36" s="48"/>
      <c r="AJ36" s="48"/>
      <c r="AK36" s="48"/>
      <c r="AL36" s="48"/>
      <c r="AM36" s="48"/>
      <c r="AN36" s="48"/>
      <c r="AO36" s="23"/>
      <c r="AP36" s="48"/>
      <c r="AQ36" s="48"/>
      <c r="AR36" s="48"/>
      <c r="AS36" s="48"/>
      <c r="AT36" s="48"/>
      <c r="AU36" s="23"/>
      <c r="AV36" s="48"/>
      <c r="AW36" s="23"/>
      <c r="AX36" s="48"/>
      <c r="AY36" s="48"/>
      <c r="AZ36" s="48"/>
      <c r="BA36" s="48"/>
      <c r="BB36" s="48"/>
      <c r="BC36" s="48"/>
      <c r="BD36" s="48"/>
      <c r="BE36" s="23"/>
      <c r="BF36" s="23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9"/>
      <c r="BR36" s="50"/>
    </row>
    <row r="37" spans="1:78" ht="14.25" customHeight="1">
      <c r="A37" s="61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98" t="s">
        <v>67</v>
      </c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91"/>
    </row>
    <row r="38" spans="1:78" ht="12.75" customHeight="1">
      <c r="A38" s="18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90" t="s">
        <v>1</v>
      </c>
      <c r="AB38" s="89"/>
      <c r="AC38" s="89"/>
      <c r="AD38" s="91"/>
      <c r="AE38" s="28"/>
      <c r="AF38" s="90" t="s">
        <v>68</v>
      </c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91"/>
      <c r="AS38" s="90" t="s">
        <v>69</v>
      </c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91"/>
      <c r="BF38" s="90" t="s">
        <v>70</v>
      </c>
      <c r="BG38" s="89"/>
      <c r="BH38" s="89"/>
      <c r="BI38" s="89"/>
      <c r="BJ38" s="89"/>
      <c r="BK38" s="89"/>
      <c r="BL38" s="89"/>
      <c r="BM38" s="89"/>
      <c r="BN38" s="89"/>
      <c r="BO38" s="89"/>
      <c r="BP38" s="91"/>
      <c r="BQ38" s="90" t="s">
        <v>71</v>
      </c>
      <c r="BR38" s="91"/>
    </row>
    <row r="39" spans="1:78" ht="96.75" customHeight="1">
      <c r="A39" s="18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160"/>
      <c r="AB39" s="161"/>
      <c r="AC39" s="161"/>
      <c r="AD39" s="162"/>
      <c r="AE39" s="51"/>
      <c r="AF39" s="32" t="s">
        <v>12</v>
      </c>
      <c r="AG39" s="33" t="s">
        <v>13</v>
      </c>
      <c r="AH39" s="33" t="s">
        <v>57</v>
      </c>
      <c r="AI39" s="33" t="s">
        <v>46</v>
      </c>
      <c r="AJ39" s="33" t="s">
        <v>47</v>
      </c>
      <c r="AK39" s="33" t="s">
        <v>14</v>
      </c>
      <c r="AL39" s="33"/>
      <c r="AM39" s="33"/>
      <c r="AN39" s="33"/>
      <c r="AO39" s="33" t="s">
        <v>58</v>
      </c>
      <c r="AP39" s="33" t="s">
        <v>51</v>
      </c>
      <c r="AQ39" s="11" t="s">
        <v>72</v>
      </c>
      <c r="AR39" s="11" t="s">
        <v>73</v>
      </c>
      <c r="AS39" s="32" t="s">
        <v>12</v>
      </c>
      <c r="AT39" s="33" t="s">
        <v>13</v>
      </c>
      <c r="AU39" s="33" t="s">
        <v>74</v>
      </c>
      <c r="AV39" s="33"/>
      <c r="AW39" s="33" t="s">
        <v>46</v>
      </c>
      <c r="AX39" s="33" t="s">
        <v>57</v>
      </c>
      <c r="AY39" s="33" t="s">
        <v>14</v>
      </c>
      <c r="AZ39" s="33" t="s">
        <v>58</v>
      </c>
      <c r="BA39" s="33" t="s">
        <v>51</v>
      </c>
      <c r="BB39" s="11" t="s">
        <v>75</v>
      </c>
      <c r="BC39" s="11"/>
      <c r="BD39" s="11"/>
      <c r="BE39" s="11" t="s">
        <v>76</v>
      </c>
      <c r="BF39" s="32" t="s">
        <v>12</v>
      </c>
      <c r="BG39" s="33" t="s">
        <v>13</v>
      </c>
      <c r="BH39" s="33" t="s">
        <v>18</v>
      </c>
      <c r="BI39" s="33" t="s">
        <v>46</v>
      </c>
      <c r="BJ39" s="33" t="s">
        <v>47</v>
      </c>
      <c r="BK39" s="33"/>
      <c r="BL39" s="33" t="s">
        <v>14</v>
      </c>
      <c r="BM39" s="33" t="s">
        <v>50</v>
      </c>
      <c r="BN39" s="33" t="s">
        <v>51</v>
      </c>
      <c r="BO39" s="11" t="s">
        <v>77</v>
      </c>
      <c r="BP39" s="11" t="s">
        <v>78</v>
      </c>
      <c r="BQ39" s="35" t="s">
        <v>24</v>
      </c>
      <c r="BR39" s="35" t="s">
        <v>25</v>
      </c>
    </row>
    <row r="40" spans="1:78" ht="12" customHeight="1">
      <c r="A40" s="18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164" t="s">
        <v>63</v>
      </c>
      <c r="AB40" s="165"/>
      <c r="AC40" s="165"/>
      <c r="AD40" s="166"/>
      <c r="AE40" s="36"/>
      <c r="AF40" s="209">
        <f>446+41</f>
        <v>487</v>
      </c>
      <c r="AG40" s="209">
        <v>30</v>
      </c>
      <c r="AH40" s="37">
        <v>0</v>
      </c>
      <c r="AI40" s="209">
        <v>1</v>
      </c>
      <c r="AJ40" s="37">
        <v>0</v>
      </c>
      <c r="AK40" s="214">
        <v>17</v>
      </c>
      <c r="AL40" s="38"/>
      <c r="AM40" s="38"/>
      <c r="AN40" s="38"/>
      <c r="AO40" s="38">
        <v>0</v>
      </c>
      <c r="AP40" s="214">
        <v>2</v>
      </c>
      <c r="AQ40" s="41">
        <f t="shared" ref="AQ40:AQ44" si="46">AF40+AG40+AH40-AI40-AJ40-AK40-AO40-AP40</f>
        <v>497</v>
      </c>
      <c r="AR40" s="41">
        <f t="shared" ref="AR40:AR44" si="47">AF40</f>
        <v>487</v>
      </c>
      <c r="AS40" s="214">
        <f>457+43</f>
        <v>500</v>
      </c>
      <c r="AT40" s="214">
        <v>39</v>
      </c>
      <c r="AU40" s="38">
        <v>0</v>
      </c>
      <c r="AV40" s="38"/>
      <c r="AW40" s="214">
        <v>1</v>
      </c>
      <c r="AX40" s="214">
        <v>1</v>
      </c>
      <c r="AY40" s="214">
        <v>15</v>
      </c>
      <c r="AZ40" s="38">
        <v>0</v>
      </c>
      <c r="BA40" s="38">
        <v>0</v>
      </c>
      <c r="BB40" s="39">
        <f>AS40+AT40+AU40-AW40+AX40-AY40-AZ40-BA40</f>
        <v>524</v>
      </c>
      <c r="BC40" s="39"/>
      <c r="BD40" s="39"/>
      <c r="BE40" s="39">
        <f t="shared" ref="BE40:BE44" si="48">AS40</f>
        <v>500</v>
      </c>
      <c r="BF40" s="214">
        <f>418+41</f>
        <v>459</v>
      </c>
      <c r="BG40" s="214">
        <v>27</v>
      </c>
      <c r="BH40" s="38">
        <v>0</v>
      </c>
      <c r="BI40" s="214">
        <v>3</v>
      </c>
      <c r="BJ40" s="38">
        <v>0</v>
      </c>
      <c r="BK40" s="38"/>
      <c r="BL40" s="214">
        <v>7</v>
      </c>
      <c r="BM40" s="38">
        <v>0</v>
      </c>
      <c r="BN40" s="38">
        <v>0</v>
      </c>
      <c r="BO40" s="41">
        <f t="shared" ref="BO40:BO44" si="49">BF40+BG40+BH40-BI40-BJ40-BL40-BM40-BN40</f>
        <v>476</v>
      </c>
      <c r="BP40" s="41">
        <f t="shared" ref="BP40:BP44" si="50">BF40</f>
        <v>459</v>
      </c>
      <c r="BQ40" s="15">
        <f t="shared" ref="BQ40:BQ44" si="51">SUM(AQ40+BB40+BO40)</f>
        <v>1497</v>
      </c>
      <c r="BR40" s="15">
        <f t="shared" ref="BR40:BR44" si="52">SUM(AR40+BE40+BP40)</f>
        <v>1446</v>
      </c>
      <c r="BS40" s="13"/>
      <c r="BT40" s="13"/>
      <c r="BU40" s="13"/>
      <c r="BV40" s="13"/>
      <c r="BW40" s="13"/>
      <c r="BX40" s="13"/>
      <c r="BY40" s="13"/>
      <c r="BZ40" s="13"/>
    </row>
    <row r="41" spans="1:78" ht="12" customHeight="1">
      <c r="A41" s="18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164" t="s">
        <v>64</v>
      </c>
      <c r="AB41" s="165"/>
      <c r="AC41" s="165"/>
      <c r="AD41" s="166"/>
      <c r="AE41" s="36"/>
      <c r="AF41" s="209">
        <v>2</v>
      </c>
      <c r="AG41" s="37">
        <v>0</v>
      </c>
      <c r="AH41" s="37">
        <v>0</v>
      </c>
      <c r="AI41" s="209">
        <v>0</v>
      </c>
      <c r="AJ41" s="37">
        <v>0</v>
      </c>
      <c r="AK41" s="38">
        <v>0</v>
      </c>
      <c r="AL41" s="38"/>
      <c r="AM41" s="38"/>
      <c r="AN41" s="38"/>
      <c r="AO41" s="38">
        <v>0</v>
      </c>
      <c r="AP41" s="38">
        <v>0</v>
      </c>
      <c r="AQ41" s="41">
        <f t="shared" si="46"/>
        <v>2</v>
      </c>
      <c r="AR41" s="41">
        <f t="shared" si="47"/>
        <v>2</v>
      </c>
      <c r="AS41" s="214">
        <v>0</v>
      </c>
      <c r="AT41" s="38">
        <v>0</v>
      </c>
      <c r="AU41" s="38">
        <v>0</v>
      </c>
      <c r="AV41" s="38"/>
      <c r="AW41" s="38">
        <v>0</v>
      </c>
      <c r="AX41" s="38">
        <v>0</v>
      </c>
      <c r="AY41" s="38">
        <v>0</v>
      </c>
      <c r="AZ41" s="38">
        <v>0</v>
      </c>
      <c r="BA41" s="214">
        <v>0</v>
      </c>
      <c r="BB41" s="39">
        <f t="shared" ref="BB41:BB44" si="53">AS41+AT41+AU41-AW41-AX41-AY41-AZ41-BA41</f>
        <v>0</v>
      </c>
      <c r="BC41" s="39"/>
      <c r="BD41" s="39"/>
      <c r="BE41" s="39">
        <f t="shared" si="48"/>
        <v>0</v>
      </c>
      <c r="BF41" s="214">
        <v>0</v>
      </c>
      <c r="BG41" s="38">
        <v>0</v>
      </c>
      <c r="BH41" s="38">
        <v>0</v>
      </c>
      <c r="BI41" s="38">
        <v>0</v>
      </c>
      <c r="BJ41" s="38">
        <v>0</v>
      </c>
      <c r="BK41" s="38"/>
      <c r="BL41" s="38">
        <v>0</v>
      </c>
      <c r="BM41" s="38">
        <v>0</v>
      </c>
      <c r="BN41" s="38">
        <v>0</v>
      </c>
      <c r="BO41" s="41">
        <f t="shared" si="49"/>
        <v>0</v>
      </c>
      <c r="BP41" s="41">
        <f t="shared" si="50"/>
        <v>0</v>
      </c>
      <c r="BQ41" s="15">
        <f t="shared" si="51"/>
        <v>2</v>
      </c>
      <c r="BR41" s="15">
        <f t="shared" si="52"/>
        <v>2</v>
      </c>
      <c r="BS41" s="13"/>
      <c r="BT41" s="13"/>
      <c r="BU41" s="13"/>
      <c r="BV41" s="13"/>
      <c r="BW41" s="13"/>
      <c r="BX41" s="13"/>
      <c r="BY41" s="13"/>
      <c r="BZ41" s="13"/>
    </row>
    <row r="42" spans="1:78" ht="12" customHeight="1">
      <c r="A42" s="18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167" t="s">
        <v>65</v>
      </c>
      <c r="AB42" s="168"/>
      <c r="AC42" s="168"/>
      <c r="AD42" s="169"/>
      <c r="AE42" s="36"/>
      <c r="AF42" s="209">
        <v>0</v>
      </c>
      <c r="AG42" s="37">
        <v>0</v>
      </c>
      <c r="AH42" s="37">
        <v>0</v>
      </c>
      <c r="AI42" s="37">
        <v>0</v>
      </c>
      <c r="AJ42" s="37">
        <v>0</v>
      </c>
      <c r="AK42" s="38">
        <v>0</v>
      </c>
      <c r="AL42" s="38"/>
      <c r="AM42" s="38"/>
      <c r="AN42" s="38"/>
      <c r="AO42" s="38">
        <v>0</v>
      </c>
      <c r="AP42" s="38">
        <v>0</v>
      </c>
      <c r="AQ42" s="41">
        <f t="shared" si="46"/>
        <v>0</v>
      </c>
      <c r="AR42" s="41">
        <f t="shared" si="47"/>
        <v>0</v>
      </c>
      <c r="AS42" s="214">
        <v>23</v>
      </c>
      <c r="AT42" s="38">
        <v>0</v>
      </c>
      <c r="AU42" s="38">
        <v>0</v>
      </c>
      <c r="AV42" s="38"/>
      <c r="AW42" s="38">
        <v>0</v>
      </c>
      <c r="AX42" s="38">
        <v>0</v>
      </c>
      <c r="AY42" s="38">
        <v>0</v>
      </c>
      <c r="AZ42" s="38">
        <v>0</v>
      </c>
      <c r="BA42" s="38">
        <v>0</v>
      </c>
      <c r="BB42" s="39">
        <f t="shared" si="53"/>
        <v>23</v>
      </c>
      <c r="BC42" s="39"/>
      <c r="BD42" s="39"/>
      <c r="BE42" s="39">
        <f t="shared" si="48"/>
        <v>23</v>
      </c>
      <c r="BF42" s="214">
        <f>33+27</f>
        <v>60</v>
      </c>
      <c r="BG42" s="38">
        <v>0</v>
      </c>
      <c r="BH42" s="38">
        <v>0</v>
      </c>
      <c r="BI42" s="38">
        <v>0</v>
      </c>
      <c r="BJ42" s="38">
        <v>0</v>
      </c>
      <c r="BK42" s="38"/>
      <c r="BL42" s="38">
        <v>1</v>
      </c>
      <c r="BM42" s="38">
        <v>0</v>
      </c>
      <c r="BN42" s="38">
        <v>0</v>
      </c>
      <c r="BO42" s="41">
        <f t="shared" si="49"/>
        <v>59</v>
      </c>
      <c r="BP42" s="41">
        <f t="shared" si="50"/>
        <v>60</v>
      </c>
      <c r="BQ42" s="15">
        <f t="shared" si="51"/>
        <v>82</v>
      </c>
      <c r="BR42" s="15">
        <f t="shared" si="52"/>
        <v>83</v>
      </c>
      <c r="BS42" s="13"/>
      <c r="BT42" s="13"/>
      <c r="BU42" s="13"/>
      <c r="BV42" s="13"/>
      <c r="BW42" s="13"/>
      <c r="BX42" s="13"/>
      <c r="BY42" s="13"/>
      <c r="BZ42" s="13"/>
    </row>
    <row r="43" spans="1:78" ht="12" customHeight="1">
      <c r="A43" s="18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164" t="s">
        <v>79</v>
      </c>
      <c r="AB43" s="165"/>
      <c r="AC43" s="165"/>
      <c r="AD43" s="166"/>
      <c r="AE43" s="42"/>
      <c r="AF43" s="212">
        <v>21</v>
      </c>
      <c r="AG43" s="52">
        <v>0</v>
      </c>
      <c r="AH43" s="52">
        <v>0</v>
      </c>
      <c r="AI43" s="52">
        <v>0</v>
      </c>
      <c r="AJ43" s="52">
        <v>0</v>
      </c>
      <c r="AK43" s="215">
        <v>3</v>
      </c>
      <c r="AL43" s="16"/>
      <c r="AM43" s="16"/>
      <c r="AN43" s="16"/>
      <c r="AO43" s="16">
        <v>0</v>
      </c>
      <c r="AP43" s="215">
        <v>0</v>
      </c>
      <c r="AQ43" s="41">
        <f t="shared" si="46"/>
        <v>18</v>
      </c>
      <c r="AR43" s="41">
        <f t="shared" si="47"/>
        <v>21</v>
      </c>
      <c r="AS43" s="215">
        <v>21</v>
      </c>
      <c r="AT43" s="16">
        <v>0</v>
      </c>
      <c r="AU43" s="16">
        <v>0</v>
      </c>
      <c r="AV43" s="16"/>
      <c r="AW43" s="16">
        <v>0</v>
      </c>
      <c r="AX43" s="16">
        <v>0</v>
      </c>
      <c r="AY43" s="215">
        <v>2</v>
      </c>
      <c r="AZ43" s="16">
        <v>0</v>
      </c>
      <c r="BA43" s="16">
        <v>0</v>
      </c>
      <c r="BB43" s="39">
        <f t="shared" si="53"/>
        <v>19</v>
      </c>
      <c r="BC43" s="39"/>
      <c r="BD43" s="39"/>
      <c r="BE43" s="39">
        <f t="shared" si="48"/>
        <v>21</v>
      </c>
      <c r="BF43" s="215">
        <v>10</v>
      </c>
      <c r="BG43" s="16">
        <v>0</v>
      </c>
      <c r="BH43" s="16">
        <v>0</v>
      </c>
      <c r="BI43" s="16">
        <v>0</v>
      </c>
      <c r="BJ43" s="16">
        <v>0</v>
      </c>
      <c r="BK43" s="16"/>
      <c r="BL43" s="215">
        <v>1</v>
      </c>
      <c r="BM43" s="16">
        <v>0</v>
      </c>
      <c r="BN43" s="16">
        <v>0</v>
      </c>
      <c r="BO43" s="41">
        <f t="shared" si="49"/>
        <v>9</v>
      </c>
      <c r="BP43" s="41">
        <f t="shared" si="50"/>
        <v>10</v>
      </c>
      <c r="BQ43" s="15">
        <f t="shared" si="51"/>
        <v>46</v>
      </c>
      <c r="BR43" s="15">
        <f t="shared" si="52"/>
        <v>52</v>
      </c>
      <c r="BS43" s="13"/>
      <c r="BT43" s="13"/>
      <c r="BU43" s="13"/>
      <c r="BV43" s="13"/>
      <c r="BW43" s="13"/>
      <c r="BX43" s="13"/>
      <c r="BY43" s="13"/>
      <c r="BZ43" s="13"/>
    </row>
    <row r="44" spans="1:78" ht="12.75" customHeight="1" thickBot="1">
      <c r="A44" s="18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164" t="s">
        <v>40</v>
      </c>
      <c r="AB44" s="165"/>
      <c r="AC44" s="165"/>
      <c r="AD44" s="166"/>
      <c r="AE44" s="53"/>
      <c r="AF44" s="213">
        <v>11</v>
      </c>
      <c r="AG44" s="44">
        <v>0</v>
      </c>
      <c r="AH44" s="44">
        <v>0</v>
      </c>
      <c r="AI44" s="44">
        <v>0</v>
      </c>
      <c r="AJ44" s="44">
        <v>0</v>
      </c>
      <c r="AK44" s="43">
        <v>0</v>
      </c>
      <c r="AL44" s="16"/>
      <c r="AM44" s="16"/>
      <c r="AN44" s="16"/>
      <c r="AO44" s="16">
        <v>0</v>
      </c>
      <c r="AP44" s="16">
        <v>0</v>
      </c>
      <c r="AQ44" s="41">
        <f t="shared" si="46"/>
        <v>11</v>
      </c>
      <c r="AR44" s="41">
        <f t="shared" si="47"/>
        <v>11</v>
      </c>
      <c r="AS44" s="216">
        <v>7</v>
      </c>
      <c r="AT44" s="43">
        <v>0</v>
      </c>
      <c r="AU44" s="43">
        <v>0</v>
      </c>
      <c r="AV44" s="43"/>
      <c r="AW44" s="43">
        <v>0</v>
      </c>
      <c r="AX44" s="43">
        <v>0</v>
      </c>
      <c r="AY44" s="43">
        <v>0</v>
      </c>
      <c r="AZ44" s="43">
        <v>0</v>
      </c>
      <c r="BA44" s="43">
        <v>0</v>
      </c>
      <c r="BB44" s="39">
        <f t="shared" si="53"/>
        <v>7</v>
      </c>
      <c r="BC44" s="39"/>
      <c r="BD44" s="39"/>
      <c r="BE44" s="39">
        <f t="shared" si="48"/>
        <v>7</v>
      </c>
      <c r="BF44" s="216">
        <v>5</v>
      </c>
      <c r="BG44" s="43">
        <v>0</v>
      </c>
      <c r="BH44" s="43">
        <v>0</v>
      </c>
      <c r="BI44" s="43">
        <v>0</v>
      </c>
      <c r="BJ44" s="43">
        <v>0</v>
      </c>
      <c r="BK44" s="43"/>
      <c r="BL44" s="43">
        <v>0</v>
      </c>
      <c r="BM44" s="43">
        <v>0</v>
      </c>
      <c r="BN44" s="43">
        <v>0</v>
      </c>
      <c r="BO44" s="41">
        <f t="shared" si="49"/>
        <v>5</v>
      </c>
      <c r="BP44" s="41">
        <f t="shared" si="50"/>
        <v>5</v>
      </c>
      <c r="BQ44" s="19">
        <f t="shared" si="51"/>
        <v>23</v>
      </c>
      <c r="BR44" s="19">
        <f t="shared" si="52"/>
        <v>23</v>
      </c>
      <c r="BS44" s="13"/>
      <c r="BT44" s="13"/>
      <c r="BU44" s="13"/>
      <c r="BV44" s="13"/>
      <c r="BW44" s="13"/>
      <c r="BX44" s="13"/>
      <c r="BY44" s="13"/>
      <c r="BZ44" s="13"/>
    </row>
    <row r="45" spans="1:78" ht="12.75" customHeight="1" thickTop="1">
      <c r="A45" s="18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163" t="s">
        <v>80</v>
      </c>
      <c r="AB45" s="155"/>
      <c r="AC45" s="155"/>
      <c r="AD45" s="158"/>
      <c r="AE45" s="45"/>
      <c r="AF45" s="45">
        <f t="shared" ref="AF45:AK45" si="54">SUM(AF40:AF44)</f>
        <v>521</v>
      </c>
      <c r="AG45" s="45">
        <f t="shared" si="54"/>
        <v>30</v>
      </c>
      <c r="AH45" s="45">
        <f t="shared" si="54"/>
        <v>0</v>
      </c>
      <c r="AI45" s="45">
        <f t="shared" si="54"/>
        <v>1</v>
      </c>
      <c r="AJ45" s="45">
        <f t="shared" si="54"/>
        <v>0</v>
      </c>
      <c r="AK45" s="45">
        <f t="shared" si="54"/>
        <v>20</v>
      </c>
      <c r="AL45" s="45"/>
      <c r="AM45" s="45"/>
      <c r="AN45" s="45"/>
      <c r="AO45" s="45">
        <f t="shared" ref="AO45:AU45" si="55">SUM(AO40:AO44)</f>
        <v>0</v>
      </c>
      <c r="AP45" s="45">
        <f t="shared" si="55"/>
        <v>2</v>
      </c>
      <c r="AQ45" s="54">
        <f t="shared" si="55"/>
        <v>528</v>
      </c>
      <c r="AR45" s="54">
        <f t="shared" si="55"/>
        <v>521</v>
      </c>
      <c r="AS45" s="55">
        <f t="shared" si="55"/>
        <v>551</v>
      </c>
      <c r="AT45" s="55">
        <f t="shared" si="55"/>
        <v>39</v>
      </c>
      <c r="AU45" s="55">
        <f t="shared" si="55"/>
        <v>0</v>
      </c>
      <c r="AV45" s="55"/>
      <c r="AW45" s="55">
        <f t="shared" ref="AW45:BB45" si="56">SUM(AW40:AW44)</f>
        <v>1</v>
      </c>
      <c r="AX45" s="55">
        <f t="shared" si="56"/>
        <v>1</v>
      </c>
      <c r="AY45" s="55">
        <f t="shared" si="56"/>
        <v>17</v>
      </c>
      <c r="AZ45" s="55">
        <f t="shared" si="56"/>
        <v>0</v>
      </c>
      <c r="BA45" s="55">
        <f t="shared" si="56"/>
        <v>0</v>
      </c>
      <c r="BB45" s="56">
        <f t="shared" si="56"/>
        <v>573</v>
      </c>
      <c r="BC45" s="56"/>
      <c r="BD45" s="56"/>
      <c r="BE45" s="56">
        <f t="shared" ref="BE45:BJ45" si="57">SUM(BE40:BE44)</f>
        <v>551</v>
      </c>
      <c r="BF45" s="55">
        <f t="shared" si="57"/>
        <v>534</v>
      </c>
      <c r="BG45" s="55">
        <f t="shared" si="57"/>
        <v>27</v>
      </c>
      <c r="BH45" s="55">
        <f t="shared" si="57"/>
        <v>0</v>
      </c>
      <c r="BI45" s="55">
        <f t="shared" si="57"/>
        <v>3</v>
      </c>
      <c r="BJ45" s="55">
        <f t="shared" si="57"/>
        <v>0</v>
      </c>
      <c r="BK45" s="55"/>
      <c r="BL45" s="55">
        <f t="shared" ref="BL45:BR45" si="58">SUM(BL40:BL44)</f>
        <v>9</v>
      </c>
      <c r="BM45" s="55">
        <f t="shared" si="58"/>
        <v>0</v>
      </c>
      <c r="BN45" s="55">
        <f t="shared" si="58"/>
        <v>0</v>
      </c>
      <c r="BO45" s="56">
        <f t="shared" si="58"/>
        <v>549</v>
      </c>
      <c r="BP45" s="56">
        <f t="shared" si="58"/>
        <v>534</v>
      </c>
      <c r="BQ45" s="57">
        <f t="shared" si="58"/>
        <v>1650</v>
      </c>
      <c r="BR45" s="57">
        <f t="shared" si="58"/>
        <v>1606</v>
      </c>
      <c r="BT45" s="13"/>
    </row>
    <row r="46" spans="1:78" ht="9" customHeight="1">
      <c r="A46" s="61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58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60"/>
    </row>
    <row r="47" spans="1:78" ht="9" customHeight="1">
      <c r="A47" s="61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2"/>
      <c r="BR47" s="62"/>
    </row>
    <row r="48" spans="1:78" ht="12.75" customHeight="1">
      <c r="A48" s="61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13" t="s">
        <v>81</v>
      </c>
      <c r="N48" s="26"/>
      <c r="O48" s="26"/>
      <c r="P48" s="26"/>
      <c r="Q48" s="26"/>
      <c r="R48" s="26"/>
      <c r="S48" s="26"/>
      <c r="T48" s="63"/>
      <c r="U48" s="63"/>
      <c r="V48" s="63"/>
      <c r="W48" s="63"/>
      <c r="X48" s="63"/>
      <c r="Y48" s="221">
        <f>489-7</f>
        <v>482</v>
      </c>
      <c r="Z48" s="222"/>
      <c r="AA48" s="222"/>
      <c r="AB48" s="224" t="s">
        <v>83</v>
      </c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  <c r="AO48" s="224"/>
      <c r="AP48" s="225"/>
      <c r="AQ48" s="225"/>
      <c r="AR48" s="225">
        <v>7038</v>
      </c>
      <c r="AS48" s="63"/>
      <c r="AT48" s="63"/>
      <c r="AU48" s="63"/>
      <c r="AV48" s="63"/>
      <c r="AW48" s="64"/>
      <c r="AX48" s="63"/>
      <c r="AY48" s="63"/>
      <c r="AZ48" s="63"/>
      <c r="BA48" s="65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67">
        <f t="shared" ref="BQ48:BR48" si="59">SUM(BQ23+BQ35+BQ45)</f>
        <v>7028</v>
      </c>
      <c r="BR48" s="47">
        <f t="shared" si="59"/>
        <v>6742</v>
      </c>
    </row>
    <row r="49" spans="1:78" ht="12" customHeight="1">
      <c r="A49" s="61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68" t="s">
        <v>82</v>
      </c>
      <c r="N49" s="63"/>
      <c r="O49" s="63"/>
      <c r="P49" s="63"/>
      <c r="Q49" s="63"/>
      <c r="R49" s="26"/>
      <c r="S49" s="26"/>
      <c r="T49" s="63"/>
      <c r="U49" s="63"/>
      <c r="V49" s="63"/>
      <c r="W49" s="63"/>
      <c r="X49" s="63"/>
      <c r="Y49" s="221">
        <v>189</v>
      </c>
      <c r="Z49" s="222"/>
      <c r="AA49" s="222"/>
      <c r="AB49" s="224" t="s">
        <v>90</v>
      </c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5" t="s">
        <v>27</v>
      </c>
      <c r="AR49" s="225">
        <f>BR51</f>
        <v>7035</v>
      </c>
      <c r="AS49" s="63"/>
      <c r="AT49" s="63"/>
      <c r="AU49" s="63"/>
      <c r="AV49" s="63"/>
      <c r="AW49" s="64"/>
      <c r="AX49" s="63"/>
      <c r="AY49" s="63"/>
      <c r="AZ49" s="63"/>
      <c r="BA49" s="65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69"/>
      <c r="BR49" s="70"/>
    </row>
    <row r="50" spans="1:78" ht="12" customHeight="1">
      <c r="A50" s="61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23"/>
      <c r="Z50" s="223"/>
      <c r="AA50" s="223"/>
      <c r="AB50" s="224" t="s">
        <v>84</v>
      </c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5" t="s">
        <v>27</v>
      </c>
      <c r="AR50" s="226">
        <f>AR49-AR48</f>
        <v>-3</v>
      </c>
      <c r="AS50" s="72"/>
      <c r="AT50" s="72"/>
      <c r="AU50" s="72"/>
      <c r="AV50" s="72"/>
      <c r="AW50" s="72"/>
      <c r="AX50" s="72"/>
      <c r="AY50" s="72"/>
      <c r="AZ50" s="72"/>
      <c r="BA50" s="65"/>
      <c r="BB50" s="26"/>
      <c r="BC50" s="26"/>
      <c r="BD50" s="26"/>
      <c r="BE50" s="26"/>
      <c r="BF50" s="26"/>
      <c r="BG50" s="26" t="s">
        <v>27</v>
      </c>
      <c r="BH50" s="26"/>
      <c r="BI50" s="26"/>
      <c r="BJ50" s="26"/>
      <c r="BK50" s="26"/>
      <c r="BL50" s="26"/>
      <c r="BM50" s="103" t="s">
        <v>85</v>
      </c>
      <c r="BN50" s="100"/>
      <c r="BO50" s="100"/>
      <c r="BP50" s="100"/>
      <c r="BQ50" s="101"/>
      <c r="BR50" s="14">
        <f>SUM(BR23+BR35+BR45)</f>
        <v>6742</v>
      </c>
      <c r="BU50" s="73"/>
      <c r="BV50" s="73"/>
      <c r="BW50" s="73"/>
      <c r="BX50" s="73"/>
      <c r="BY50" s="73"/>
      <c r="BZ50" s="70"/>
    </row>
    <row r="51" spans="1:78" ht="45.75" customHeight="1">
      <c r="A51" s="61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 t="s">
        <v>27</v>
      </c>
      <c r="BF51" s="26"/>
      <c r="BG51" s="26" t="s">
        <v>27</v>
      </c>
      <c r="BJ51" s="74"/>
      <c r="BK51" s="74"/>
      <c r="BL51" s="74"/>
      <c r="BM51" s="104" t="s">
        <v>86</v>
      </c>
      <c r="BN51" s="100"/>
      <c r="BO51" s="100"/>
      <c r="BP51" s="100"/>
      <c r="BQ51" s="101"/>
      <c r="BR51" s="75">
        <f>BR50+Y48-Y49</f>
        <v>7035</v>
      </c>
      <c r="BU51" s="76"/>
      <c r="BV51" s="76"/>
      <c r="BW51" s="76"/>
      <c r="BX51" s="76"/>
      <c r="BY51" s="76"/>
      <c r="BZ51" s="77"/>
    </row>
    <row r="52" spans="1:78" ht="14.25" customHeight="1">
      <c r="A52" s="187" t="s">
        <v>27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27"/>
      <c r="AY52" s="27"/>
      <c r="AZ52" s="27"/>
      <c r="BA52" s="79"/>
      <c r="BB52" s="79"/>
      <c r="BC52" s="79"/>
      <c r="BD52" s="79"/>
      <c r="BE52" s="79"/>
      <c r="BF52" s="80"/>
      <c r="BG52" s="80"/>
      <c r="BH52" s="80"/>
      <c r="BI52" s="80"/>
      <c r="BJ52" s="80"/>
      <c r="BK52" s="80"/>
      <c r="BL52" s="80"/>
      <c r="BM52" s="81"/>
      <c r="BN52" s="81"/>
      <c r="BO52" s="81"/>
      <c r="BP52" s="81"/>
      <c r="BQ52" s="74"/>
      <c r="BU52" s="81"/>
      <c r="BV52" s="81"/>
      <c r="BW52" s="81"/>
      <c r="BX52" s="81"/>
      <c r="BY52" s="74"/>
      <c r="BZ52" s="13"/>
    </row>
    <row r="53" spans="1:78" ht="14.25" customHeight="1">
      <c r="A53" s="61" t="s">
        <v>27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27"/>
      <c r="AZ53" s="27"/>
      <c r="BA53" s="79"/>
      <c r="BB53" s="79"/>
      <c r="BC53" s="79"/>
      <c r="BD53" s="79"/>
      <c r="BE53" s="79"/>
      <c r="BF53" s="80"/>
      <c r="BG53" s="80"/>
      <c r="BH53" s="80" t="s">
        <v>27</v>
      </c>
      <c r="BI53" s="80"/>
      <c r="BJ53" s="80"/>
      <c r="BK53" s="80"/>
      <c r="BL53" s="80"/>
      <c r="BM53" s="99" t="s">
        <v>87</v>
      </c>
      <c r="BN53" s="100"/>
      <c r="BO53" s="100"/>
      <c r="BP53" s="100"/>
      <c r="BQ53" s="101"/>
      <c r="BR53" s="82">
        <f>F23+M23+T23+AA23+AH23+AQ23+AY23+BG23+BO23+AR35+BC35+BO35+AQ45+BB45+BO45</f>
        <v>6841</v>
      </c>
      <c r="BU53" s="83"/>
      <c r="BV53" s="83"/>
      <c r="BW53" s="83"/>
      <c r="BX53" s="83"/>
      <c r="BY53" s="83"/>
      <c r="BZ53" s="84"/>
    </row>
    <row r="54" spans="1:78" ht="22.5" customHeight="1">
      <c r="A54" s="188" t="s">
        <v>27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27"/>
      <c r="AZ54" s="71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102"/>
      <c r="BN54" s="93"/>
      <c r="BO54" s="93"/>
      <c r="BP54" s="93"/>
      <c r="BQ54" s="93"/>
      <c r="BR54" s="93"/>
    </row>
    <row r="55" spans="1:78" ht="12" customHeight="1">
      <c r="A55" s="73" t="s">
        <v>27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73"/>
      <c r="AJ55" s="73"/>
      <c r="AK55" s="73"/>
      <c r="AL55" s="73"/>
      <c r="AM55" s="73"/>
      <c r="AN55" s="73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73"/>
      <c r="BF55" s="65"/>
      <c r="BG55" s="65"/>
      <c r="BH55" s="65"/>
      <c r="BM55" s="65"/>
      <c r="BN55" s="65"/>
      <c r="BO55" s="65"/>
      <c r="BP55" s="65"/>
    </row>
    <row r="56" spans="1:78" ht="12" customHeight="1">
      <c r="A56" s="7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78" ht="12" customHeight="1">
      <c r="A57" s="7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78" ht="15" customHeight="1">
      <c r="AG58" s="87"/>
    </row>
    <row r="59" spans="1:78" ht="12" customHeight="1"/>
    <row r="60" spans="1:78" ht="12" customHeight="1"/>
    <row r="61" spans="1:78" ht="12" customHeight="1"/>
    <row r="62" spans="1:78" ht="12" customHeight="1"/>
    <row r="63" spans="1:78" ht="12" customHeight="1"/>
    <row r="64" spans="1:7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</sheetData>
  <mergeCells count="43">
    <mergeCell ref="AA33:AF33"/>
    <mergeCell ref="AA34:AF34"/>
    <mergeCell ref="AA35:AF35"/>
    <mergeCell ref="AG26:AS26"/>
    <mergeCell ref="AA26:AF26"/>
    <mergeCell ref="BG26:BP26"/>
    <mergeCell ref="AA27:AF27"/>
    <mergeCell ref="AA28:AF28"/>
    <mergeCell ref="AA29:AF29"/>
    <mergeCell ref="AA30:AF30"/>
    <mergeCell ref="AA31:AF31"/>
    <mergeCell ref="AA32:AF32"/>
    <mergeCell ref="AA37:BR37"/>
    <mergeCell ref="BM53:BQ53"/>
    <mergeCell ref="BM54:BR54"/>
    <mergeCell ref="AA38:AD38"/>
    <mergeCell ref="AF38:AR38"/>
    <mergeCell ref="AS38:BE38"/>
    <mergeCell ref="BF38:BP38"/>
    <mergeCell ref="BQ38:BR38"/>
    <mergeCell ref="BM50:BQ50"/>
    <mergeCell ref="BM51:BQ51"/>
    <mergeCell ref="AA40:AD40"/>
    <mergeCell ref="AA41:AD41"/>
    <mergeCell ref="AA42:AD42"/>
    <mergeCell ref="AA43:AD43"/>
    <mergeCell ref="AA44:AD44"/>
    <mergeCell ref="AS6:AZ6"/>
    <mergeCell ref="A1:BR1"/>
    <mergeCell ref="A3:BR3"/>
    <mergeCell ref="A5:BR5"/>
    <mergeCell ref="B6:G6"/>
    <mergeCell ref="H6:N6"/>
    <mergeCell ref="O6:U6"/>
    <mergeCell ref="BQ6:BR6"/>
    <mergeCell ref="BA6:BH6"/>
    <mergeCell ref="BI6:BP6"/>
    <mergeCell ref="V6:AB6"/>
    <mergeCell ref="AC6:AI6"/>
    <mergeCell ref="AJ6:AR6"/>
    <mergeCell ref="AR25:BR25"/>
    <mergeCell ref="BQ26:BR26"/>
    <mergeCell ref="AT26:BF26"/>
  </mergeCells>
  <pageMargins left="0.25" right="0.25" top="0.75" bottom="0.75" header="0" footer="0"/>
  <pageSetup scale="49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Technology Services</dc:creator>
  <cp:lastModifiedBy>Jacquelynn (Jackie) Schreiber</cp:lastModifiedBy>
  <dcterms:created xsi:type="dcterms:W3CDTF">2001-09-10T18:21:42Z</dcterms:created>
  <dcterms:modified xsi:type="dcterms:W3CDTF">2026-02-24T18:56:53Z</dcterms:modified>
</cp:coreProperties>
</file>