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C:\Users\brian.moore\My Drive\Document Folder\Budget Documents\FY25 Budget\Adopted Budget\"/>
    </mc:Choice>
  </mc:AlternateContent>
  <xr:revisionPtr revIDLastSave="0" documentId="13_ncr:1_{4E6C6F95-151B-45A6-A341-3771BF061098}" xr6:coauthVersionLast="47" xr6:coauthVersionMax="47" xr10:uidLastSave="{00000000-0000-0000-0000-000000000000}"/>
  <workbookProtection workbookAlgorithmName="SHA-512" workbookHashValue="0uPvEDwmxW9dIzJOhLooQJyEOqvn8A/OZ6gJJCE1N0TQXGVRDHcuOfNIELe88QWfeyfjruRK0iI0uhotpgGyeA==" workbookSaltValue="deXWFqZkmMGSiqUyyRFlbw==" workbookSpinCount="100000" lockStructure="1"/>
  <bookViews>
    <workbookView xWindow="28680" yWindow="-120" windowWidth="29040" windowHeight="15840" tabRatio="879"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4" i="23" l="1"/>
  <c r="I23" i="23"/>
  <c r="K24" i="23"/>
  <c r="K23" i="23"/>
  <c r="K22" i="23"/>
  <c r="G22" i="23"/>
  <c r="G24" i="23"/>
  <c r="G23" i="23"/>
  <c r="G10" i="23"/>
  <c r="G19" i="23"/>
  <c r="G18" i="23"/>
  <c r="G17" i="23"/>
  <c r="G16" i="23"/>
  <c r="G15" i="23"/>
  <c r="G14" i="23"/>
  <c r="G13" i="23"/>
  <c r="G12" i="23"/>
  <c r="G11" i="23"/>
  <c r="G8" i="23"/>
  <c r="I8" i="23"/>
  <c r="I19" i="23"/>
  <c r="I18" i="23"/>
  <c r="I17" i="23"/>
  <c r="I16" i="23"/>
  <c r="I15" i="23"/>
  <c r="I14" i="23"/>
  <c r="I13" i="23"/>
  <c r="I12" i="23"/>
  <c r="I11" i="23"/>
  <c r="I10" i="23"/>
  <c r="K19" i="23"/>
  <c r="K18" i="23"/>
  <c r="K17" i="23"/>
  <c r="K16" i="23"/>
  <c r="K15" i="23"/>
  <c r="K14" i="23"/>
  <c r="K13" i="23"/>
  <c r="K12" i="23"/>
  <c r="K11" i="23"/>
  <c r="K10" i="23"/>
  <c r="E36" i="31"/>
  <c r="D36" i="31"/>
  <c r="C36" i="31"/>
  <c r="C27" i="31"/>
  <c r="C28" i="31"/>
  <c r="D18" i="31"/>
  <c r="C18" i="31"/>
  <c r="E15" i="31"/>
  <c r="H51" i="14"/>
  <c r="H50" i="14"/>
  <c r="D12" i="13"/>
  <c r="G8" i="17"/>
  <c r="G10" i="5"/>
  <c r="D35" i="29"/>
  <c r="E8" i="29"/>
  <c r="E7" i="29"/>
  <c r="E6" i="29"/>
  <c r="G14" i="3"/>
  <c r="L89" i="27"/>
  <c r="F35" i="2"/>
  <c r="F27" i="2"/>
  <c r="F26" i="2"/>
  <c r="F24" i="2"/>
  <c r="F19" i="2"/>
  <c r="F17" i="2"/>
  <c r="F15" i="2"/>
  <c r="F14" i="2"/>
  <c r="F12" i="2"/>
  <c r="F11" i="2"/>
  <c r="F10" i="2"/>
  <c r="G8" i="2"/>
  <c r="F8" i="2"/>
  <c r="C67" i="30"/>
  <c r="C66" i="30"/>
  <c r="C38" i="8"/>
  <c r="C75" i="22"/>
  <c r="D21" i="2" l="1"/>
  <c r="J47" i="7" l="1"/>
  <c r="C57" i="27" l="1"/>
  <c r="L170" i="22"/>
  <c r="C141" i="22"/>
  <c r="C19" i="19" l="1"/>
  <c r="C15" i="19"/>
  <c r="C12" i="19"/>
  <c r="C11" i="19"/>
  <c r="C40" i="8"/>
  <c r="K12" i="3"/>
  <c r="C170" i="22" l="1"/>
  <c r="L167" i="22"/>
  <c r="C167" i="22" s="1"/>
  <c r="L166" i="22"/>
  <c r="K166" i="22"/>
  <c r="K165" i="22"/>
  <c r="C165" i="22" s="1"/>
  <c r="K151" i="22"/>
  <c r="C151" i="22" s="1"/>
  <c r="C149" i="22"/>
  <c r="K148" i="22"/>
  <c r="C148" i="22" s="1"/>
  <c r="C146" i="22"/>
  <c r="C145" i="22"/>
  <c r="K143" i="22"/>
  <c r="C143" i="22" s="1"/>
  <c r="C124" i="22"/>
  <c r="M123" i="22"/>
  <c r="K123" i="22"/>
  <c r="L122" i="22"/>
  <c r="C122" i="22" s="1"/>
  <c r="C121" i="22"/>
  <c r="C100" i="22"/>
  <c r="K98" i="22"/>
  <c r="C98" i="22" s="1"/>
  <c r="L96" i="22"/>
  <c r="C96" i="22" s="1"/>
  <c r="C94" i="22"/>
  <c r="L91" i="22"/>
  <c r="C91" i="22" s="1"/>
  <c r="L90" i="22"/>
  <c r="C90" i="22" s="1"/>
  <c r="C88" i="22"/>
  <c r="C83" i="22"/>
  <c r="K82" i="22"/>
  <c r="C82" i="22" s="1"/>
  <c r="C80" i="22"/>
  <c r="C78" i="22"/>
  <c r="L74" i="22"/>
  <c r="C74" i="22" s="1"/>
  <c r="C71" i="22"/>
  <c r="K70" i="22"/>
  <c r="C70" i="22" s="1"/>
  <c r="L68" i="22"/>
  <c r="K68" i="22"/>
  <c r="C67" i="22"/>
  <c r="N66" i="22"/>
  <c r="L66" i="22"/>
  <c r="M64" i="22"/>
  <c r="L64" i="22"/>
  <c r="C64" i="22" s="1"/>
  <c r="L62" i="22"/>
  <c r="C62" i="22" s="1"/>
  <c r="L57" i="22"/>
  <c r="C57" i="22" s="1"/>
  <c r="M55" i="22"/>
  <c r="C55" i="22" s="1"/>
  <c r="M54" i="22"/>
  <c r="L54" i="22"/>
  <c r="K54" i="22"/>
  <c r="L52" i="22"/>
  <c r="K52" i="22"/>
  <c r="K50" i="22"/>
  <c r="C50" i="22" s="1"/>
  <c r="C48" i="22"/>
  <c r="K31" i="22"/>
  <c r="C31" i="22" s="1"/>
  <c r="C30" i="22"/>
  <c r="M27" i="22"/>
  <c r="L27" i="22"/>
  <c r="K27" i="22"/>
  <c r="C26" i="22"/>
  <c r="C25" i="22"/>
  <c r="C24" i="22"/>
  <c r="K21" i="22"/>
  <c r="C21" i="22" s="1"/>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M135" i="30" s="1"/>
  <c r="I127" i="30"/>
  <c r="M129" i="30" s="1"/>
  <c r="A127" i="30"/>
  <c r="A121" i="30"/>
  <c r="A120" i="30"/>
  <c r="C119" i="30"/>
  <c r="C120" i="30" s="1"/>
  <c r="A119" i="30"/>
  <c r="A118" i="30"/>
  <c r="I113" i="30"/>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81" i="30"/>
  <c r="F80" i="30"/>
  <c r="E80" i="30"/>
  <c r="A80" i="30"/>
  <c r="J79" i="30"/>
  <c r="F79" i="30"/>
  <c r="F78" i="30"/>
  <c r="G75" i="30"/>
  <c r="D73" i="30"/>
  <c r="C65" i="30"/>
  <c r="C64" i="30"/>
  <c r="C63" i="30"/>
  <c r="C60" i="30"/>
  <c r="H55" i="30"/>
  <c r="A55" i="30"/>
  <c r="C54" i="30"/>
  <c r="A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8" i="28"/>
  <c r="R237" i="28"/>
  <c r="R236" i="28"/>
  <c r="R234" i="28"/>
  <c r="R226"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39" i="28" s="1"/>
  <c r="Y141" i="28" s="1"/>
  <c r="T138" i="28"/>
  <c r="O137" i="28"/>
  <c r="O142" i="28" s="1"/>
  <c r="D137" i="28"/>
  <c r="AG133" i="28"/>
  <c r="A133" i="28"/>
  <c r="C125" i="28"/>
  <c r="R124" i="28"/>
  <c r="C124" i="28"/>
  <c r="R123" i="28"/>
  <c r="C123" i="28"/>
  <c r="R122" i="28"/>
  <c r="C122" i="28"/>
  <c r="O121" i="28"/>
  <c r="Q101" i="27" s="1"/>
  <c r="R120" i="28"/>
  <c r="C119" i="28"/>
  <c r="R118" i="28"/>
  <c r="C118" i="28"/>
  <c r="O113" i="28"/>
  <c r="D113" i="28"/>
  <c r="O112" i="28"/>
  <c r="D112" i="28"/>
  <c r="D107" i="28"/>
  <c r="R103" i="28"/>
  <c r="C103" i="28"/>
  <c r="O100" i="28"/>
  <c r="L100" i="28"/>
  <c r="O99" i="28"/>
  <c r="L99" i="28"/>
  <c r="O98" i="28"/>
  <c r="L98" i="28"/>
  <c r="O97" i="28"/>
  <c r="L97" i="28"/>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C30" i="15"/>
  <c r="L29" i="15"/>
  <c r="I29" i="15"/>
  <c r="C28" i="15"/>
  <c r="I23" i="15"/>
  <c r="G22" i="15"/>
  <c r="D22" i="15"/>
  <c r="D21" i="15"/>
  <c r="I19" i="15"/>
  <c r="G18" i="15"/>
  <c r="D18" i="15"/>
  <c r="D17" i="15"/>
  <c r="A15" i="15"/>
  <c r="I14" i="15"/>
  <c r="L14" i="15" s="1"/>
  <c r="L13" i="15"/>
  <c r="L12" i="15"/>
  <c r="I12" i="15"/>
  <c r="L11" i="15"/>
  <c r="A9" i="15"/>
  <c r="C7" i="15"/>
  <c r="I5" i="15" a="1"/>
  <c r="I5" i="15" s="1"/>
  <c r="I7" i="15" s="1"/>
  <c r="C5" i="15"/>
  <c r="A3" i="15"/>
  <c r="L2" i="15"/>
  <c r="L1" i="15"/>
  <c r="E1" i="15"/>
  <c r="F51" i="14"/>
  <c r="G16" i="14" s="1"/>
  <c r="F50" i="14"/>
  <c r="E46" i="14"/>
  <c r="D46" i="14"/>
  <c r="F46" i="14" s="1"/>
  <c r="H46" i="14" s="1"/>
  <c r="F45" i="14"/>
  <c r="H45" i="14" s="1"/>
  <c r="H44" i="14"/>
  <c r="F44" i="14"/>
  <c r="F43" i="14"/>
  <c r="H43" i="14" s="1"/>
  <c r="E41" i="14"/>
  <c r="D41" i="14"/>
  <c r="D47" i="14" s="1"/>
  <c r="F40" i="14"/>
  <c r="H40" i="14" s="1"/>
  <c r="F39" i="14"/>
  <c r="H39" i="14" s="1"/>
  <c r="H38" i="14"/>
  <c r="F38" i="14"/>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E33" i="14" s="1"/>
  <c r="N24" i="14"/>
  <c r="N23" i="14"/>
  <c r="N22" i="14"/>
  <c r="N21" i="14"/>
  <c r="N20" i="14"/>
  <c r="D20" i="14"/>
  <c r="N19" i="14"/>
  <c r="D19" i="14"/>
  <c r="N18" i="14"/>
  <c r="D18" i="14"/>
  <c r="N17" i="14"/>
  <c r="D17" i="14"/>
  <c r="N16" i="14"/>
  <c r="D16" i="14"/>
  <c r="N15" i="14"/>
  <c r="D15" i="14"/>
  <c r="N14" i="14"/>
  <c r="D14" i="14"/>
  <c r="N13" i="14"/>
  <c r="N12" i="14"/>
  <c r="D12" i="14"/>
  <c r="N11" i="14"/>
  <c r="N10" i="14"/>
  <c r="N9" i="14"/>
  <c r="N8" i="14"/>
  <c r="N7" i="14"/>
  <c r="D7" i="14"/>
  <c r="N6" i="14"/>
  <c r="N5" i="14"/>
  <c r="I2" i="14"/>
  <c r="I1" i="14"/>
  <c r="A1" i="14"/>
  <c r="F60" i="13"/>
  <c r="E60" i="13"/>
  <c r="D60" i="13"/>
  <c r="H60" i="13" s="1"/>
  <c r="C60" i="13"/>
  <c r="F59" i="13"/>
  <c r="E59" i="13"/>
  <c r="D59" i="13"/>
  <c r="H59" i="13" s="1"/>
  <c r="C59" i="13"/>
  <c r="F57" i="13"/>
  <c r="E57" i="13"/>
  <c r="D57" i="13"/>
  <c r="H57" i="13" s="1"/>
  <c r="C57" i="13"/>
  <c r="E56" i="13"/>
  <c r="C56" i="13"/>
  <c r="F55" i="13"/>
  <c r="E55" i="13"/>
  <c r="D55" i="13"/>
  <c r="C55" i="13"/>
  <c r="F53" i="13"/>
  <c r="E53" i="13"/>
  <c r="D53" i="13"/>
  <c r="C53" i="13"/>
  <c r="F52" i="13"/>
  <c r="E52" i="13"/>
  <c r="D52" i="13"/>
  <c r="C52" i="13"/>
  <c r="H51" i="13"/>
  <c r="F51" i="13"/>
  <c r="E51" i="13"/>
  <c r="D51" i="13"/>
  <c r="C51" i="13"/>
  <c r="F50" i="13"/>
  <c r="E50" i="13"/>
  <c r="D50" i="13"/>
  <c r="H50" i="13" s="1"/>
  <c r="C50" i="13"/>
  <c r="F49" i="13"/>
  <c r="E49" i="13"/>
  <c r="D49" i="13"/>
  <c r="H49" i="13" s="1"/>
  <c r="C49" i="13"/>
  <c r="F48" i="13"/>
  <c r="E48" i="13"/>
  <c r="D48" i="13"/>
  <c r="H48" i="13" s="1"/>
  <c r="C48" i="13"/>
  <c r="F46" i="13"/>
  <c r="E46" i="13"/>
  <c r="D46" i="13"/>
  <c r="H46" i="13" s="1"/>
  <c r="C46" i="13"/>
  <c r="F43" i="13"/>
  <c r="E43" i="13"/>
  <c r="D43" i="13"/>
  <c r="C43" i="13"/>
  <c r="F42" i="13"/>
  <c r="E42" i="13"/>
  <c r="D42" i="13"/>
  <c r="C42" i="13"/>
  <c r="F41" i="13"/>
  <c r="E41" i="13"/>
  <c r="D41" i="13"/>
  <c r="C41" i="13"/>
  <c r="F40" i="13"/>
  <c r="E40" i="13"/>
  <c r="D40" i="13"/>
  <c r="C40" i="13"/>
  <c r="F39" i="13"/>
  <c r="H39" i="13" s="1"/>
  <c r="E39" i="13"/>
  <c r="D39" i="13"/>
  <c r="C39" i="13"/>
  <c r="F38" i="13"/>
  <c r="E38" i="13"/>
  <c r="D38" i="13"/>
  <c r="C38" i="13"/>
  <c r="F37" i="13"/>
  <c r="E37" i="13"/>
  <c r="D37" i="13"/>
  <c r="C37" i="13"/>
  <c r="F36" i="13"/>
  <c r="E36" i="13"/>
  <c r="D36" i="13"/>
  <c r="C36" i="13"/>
  <c r="F35" i="13"/>
  <c r="E35" i="13"/>
  <c r="D35" i="13"/>
  <c r="C35" i="13"/>
  <c r="F33" i="13"/>
  <c r="E33" i="13"/>
  <c r="D33" i="13"/>
  <c r="H33" i="13" s="1"/>
  <c r="C33" i="13"/>
  <c r="D16" i="13"/>
  <c r="C16" i="13"/>
  <c r="E15" i="13"/>
  <c r="I12" i="13"/>
  <c r="I11" i="13"/>
  <c r="E11" i="13"/>
  <c r="I10" i="13"/>
  <c r="E10" i="13"/>
  <c r="D10" i="13"/>
  <c r="C10" i="13"/>
  <c r="B10" i="13"/>
  <c r="I5" i="13"/>
  <c r="I4" i="13"/>
  <c r="H4" i="13"/>
  <c r="G4" i="13"/>
  <c r="F4" i="13"/>
  <c r="E4" i="13"/>
  <c r="G3" i="13"/>
  <c r="I2" i="13"/>
  <c r="D4" i="13" s="1"/>
  <c r="I1" i="13"/>
  <c r="A1" i="13"/>
  <c r="K30" i="17"/>
  <c r="I30" i="17"/>
  <c r="H30" i="17"/>
  <c r="G30" i="17"/>
  <c r="F30" i="17"/>
  <c r="E30" i="17"/>
  <c r="M29" i="17"/>
  <c r="L29" i="17"/>
  <c r="D29" i="17"/>
  <c r="M28" i="17"/>
  <c r="L28" i="17"/>
  <c r="D28" i="17"/>
  <c r="M27" i="17"/>
  <c r="L27" i="17"/>
  <c r="N27" i="17" s="1"/>
  <c r="D27" i="17"/>
  <c r="M26" i="17"/>
  <c r="L26" i="17"/>
  <c r="D26" i="17"/>
  <c r="M25" i="17"/>
  <c r="L25" i="17"/>
  <c r="D25" i="17"/>
  <c r="M24" i="17"/>
  <c r="L24" i="17"/>
  <c r="D24" i="17"/>
  <c r="M23" i="17"/>
  <c r="L23" i="17"/>
  <c r="N23" i="17" s="1"/>
  <c r="D23" i="17"/>
  <c r="M22" i="17"/>
  <c r="L22" i="17"/>
  <c r="D22" i="17"/>
  <c r="M20" i="17"/>
  <c r="L20" i="17"/>
  <c r="D20" i="17"/>
  <c r="K18" i="17"/>
  <c r="I18" i="17"/>
  <c r="H18" i="17"/>
  <c r="G18" i="17"/>
  <c r="F18" i="17"/>
  <c r="E18" i="17"/>
  <c r="M17" i="17"/>
  <c r="L17" i="17"/>
  <c r="N17" i="17" s="1"/>
  <c r="D17" i="17"/>
  <c r="M16" i="17"/>
  <c r="L16" i="17"/>
  <c r="D16" i="17"/>
  <c r="M15" i="17"/>
  <c r="L15" i="17"/>
  <c r="N15" i="17" s="1"/>
  <c r="D15" i="17"/>
  <c r="M14" i="17"/>
  <c r="L14" i="17"/>
  <c r="D14" i="17"/>
  <c r="M13" i="17"/>
  <c r="L13" i="17"/>
  <c r="N13" i="17" s="1"/>
  <c r="D13" i="17"/>
  <c r="M12" i="17"/>
  <c r="L12" i="17"/>
  <c r="D12" i="17"/>
  <c r="M11" i="17"/>
  <c r="L11" i="17"/>
  <c r="N11" i="17" s="1"/>
  <c r="D11" i="17"/>
  <c r="M10" i="17"/>
  <c r="L10" i="17"/>
  <c r="D10" i="17"/>
  <c r="M8" i="17"/>
  <c r="L8" i="17"/>
  <c r="D8" i="17"/>
  <c r="M6" i="17"/>
  <c r="L6" i="17"/>
  <c r="N1" i="17"/>
  <c r="K1" i="17"/>
  <c r="G1" i="17"/>
  <c r="B1" i="17"/>
  <c r="C32" i="19"/>
  <c r="C22" i="19"/>
  <c r="K13" i="19"/>
  <c r="C13" i="19"/>
  <c r="K8" i="19"/>
  <c r="K11" i="19" s="1"/>
  <c r="C8" i="19"/>
  <c r="C7" i="19"/>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J39" i="7"/>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J40" i="7" s="1"/>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I7" i="7"/>
  <c r="F7"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L17" i="5"/>
  <c r="K17" i="5"/>
  <c r="M17" i="5" s="1"/>
  <c r="L16" i="5"/>
  <c r="K16" i="5"/>
  <c r="L15" i="5"/>
  <c r="K15" i="5"/>
  <c r="M15" i="5" s="1"/>
  <c r="L14" i="5"/>
  <c r="K14" i="5"/>
  <c r="L13" i="5"/>
  <c r="K13" i="5"/>
  <c r="L12" i="5"/>
  <c r="K12" i="5"/>
  <c r="L10" i="5"/>
  <c r="K10" i="5"/>
  <c r="L8" i="5"/>
  <c r="K8" i="5"/>
  <c r="L7" i="5"/>
  <c r="K7" i="5"/>
  <c r="N1" i="5"/>
  <c r="L1" i="5"/>
  <c r="H1" i="5"/>
  <c r="B1" i="5"/>
  <c r="A38" i="29"/>
  <c r="A36" i="29"/>
  <c r="A35" i="29"/>
  <c r="A34" i="29"/>
  <c r="A32" i="29"/>
  <c r="D31" i="29" a="1"/>
  <c r="D31" i="29" s="1"/>
  <c r="E32" i="29" s="1"/>
  <c r="A31" i="29"/>
  <c r="J14" i="29" a="1"/>
  <c r="J14" i="29" s="1"/>
  <c r="C10" i="14" s="1"/>
  <c r="I14" i="29"/>
  <c r="H14" i="29"/>
  <c r="G14" i="29"/>
  <c r="F14" i="29"/>
  <c r="E14" i="29"/>
  <c r="D14" i="29"/>
  <c r="K13" i="29"/>
  <c r="J13" i="29" a="1"/>
  <c r="J13" i="29" s="1"/>
  <c r="K12" i="29"/>
  <c r="J12" i="29" a="1"/>
  <c r="J12" i="29" s="1"/>
  <c r="K11" i="29"/>
  <c r="J11" i="29" a="1"/>
  <c r="J11" i="29" s="1"/>
  <c r="K10" i="29"/>
  <c r="J10" i="29" a="1"/>
  <c r="J10" i="29" s="1"/>
  <c r="L10" i="29" s="1"/>
  <c r="K9" i="29"/>
  <c r="J9" i="29" a="1"/>
  <c r="J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K40" i="2"/>
  <c r="M40" i="2" s="1"/>
  <c r="D40" i="2"/>
  <c r="L38" i="2"/>
  <c r="K38" i="2"/>
  <c r="M38" i="2" s="1"/>
  <c r="D38" i="2"/>
  <c r="M37" i="2"/>
  <c r="L37" i="2"/>
  <c r="K37" i="2"/>
  <c r="J37" i="2"/>
  <c r="I37" i="2"/>
  <c r="H37" i="2"/>
  <c r="G37" i="2"/>
  <c r="F37" i="2"/>
  <c r="E37" i="2"/>
  <c r="D37" i="2"/>
  <c r="L35" i="2"/>
  <c r="K35" i="2"/>
  <c r="D35" i="2"/>
  <c r="J34" i="2"/>
  <c r="I34" i="2"/>
  <c r="H34" i="2"/>
  <c r="G34" i="2"/>
  <c r="F34" i="2"/>
  <c r="E34" i="2"/>
  <c r="L33" i="2"/>
  <c r="K33" i="2"/>
  <c r="M33" i="2" s="1"/>
  <c r="D33" i="2"/>
  <c r="L32" i="2"/>
  <c r="K32" i="2"/>
  <c r="M32" i="2" s="1"/>
  <c r="D32" i="2"/>
  <c r="L31" i="2"/>
  <c r="K31" i="2"/>
  <c r="D31" i="2"/>
  <c r="L30" i="2"/>
  <c r="K30" i="2"/>
  <c r="M30" i="2" s="1"/>
  <c r="D30" i="2"/>
  <c r="L29" i="2"/>
  <c r="K29" i="2"/>
  <c r="M29" i="2" s="1"/>
  <c r="D29" i="2"/>
  <c r="L28" i="2"/>
  <c r="K28" i="2"/>
  <c r="M28" i="2" s="1"/>
  <c r="D28" i="2"/>
  <c r="L27" i="2"/>
  <c r="K27" i="2"/>
  <c r="D27" i="2"/>
  <c r="L26" i="2"/>
  <c r="K26" i="2"/>
  <c r="M26" i="2" s="1"/>
  <c r="D26" i="2"/>
  <c r="L24" i="2"/>
  <c r="K24" i="2"/>
  <c r="D24" i="2"/>
  <c r="J22" i="2"/>
  <c r="I22" i="2"/>
  <c r="H22" i="2"/>
  <c r="G22" i="2"/>
  <c r="F22" i="2"/>
  <c r="E22" i="2"/>
  <c r="L21" i="2"/>
  <c r="K21" i="2"/>
  <c r="L20" i="2"/>
  <c r="K20" i="2"/>
  <c r="M20" i="2" s="1"/>
  <c r="D20" i="2"/>
  <c r="L19" i="2"/>
  <c r="K19" i="2"/>
  <c r="M19" i="2" s="1"/>
  <c r="D19" i="2"/>
  <c r="L18" i="2"/>
  <c r="K18" i="2"/>
  <c r="D18" i="2"/>
  <c r="L17" i="2"/>
  <c r="K17" i="2"/>
  <c r="M17" i="2" s="1"/>
  <c r="D17" i="2"/>
  <c r="L16" i="2"/>
  <c r="K16" i="2"/>
  <c r="M16" i="2" s="1"/>
  <c r="D16" i="2"/>
  <c r="L15" i="2"/>
  <c r="K15" i="2"/>
  <c r="M15" i="2" s="1"/>
  <c r="D15" i="2"/>
  <c r="L14" i="2"/>
  <c r="K14" i="2"/>
  <c r="D14" i="2"/>
  <c r="L13" i="2"/>
  <c r="K13" i="2"/>
  <c r="M13" i="2" s="1"/>
  <c r="D13" i="2"/>
  <c r="L12" i="2"/>
  <c r="K12" i="2"/>
  <c r="M12" i="2" s="1"/>
  <c r="D12" i="2"/>
  <c r="L11" i="2"/>
  <c r="K11" i="2"/>
  <c r="M11" i="2" s="1"/>
  <c r="D11" i="2"/>
  <c r="L10" i="2"/>
  <c r="L22" i="2" s="1"/>
  <c r="K10" i="2"/>
  <c r="M10" i="2" s="1"/>
  <c r="D10" i="2"/>
  <c r="L8" i="2"/>
  <c r="K8" i="2"/>
  <c r="D8" i="2"/>
  <c r="L6" i="2"/>
  <c r="K6" i="2"/>
  <c r="M1" i="2"/>
  <c r="J1" i="2"/>
  <c r="G1" i="2"/>
  <c r="B1" i="2"/>
  <c r="J7" i="24"/>
  <c r="K1" i="24"/>
  <c r="H1" i="24"/>
  <c r="E1" i="24"/>
  <c r="B1" i="24"/>
  <c r="V40" i="16"/>
  <c r="V39" i="16"/>
  <c r="S33" i="16"/>
  <c r="S34" i="16" s="1"/>
  <c r="I13" i="13" s="1"/>
  <c r="L32" i="16"/>
  <c r="T31" i="16"/>
  <c r="P31" i="16"/>
  <c r="L31" i="16"/>
  <c r="F31" i="16"/>
  <c r="C28" i="16"/>
  <c r="Q22" i="16"/>
  <c r="D19" i="13" s="1"/>
  <c r="N22" i="16"/>
  <c r="C19" i="13" s="1"/>
  <c r="G15" i="16"/>
  <c r="G14" i="16"/>
  <c r="G13" i="16"/>
  <c r="Q12" i="16"/>
  <c r="N12" i="16"/>
  <c r="A12" i="16"/>
  <c r="N10" i="16"/>
  <c r="O9" i="16"/>
  <c r="O6" i="16"/>
  <c r="L5" i="16"/>
  <c r="L4" i="16"/>
  <c r="R2" i="16"/>
  <c r="Q30" i="31" l="1"/>
  <c r="Q23" i="31"/>
  <c r="Q17" i="31"/>
  <c r="N37" i="14"/>
  <c r="D21" i="14" s="1"/>
  <c r="E47" i="14"/>
  <c r="F47" i="14" s="1"/>
  <c r="H47" i="14" s="1"/>
  <c r="F41" i="14"/>
  <c r="H41" i="14" s="1"/>
  <c r="M30" i="17"/>
  <c r="N24" i="17"/>
  <c r="N28" i="17"/>
  <c r="N8" i="17"/>
  <c r="N26" i="17"/>
  <c r="N25" i="17"/>
  <c r="N29" i="17"/>
  <c r="T7" i="7"/>
  <c r="D9" i="14"/>
  <c r="N20" i="17"/>
  <c r="N12" i="17"/>
  <c r="N16" i="17"/>
  <c r="N14" i="17"/>
  <c r="M18" i="17"/>
  <c r="D8" i="14" s="1"/>
  <c r="N10" i="17"/>
  <c r="T6" i="7"/>
  <c r="M14" i="5"/>
  <c r="M13" i="5"/>
  <c r="M12" i="5"/>
  <c r="M18" i="5"/>
  <c r="M16" i="5"/>
  <c r="L19" i="5"/>
  <c r="Q26" i="16" s="1"/>
  <c r="M8" i="5"/>
  <c r="L11" i="29"/>
  <c r="K14" i="29"/>
  <c r="C23" i="13" s="1"/>
  <c r="L7" i="29"/>
  <c r="L9" i="29"/>
  <c r="L6" i="29"/>
  <c r="L8" i="29"/>
  <c r="M41" i="2"/>
  <c r="M35" i="2"/>
  <c r="H55" i="13"/>
  <c r="H52" i="13"/>
  <c r="H53" i="13"/>
  <c r="M31" i="2"/>
  <c r="F54" i="13"/>
  <c r="M27" i="2"/>
  <c r="L34" i="2"/>
  <c r="F33" i="14"/>
  <c r="I14" i="3"/>
  <c r="E43" i="2"/>
  <c r="H36" i="13"/>
  <c r="H37" i="13"/>
  <c r="H38" i="13"/>
  <c r="H44" i="13" s="1"/>
  <c r="H43" i="2"/>
  <c r="M14" i="2"/>
  <c r="M18" i="2"/>
  <c r="M21" i="2"/>
  <c r="H40" i="13"/>
  <c r="H41" i="13"/>
  <c r="H42" i="13"/>
  <c r="H43" i="13"/>
  <c r="I43" i="2"/>
  <c r="H35" i="13"/>
  <c r="F44" i="13"/>
  <c r="F43" i="2"/>
  <c r="G43" i="2"/>
  <c r="J43" i="2"/>
  <c r="L43" i="2"/>
  <c r="M43" i="2" s="1"/>
  <c r="A4" i="13"/>
  <c r="K5" i="13"/>
  <c r="C4" i="13"/>
  <c r="E156" i="30"/>
  <c r="AA143" i="30"/>
  <c r="G40" i="7"/>
  <c r="S27" i="16"/>
  <c r="D11" i="14"/>
  <c r="C123" i="22"/>
  <c r="C68" i="22"/>
  <c r="C27" i="22"/>
  <c r="C66" i="22"/>
  <c r="C52" i="22"/>
  <c r="C166" i="22"/>
  <c r="C54" i="22"/>
  <c r="F6" i="15"/>
  <c r="E115" i="30"/>
  <c r="E153" i="30"/>
  <c r="E155"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G121" i="30"/>
  <c r="G124" i="30" s="1"/>
  <c r="H54" i="13"/>
  <c r="E20" i="23"/>
  <c r="E26" i="23" s="1"/>
  <c r="D44" i="13"/>
  <c r="I47" i="7"/>
  <c r="C7" i="14" s="1"/>
  <c r="E7" i="14" s="1"/>
  <c r="D54" i="13"/>
  <c r="R85" i="28"/>
  <c r="G53" i="13"/>
  <c r="I53" i="13" s="1"/>
  <c r="G60" i="13"/>
  <c r="I60" i="13" s="1"/>
  <c r="R96" i="28"/>
  <c r="G59" i="13"/>
  <c r="I59" i="13" s="1"/>
  <c r="G35" i="13"/>
  <c r="I35" i="13" s="1"/>
  <c r="G42" i="13"/>
  <c r="I42" i="13" s="1"/>
  <c r="L5" i="27"/>
  <c r="O150" i="28"/>
  <c r="O172" i="28"/>
  <c r="O174" i="28" s="1"/>
  <c r="F7" i="30"/>
  <c r="I7" i="30" s="1"/>
  <c r="E83" i="30"/>
  <c r="E89" i="30" s="1"/>
  <c r="E90" i="30" s="1"/>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E121" i="30"/>
  <c r="E124" i="30" s="1"/>
  <c r="I24" i="28"/>
  <c r="O151" i="28"/>
  <c r="AA15" i="30"/>
  <c r="F9" i="30" s="1"/>
  <c r="I36" i="30"/>
  <c r="M134" i="30"/>
  <c r="H16" i="28"/>
  <c r="J24" i="28"/>
  <c r="R155" i="28"/>
  <c r="O185" i="28"/>
  <c r="R187" i="28" s="1"/>
  <c r="C33" i="30"/>
  <c r="I121" i="30"/>
  <c r="I124" i="30" s="1"/>
  <c r="G132" i="30" s="1"/>
  <c r="I16" i="28"/>
  <c r="L24" i="28"/>
  <c r="L68" i="28"/>
  <c r="K121" i="30"/>
  <c r="K124" i="30" s="1"/>
  <c r="G133" i="30" s="1"/>
  <c r="J16" i="28"/>
  <c r="R88" i="28"/>
  <c r="R100" i="28"/>
  <c r="J41" i="8" s="1"/>
  <c r="F25" i="23"/>
  <c r="G51" i="13"/>
  <c r="I51" i="13" s="1"/>
  <c r="G50" i="13"/>
  <c r="I50" i="13" s="1"/>
  <c r="M37" i="14"/>
  <c r="C21" i="14" s="1"/>
  <c r="G36" i="13"/>
  <c r="I36" i="13" s="1"/>
  <c r="G52" i="13"/>
  <c r="I52" i="13" s="1"/>
  <c r="G39" i="13"/>
  <c r="I39" i="13" s="1"/>
  <c r="I24" i="15"/>
  <c r="I26" i="15" s="1"/>
  <c r="G57" i="13"/>
  <c r="I57" i="13" s="1"/>
  <c r="L30" i="17"/>
  <c r="N30" i="17" s="1"/>
  <c r="G46" i="13"/>
  <c r="I46" i="13" s="1"/>
  <c r="D34" i="2"/>
  <c r="G41" i="13"/>
  <c r="I41" i="13" s="1"/>
  <c r="G43" i="13"/>
  <c r="G40" i="13"/>
  <c r="K14" i="19"/>
  <c r="G18" i="19" s="1"/>
  <c r="H18" i="19" s="1"/>
  <c r="F20" i="23"/>
  <c r="C44" i="13"/>
  <c r="D56" i="13"/>
  <c r="K19" i="5"/>
  <c r="D8" i="23" s="1"/>
  <c r="D22" i="2"/>
  <c r="M10" i="5"/>
  <c r="L18" i="17"/>
  <c r="C8" i="14" s="1"/>
  <c r="G33" i="13"/>
  <c r="I33" i="13" s="1"/>
  <c r="G37" i="13"/>
  <c r="I37" i="13" s="1"/>
  <c r="G55" i="13"/>
  <c r="I55" i="13" s="1"/>
  <c r="F56" i="13"/>
  <c r="K22" i="2"/>
  <c r="M22" i="2" s="1"/>
  <c r="D33" i="29"/>
  <c r="D38" i="29" s="1"/>
  <c r="D20" i="23"/>
  <c r="F27" i="7"/>
  <c r="E54" i="13"/>
  <c r="G49" i="13"/>
  <c r="I49" i="13" s="1"/>
  <c r="J25" i="23"/>
  <c r="I27" i="7"/>
  <c r="D18" i="17"/>
  <c r="D30" i="17"/>
  <c r="J20" i="23"/>
  <c r="G48" i="13"/>
  <c r="I48" i="13" s="1"/>
  <c r="H20" i="23"/>
  <c r="D25" i="23"/>
  <c r="F39" i="7"/>
  <c r="I39" i="7"/>
  <c r="C12" i="14" s="1"/>
  <c r="K34" i="2"/>
  <c r="M34" i="2" s="1"/>
  <c r="H25" i="23"/>
  <c r="G38" i="13"/>
  <c r="I38" i="13" s="1"/>
  <c r="G56" i="13"/>
  <c r="K115" i="30"/>
  <c r="K114" i="30"/>
  <c r="R227" i="28"/>
  <c r="G114" i="30"/>
  <c r="G115" i="30" s="1"/>
  <c r="G156" i="30"/>
  <c r="O56" i="28"/>
  <c r="R107" i="28"/>
  <c r="R228" i="28"/>
  <c r="C118" i="30"/>
  <c r="AA144" i="30"/>
  <c r="R229" i="28"/>
  <c r="AA140" i="30"/>
  <c r="O67" i="28"/>
  <c r="AA141" i="30"/>
  <c r="E86" i="30" s="1"/>
  <c r="AA142" i="30"/>
  <c r="Y192" i="28"/>
  <c r="Y193" i="28" s="1"/>
  <c r="Y194" i="28" s="1"/>
  <c r="F19" i="14"/>
  <c r="E19" i="14"/>
  <c r="E17" i="14"/>
  <c r="F17" i="14" s="1"/>
  <c r="F16" i="14"/>
  <c r="E16" i="14"/>
  <c r="E15" i="14"/>
  <c r="F15" i="14"/>
  <c r="E20" i="14"/>
  <c r="F20" i="14" s="1"/>
  <c r="E18" i="14"/>
  <c r="F18" i="14" s="1"/>
  <c r="F14" i="14"/>
  <c r="E14" i="14"/>
  <c r="D33" i="14"/>
  <c r="M8" i="2"/>
  <c r="C54" i="13"/>
  <c r="N22" i="17"/>
  <c r="E44" i="13"/>
  <c r="F16" i="3"/>
  <c r="M24" i="2"/>
  <c r="D13" i="14" l="1"/>
  <c r="C24" i="13"/>
  <c r="E8" i="23"/>
  <c r="D35" i="31"/>
  <c r="D37" i="31" s="1"/>
  <c r="L14" i="29"/>
  <c r="D10" i="14"/>
  <c r="E10" i="14" s="1"/>
  <c r="E35" i="31"/>
  <c r="E37" i="31" s="1"/>
  <c r="L16" i="29"/>
  <c r="H8" i="30"/>
  <c r="G8" i="30"/>
  <c r="I8" i="30"/>
  <c r="F61" i="13"/>
  <c r="C22" i="13"/>
  <c r="I43" i="13"/>
  <c r="I40" i="13"/>
  <c r="Q25" i="16"/>
  <c r="C35" i="31"/>
  <c r="C37" i="31" s="1"/>
  <c r="G4" i="14"/>
  <c r="D6" i="14"/>
  <c r="E6" i="14" s="1"/>
  <c r="F6" i="14" s="1"/>
  <c r="E157" i="30"/>
  <c r="F7" i="14"/>
  <c r="E21" i="14"/>
  <c r="F21" i="14" s="1"/>
  <c r="C9" i="14"/>
  <c r="F9" i="14" s="1"/>
  <c r="O152" i="28"/>
  <c r="R154" i="28" s="1"/>
  <c r="AA168" i="30"/>
  <c r="I114" i="30" s="1"/>
  <c r="I115" i="30" s="1"/>
  <c r="O141" i="28"/>
  <c r="R143" i="28" s="1"/>
  <c r="E144" i="30"/>
  <c r="H51" i="30"/>
  <c r="G136" i="30"/>
  <c r="G163" i="30" s="1"/>
  <c r="K16" i="27"/>
  <c r="E132" i="30"/>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L157" i="30" s="1"/>
  <c r="E85" i="30"/>
  <c r="J21" i="28"/>
  <c r="J17" i="28"/>
  <c r="J19" i="28" s="1"/>
  <c r="I29" i="28"/>
  <c r="I25" i="28"/>
  <c r="I27" i="28" s="1"/>
  <c r="H29" i="28"/>
  <c r="H25" i="28"/>
  <c r="H27" i="28" s="1"/>
  <c r="J29" i="28"/>
  <c r="J25" i="28"/>
  <c r="J27" i="28" s="1"/>
  <c r="L29" i="28"/>
  <c r="L25" i="28"/>
  <c r="L27" i="28" s="1"/>
  <c r="H17" i="28"/>
  <c r="H19" i="28" s="1"/>
  <c r="H21" i="28"/>
  <c r="M124" i="30"/>
  <c r="R158" i="28"/>
  <c r="R159" i="28" s="1"/>
  <c r="R160" i="28" s="1"/>
  <c r="I34" i="15"/>
  <c r="I37" i="15"/>
  <c r="C13" i="14"/>
  <c r="D43" i="2"/>
  <c r="E8" i="14"/>
  <c r="F8" i="14" s="1"/>
  <c r="N18" i="17"/>
  <c r="C11" i="14"/>
  <c r="E11" i="14" s="1"/>
  <c r="K18" i="19"/>
  <c r="S6" i="7"/>
  <c r="F40" i="7"/>
  <c r="G44" i="13"/>
  <c r="I44" i="13" s="1"/>
  <c r="E61" i="13"/>
  <c r="G54" i="13"/>
  <c r="I54" i="13" s="1"/>
  <c r="D61" i="13"/>
  <c r="H56" i="13"/>
  <c r="H61" i="13" s="1"/>
  <c r="O68" i="28"/>
  <c r="O74" i="28"/>
  <c r="O72" i="28"/>
  <c r="O70" i="28"/>
  <c r="O59" i="28"/>
  <c r="O57" i="28"/>
  <c r="O61" i="28"/>
  <c r="O63" i="28"/>
  <c r="H53" i="30"/>
  <c r="D48" i="30"/>
  <c r="H46" i="30"/>
  <c r="D46" i="30"/>
  <c r="I9" i="30"/>
  <c r="E145" i="30"/>
  <c r="E146" i="30" s="1"/>
  <c r="I13" i="30"/>
  <c r="H9" i="30"/>
  <c r="I12" i="30"/>
  <c r="H44" i="30" s="1"/>
  <c r="G9" i="30"/>
  <c r="H48" i="30"/>
  <c r="H12" i="30"/>
  <c r="F44" i="30" s="1"/>
  <c r="F48" i="30"/>
  <c r="C62" i="30"/>
  <c r="H68" i="30" s="1"/>
  <c r="E9" i="14"/>
  <c r="E13" i="14" l="1"/>
  <c r="F13" i="14" s="1"/>
  <c r="F10" i="14"/>
  <c r="M115" i="30"/>
  <c r="R91" i="28"/>
  <c r="R102" i="28" s="1"/>
  <c r="R104" i="28" s="1"/>
  <c r="J35" i="8" s="1"/>
  <c r="J55" i="8" s="1"/>
  <c r="M132" i="30"/>
  <c r="H14" i="8" s="1"/>
  <c r="H17" i="8" s="1"/>
  <c r="E136" i="30"/>
  <c r="E93" i="30"/>
  <c r="J80" i="30" s="1"/>
  <c r="H69" i="30"/>
  <c r="J78" i="30" s="1"/>
  <c r="F11" i="14"/>
  <c r="G61" i="13"/>
  <c r="I61" i="13" s="1"/>
  <c r="I56" i="13"/>
  <c r="G144" i="30"/>
  <c r="G145" i="30"/>
  <c r="S25" i="16" l="1"/>
  <c r="T25" i="16" s="1"/>
  <c r="D22" i="13"/>
  <c r="E163" i="30"/>
  <c r="L163" i="30" s="1"/>
  <c r="M136" i="30"/>
  <c r="G45" i="2"/>
  <c r="M17" i="8"/>
  <c r="N15" i="8"/>
  <c r="C99" i="30"/>
  <c r="C101" i="30" s="1"/>
  <c r="E103" i="30" s="1"/>
  <c r="C104" i="30"/>
  <c r="J81" i="30"/>
  <c r="J85" i="30"/>
  <c r="E105" i="30" l="1"/>
  <c r="J87" i="30" s="1"/>
  <c r="J88" i="30" s="1"/>
  <c r="I144" i="30" l="1"/>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<sst xmlns="http://schemas.openxmlformats.org/spreadsheetml/2006/main" count="2884" uniqueCount="1388">
  <si>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</si>
  <si>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</si>
  <si>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</si>
  <si>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</si>
  <si>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</si>
  <si>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</si>
  <si>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</si>
  <si>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</si>
  <si>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</si>
  <si>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</si>
  <si>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</si>
  <si>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</si>
  <si>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</si>
  <si>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</si>
  <si>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</si>
  <si>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</si>
  <si>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</si>
  <si>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</si>
  <si>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</si>
  <si>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</si>
  <si>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</si>
  <si>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</si>
  <si>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</si>
  <si>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</si>
  <si>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</si>
  <si>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</si>
  <si>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</si>
  <si>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</si>
  <si>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</si>
  <si>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</si>
  <si>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</si>
  <si>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</si>
  <si>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</si>
  <si>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</si>
  <si>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</si>
  <si>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</si>
  <si>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</si>
  <si>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</si>
  <si>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</si>
  <si>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</si>
  <si>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</si>
  <si>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</si>
  <si>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</si>
  <si>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</si>
  <si>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</si>
  <si>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</si>
  <si>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</si>
  <si>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</si>
  <si>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</si>
  <si>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</si>
  <si>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</si>
  <si>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</si>
  <si>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</si>
  <si>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</si>
  <si>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</si>
  <si>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</si>
  <si>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</si>
  <si>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</si>
  <si>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</si>
  <si>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</si>
  <si>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</si>
  <si>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</si>
  <si>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</si>
  <si>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</si>
  <si>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</si>
  <si>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</si>
  <si>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</si>
  <si>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</si>
  <si>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</si>
  <si>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</si>
  <si>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</si>
  <si>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</si>
  <si>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</si>
  <si>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</si>
  <si>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</si>
  <si>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</si>
  <si>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</si>
  <si>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</si>
  <si>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</si>
  <si>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</si>
  <si>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</si>
  <si>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</si>
  <si>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</si>
  <si>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</si>
  <si>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</si>
  <si>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</si>
  <si>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</si>
  <si>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</si>
  <si>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</si>
  <si>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</si>
  <si>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</si>
  <si>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</si>
  <si>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</si>
  <si>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</si>
  <si>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</si>
  <si>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</si>
  <si>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</si>
  <si>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</si>
  <si>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</si>
  <si>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</si>
  <si>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</si>
  <si>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</si>
  <si>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</si>
  <si>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</si>
  <si>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</si>
  <si>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</si>
  <si>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</si>
  <si>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</si>
  <si>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</si>
  <si>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</si>
  <si>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</si>
  <si>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</si>
  <si>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</si>
  <si>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</si>
  <si>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</si>
  <si>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</si>
  <si>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</si>
  <si>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</si>
  <si>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</si>
  <si>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</si>
  <si>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</si>
  <si>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</si>
  <si>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</si>
  <si>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</si>
  <si>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</si>
  <si>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</si>
  <si>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</si>
  <si>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</si>
  <si>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</si>
  <si>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</si>
  <si>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</si>
  <si>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</si>
  <si>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</si>
  <si>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</si>
  <si>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</si>
  <si>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</si>
  <si>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</si>
  <si>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</si>
  <si>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</si>
  <si>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</si>
  <si>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</si>
  <si>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</si>
  <si>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</si>
  <si>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</si>
  <si>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</si>
  <si>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</si>
  <si>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</si>
  <si>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</si>
  <si>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</si>
  <si>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</si>
  <si>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</si>
  <si>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</si>
  <si>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</si>
  <si>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</si>
  <si>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</si>
  <si>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</si>
  <si>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</si>
  <si>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</si>
  <si>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</si>
  <si>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</si>
  <si>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</si>
  <si>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</si>
  <si>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</si>
  <si>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</si>
  <si>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</si>
  <si>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</si>
  <si>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</si>
  <si>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</si>
  <si>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</si>
  <si>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</si>
  <si>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</si>
  <si>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</si>
  <si>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</si>
  <si>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</si>
  <si>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</si>
  <si>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</si>
  <si>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</si>
  <si>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</si>
  <si>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</si>
  <si>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</si>
  <si>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</si>
  <si>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</si>
  <si>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</si>
  <si>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</si>
  <si>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</si>
  <si>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</si>
  <si>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</si>
  <si>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</si>
  <si>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</si>
  <si>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</si>
  <si>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</si>
  <si>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</si>
  <si>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</si>
  <si>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</si>
  <si>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</si>
  <si>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</si>
  <si>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</si>
  <si>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</si>
  <si>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</si>
  <si>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</si>
  <si>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</si>
  <si>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</si>
  <si>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</si>
  <si>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</si>
  <si>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</si>
  <si>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</si>
  <si>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</si>
  <si>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</si>
  <si>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</si>
  <si>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</si>
  <si>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</si>
  <si>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</si>
  <si>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</si>
  <si>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</si>
  <si>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</si>
  <si>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</si>
  <si>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</si>
  <si>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</si>
  <si>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</si>
  <si>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</si>
  <si>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</si>
  <si>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</si>
  <si>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</si>
  <si>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</si>
  <si>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</si>
  <si>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</si>
  <si>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</si>
  <si>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</si>
  <si>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</si>
  <si>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</si>
  <si>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</si>
  <si>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</si>
  <si>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</si>
  <si>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</si>
  <si>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</si>
  <si>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</si>
  <si>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</si>
  <si>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</si>
  <si>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</si>
  <si>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</si>
  <si>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</si>
  <si>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</si>
  <si>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</si>
  <si>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</si>
  <si>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</si>
  <si>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</si>
  <si>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</si>
  <si>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</si>
  <si>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</si>
  <si>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</si>
  <si>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</si>
  <si>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</si>
  <si>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</si>
  <si>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</si>
  <si>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</si>
  <si>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</si>
  <si>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</si>
  <si>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</si>
  <si>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</si>
  <si>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</si>
  <si>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</si>
  <si>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</si>
  <si>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</si>
  <si>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</si>
  <si>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</si>
  <si>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</si>
  <si>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</si>
  <si>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</si>
  <si>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</si>
  <si>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</si>
  <si>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</si>
  <si>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</si>
  <si>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</si>
  <si>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</si>
  <si>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</si>
  <si>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</si>
  <si>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</si>
  <si>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</si>
  <si>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</si>
  <si>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</si>
  <si>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</si>
  <si>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</si>
  <si>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</si>
  <si>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</si>
  <si>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</si>
  <si>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</si>
  <si>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</si>
  <si>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</si>
  <si>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</si>
  <si>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</si>
  <si>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</si>
  <si>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</si>
  <si>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</si>
  <si>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</si>
  <si>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</si>
  <si>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</si>
  <si>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</si>
  <si>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</si>
  <si>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</si>
  <si>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</si>
  <si>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</si>
  <si>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9___ Self-Insurance</t>
  </si>
  <si>
    <t>955  Intergovernmental Agreements</t>
  </si>
  <si>
    <t>9__  OPEB</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</si>
  <si>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</si>
  <si>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</si>
  <si>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</si>
  <si>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</si>
  <si>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</si>
  <si>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</si>
  <si>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</si>
  <si>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</si>
  <si>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</si>
  <si>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</si>
  <si>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</si>
  <si>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</si>
  <si>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</si>
  <si>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</si>
  <si>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</si>
  <si>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</si>
  <si>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</si>
  <si>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</si>
  <si>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</si>
  <si>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</si>
  <si>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</si>
  <si>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</si>
  <si>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</si>
  <si>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</si>
  <si>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</si>
  <si>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</si>
  <si>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</si>
  <si>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</si>
  <si>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</si>
  <si>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</si>
  <si>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</si>
  <si>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</si>
  <si>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</si>
  <si>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</si>
  <si>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</si>
  <si>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</si>
  <si>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</si>
  <si>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</si>
  <si>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</si>
  <si>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</si>
  <si>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</si>
  <si>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</si>
  <si>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</si>
  <si>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</si>
  <si>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</si>
  <si>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</si>
  <si>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</si>
  <si>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</si>
  <si>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</si>
  <si>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</si>
  <si>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</si>
  <si>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</si>
  <si>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</si>
  <si>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</si>
  <si>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</si>
  <si>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</si>
  <si>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</si>
  <si>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</si>
  <si>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</si>
  <si>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</si>
  <si>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</si>
  <si>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</si>
  <si>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</si>
  <si>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</si>
  <si>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</si>
  <si>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</si>
  <si>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</si>
  <si>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</si>
  <si>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</si>
  <si>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</si>
  <si>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</si>
  <si>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</si>
  <si>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</si>
  <si>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</si>
  <si>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</si>
  <si>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</si>
  <si>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</si>
  <si>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</si>
  <si>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</si>
  <si>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</si>
  <si>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</si>
  <si>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</si>
  <si>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</si>
  <si>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</si>
  <si>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</si>
  <si>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</si>
  <si>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</si>
  <si>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</si>
  <si>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</si>
  <si>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</si>
  <si>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</si>
  <si>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</si>
  <si>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</si>
  <si>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</si>
  <si>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</si>
  <si>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</si>
  <si>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</si>
  <si>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</si>
  <si>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</si>
  <si>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</si>
  <si>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</si>
  <si>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</si>
  <si>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</si>
  <si>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</si>
  <si>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</si>
  <si>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</si>
  <si>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</si>
  <si>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</si>
  <si>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</si>
  <si>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</si>
  <si>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</si>
  <si>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</si>
  <si>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</si>
  <si>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</si>
  <si>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</si>
  <si>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</si>
  <si>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</si>
  <si>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</si>
  <si>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</si>
  <si>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</si>
  <si>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</si>
  <si>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</si>
  <si>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</si>
  <si>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</si>
  <si>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</si>
  <si>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</si>
  <si>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</si>
  <si>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</si>
  <si>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</si>
  <si>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</si>
  <si>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</si>
  <si>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</si>
  <si>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</si>
  <si>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</si>
  <si>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</si>
  <si>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</si>
  <si>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</si>
  <si>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</si>
  <si>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</si>
  <si>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</si>
  <si>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</si>
  <si>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</si>
  <si>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</si>
  <si>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</si>
  <si>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</si>
  <si>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</si>
  <si>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</si>
  <si>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</si>
  <si>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</si>
  <si>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</si>
  <si>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</si>
  <si>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</si>
  <si>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</si>
  <si>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</si>
  <si>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</si>
  <si>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</si>
  <si>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</si>
  <si>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</si>
  <si>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</si>
  <si>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</si>
  <si>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</si>
  <si>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</si>
  <si>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</si>
  <si>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</si>
  <si>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</si>
  <si>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</si>
  <si>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</si>
  <si>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</si>
  <si>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</si>
  <si>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</si>
  <si>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</si>
  <si>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</si>
  <si>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</si>
  <si>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</si>
  <si>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</si>
  <si>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</si>
  <si>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</si>
  <si>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</si>
  <si>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</si>
  <si>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</si>
  <si>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</si>
  <si>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</si>
  <si>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</si>
  <si>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</si>
  <si>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</si>
  <si>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</si>
  <si>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</si>
  <si>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</si>
  <si>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</si>
  <si>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</si>
  <si>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</si>
  <si>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</si>
  <si>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</si>
  <si>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</si>
  <si>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</si>
  <si>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</si>
  <si>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</si>
  <si>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</si>
  <si>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</si>
  <si>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</si>
  <si>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</si>
  <si>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</si>
  <si>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</si>
  <si>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</si>
  <si>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</si>
  <si>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</si>
  <si>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</si>
  <si>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</si>
  <si>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</si>
  <si>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</si>
  <si>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</si>
  <si>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</si>
  <si>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</si>
  <si>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</si>
  <si>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</si>
  <si>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</si>
  <si>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</si>
  <si>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</si>
  <si>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</si>
  <si>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</si>
  <si>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</si>
  <si>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</si>
  <si>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</si>
  <si>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</si>
  <si>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</si>
  <si>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</si>
  <si>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</si>
  <si>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</si>
  <si>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</si>
  <si>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</si>
  <si>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</si>
  <si>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</si>
  <si>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</si>
  <si>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</si>
  <si>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</si>
  <si>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</si>
  <si>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</si>
  <si>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</si>
  <si>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</si>
  <si>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</si>
  <si>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</si>
  <si>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</si>
  <si>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</si>
  <si>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</si>
  <si>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</si>
  <si>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</si>
  <si>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</si>
  <si>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</si>
  <si>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</si>
  <si>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</si>
  <si>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</si>
  <si>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</si>
  <si>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</si>
  <si>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</si>
  <si>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</si>
  <si>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</si>
  <si>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</si>
  <si>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</si>
  <si>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</si>
  <si>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</si>
  <si>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</si>
  <si>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</si>
  <si>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</si>
  <si>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</si>
  <si>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</si>
  <si>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</si>
  <si>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</si>
  <si>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</si>
  <si>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</si>
  <si>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</si>
  <si>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</si>
  <si>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</si>
  <si>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</si>
  <si>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</si>
  <si>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</si>
  <si>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</si>
  <si>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</si>
  <si>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</si>
  <si>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</si>
  <si>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</si>
  <si>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</si>
  <si>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</si>
  <si>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</si>
  <si>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</si>
  <si>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</si>
  <si>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</si>
  <si>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</si>
  <si>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</si>
  <si>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</si>
  <si>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</si>
  <si>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</si>
  <si>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</si>
  <si>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</si>
  <si>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</si>
  <si>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</si>
  <si>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</si>
  <si>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</si>
  <si>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</si>
  <si>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</si>
  <si>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</si>
  <si>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</si>
  <si>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</si>
  <si>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</si>
  <si>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</si>
  <si>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</si>
  <si>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</si>
  <si>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</si>
  <si>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</si>
  <si>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</si>
  <si>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</si>
  <si>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</si>
  <si>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</si>
  <si>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</si>
  <si>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</si>
  <si>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</si>
  <si>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</si>
  <si>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</si>
  <si>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</si>
  <si>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</si>
  <si>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</si>
  <si>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</si>
  <si>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</si>
  <si>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</si>
  <si>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</si>
  <si>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</si>
  <si>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</si>
  <si>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</si>
  <si>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</si>
  <si>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</si>
  <si>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</si>
  <si>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</si>
  <si>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</si>
  <si>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</si>
  <si>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</si>
  <si>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</si>
  <si>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</si>
  <si>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</si>
  <si>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</si>
  <si>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</si>
  <si>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</si>
  <si>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</si>
  <si>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</si>
  <si>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</si>
  <si>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</si>
  <si>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</si>
  <si>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</si>
  <si>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</si>
  <si>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</si>
  <si>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</si>
  <si>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</si>
  <si>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</si>
  <si>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</si>
  <si>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</si>
  <si>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</si>
  <si>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</si>
  <si>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</si>
  <si>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</si>
  <si>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</si>
  <si>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</si>
  <si>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</si>
  <si>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</si>
  <si>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</si>
  <si>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</si>
  <si>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</si>
  <si>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</si>
  <si>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</si>
  <si>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</si>
  <si>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</si>
  <si>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</si>
  <si>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</si>
  <si>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</si>
  <si>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</si>
  <si>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</si>
  <si>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</si>
  <si>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</si>
  <si>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</si>
  <si>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</si>
  <si>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</si>
  <si>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</si>
  <si>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</si>
  <si>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</si>
  <si>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</si>
  <si>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</si>
  <si>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</si>
  <si>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</si>
  <si>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</si>
  <si>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</si>
  <si>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</si>
  <si>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</si>
  <si>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</si>
  <si>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</si>
  <si>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</si>
  <si>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</si>
  <si>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</si>
  <si>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</si>
  <si>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</si>
  <si>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</si>
  <si>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</si>
  <si>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</si>
  <si>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</si>
  <si>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</si>
  <si>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</si>
  <si>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</si>
  <si>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</si>
  <si>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</si>
  <si>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</si>
  <si>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</si>
  <si>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</si>
  <si>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</si>
  <si>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</si>
  <si>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</si>
  <si>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</si>
  <si>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</si>
  <si>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</si>
  <si>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</si>
  <si>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</si>
  <si>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</si>
  <si>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</si>
  <si>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</si>
  <si>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</si>
  <si>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</si>
  <si>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</si>
  <si>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</si>
  <si>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</si>
  <si>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</si>
  <si>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</si>
  <si>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</si>
  <si>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</si>
  <si>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</si>
  <si>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</si>
  <si>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</si>
  <si>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</si>
  <si>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</si>
  <si>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</si>
  <si>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</si>
  <si>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</si>
  <si>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</si>
  <si>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</si>
  <si>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</si>
  <si>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</si>
  <si>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</si>
  <si>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</si>
  <si>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</si>
  <si>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</si>
  <si>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</si>
  <si>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</si>
  <si>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</si>
  <si>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</si>
  <si>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</si>
  <si>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</si>
  <si>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</si>
  <si>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</si>
  <si>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</si>
  <si>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</si>
  <si>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</si>
  <si>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</si>
  <si>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</si>
  <si>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</si>
  <si>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</si>
  <si>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</si>
  <si>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</si>
  <si>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</si>
  <si>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</si>
  <si>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</si>
  <si>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</si>
  <si>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</si>
  <si>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</si>
  <si>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</si>
  <si>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</si>
  <si>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</si>
  <si>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</si>
  <si>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</si>
  <si>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</si>
  <si>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</si>
  <si>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</si>
  <si>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</si>
  <si>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</si>
  <si>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</si>
  <si>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</si>
  <si>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</si>
  <si>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</si>
  <si>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</si>
  <si>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</si>
  <si>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</si>
  <si>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</si>
  <si>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</si>
  <si>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</si>
  <si>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</si>
  <si>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</si>
  <si>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</si>
  <si>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</si>
  <si>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</si>
  <si>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</si>
  <si>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</si>
  <si>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</si>
  <si>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</si>
  <si>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</si>
  <si>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</si>
  <si>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</si>
  <si>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</si>
  <si>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</si>
  <si>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</si>
  <si>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</si>
  <si>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</si>
  <si>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</si>
  <si>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</si>
  <si>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</si>
  <si>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</si>
  <si>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</si>
  <si>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</si>
  <si>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</si>
  <si>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</si>
  <si>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</si>
  <si>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</si>
  <si>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</si>
  <si>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</si>
  <si>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</si>
  <si>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</si>
  <si>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</si>
  <si>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</si>
  <si>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</si>
  <si>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</si>
  <si>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</si>
  <si>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</si>
  <si>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</si>
  <si>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</si>
  <si>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</si>
  <si>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</si>
  <si>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</si>
  <si>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</si>
  <si>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</si>
  <si>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</si>
  <si>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</si>
  <si>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</si>
  <si>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</si>
  <si>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</si>
  <si>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</si>
  <si>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</si>
  <si>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</si>
  <si>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</si>
  <si>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</si>
  <si>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</si>
  <si>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</si>
  <si>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</si>
  <si>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</si>
  <si>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</si>
  <si>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</si>
  <si>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</si>
  <si>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</si>
  <si>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</si>
  <si>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</si>
  <si>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</si>
  <si>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</si>
  <si>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</si>
  <si>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</si>
  <si>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</si>
  <si>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</si>
  <si>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</si>
  <si>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</si>
  <si>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</si>
  <si>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</si>
  <si>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</si>
  <si>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</si>
  <si>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</si>
  <si>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</si>
  <si>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</si>
  <si>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</si>
  <si>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</si>
  <si>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</si>
  <si>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</si>
  <si>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</si>
  <si>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</si>
  <si>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</si>
  <si>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</si>
  <si>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</si>
  <si>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</si>
  <si>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</si>
  <si>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</si>
  <si>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</si>
  <si>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</si>
  <si>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</si>
  <si>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</si>
  <si>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</si>
  <si>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</si>
  <si>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</si>
  <si>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</si>
  <si>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</si>
  <si>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</si>
  <si>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</si>
  <si>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</si>
  <si>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</si>
  <si>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CTED 9th Grade Funding Adjustment</t>
  </si>
  <si>
    <t>CTED Continuation 13th Grade Funding Adjustment</t>
  </si>
  <si>
    <t>Line 12</t>
  </si>
  <si>
    <t>Other Information
Line 4</t>
  </si>
  <si>
    <t>Other Information Line 5</t>
  </si>
  <si>
    <t>Other Information
Line 6</t>
  </si>
  <si>
    <t>Other Information
Line 7</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</si>
  <si>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</si>
  <si>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</si>
  <si>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</si>
  <si>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</si>
  <si>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</si>
  <si>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</si>
  <si>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</si>
  <si>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</si>
  <si>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</si>
  <si>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</si>
  <si>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</si>
  <si>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</si>
  <si>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</si>
  <si>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</si>
  <si>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</si>
  <si>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</si>
  <si>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</si>
  <si>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</si>
  <si>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</si>
  <si>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</si>
  <si>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</si>
  <si>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</si>
  <si>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</si>
  <si>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</si>
  <si>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</si>
  <si>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</si>
  <si>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</si>
  <si>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</si>
  <si>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</si>
  <si>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</si>
  <si>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</si>
  <si>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</si>
  <si>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</si>
  <si>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</si>
  <si>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</si>
  <si>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</si>
  <si>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</si>
  <si>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</si>
  <si>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</si>
  <si>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</si>
  <si>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</si>
  <si>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</si>
  <si>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</si>
  <si>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</si>
  <si>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</si>
  <si>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</si>
  <si>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</si>
  <si>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</si>
  <si>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</si>
  <si>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</si>
  <si>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</si>
  <si>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</si>
  <si>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</si>
  <si>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</si>
  <si>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</si>
  <si>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</si>
  <si>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</si>
  <si>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</si>
  <si>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</si>
  <si>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</si>
  <si>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</si>
  <si>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</si>
  <si>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</si>
  <si>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</si>
  <si>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</si>
  <si>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</si>
  <si>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</si>
  <si>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</si>
  <si>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</si>
  <si>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</si>
  <si>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</si>
  <si>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</si>
  <si>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</si>
  <si>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</si>
  <si>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</si>
  <si>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</si>
  <si>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</si>
  <si>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</si>
  <si>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</si>
  <si>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</si>
  <si>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</si>
  <si>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</si>
  <si>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</si>
  <si>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</si>
  <si>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</si>
  <si>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</si>
  <si>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</si>
  <si>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</si>
  <si>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</si>
  <si>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</si>
  <si>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</si>
  <si>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</si>
  <si>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</si>
  <si>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</si>
  <si>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</si>
  <si>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</si>
  <si>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</si>
  <si>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</si>
  <si>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</si>
  <si>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</si>
  <si>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</si>
  <si>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</si>
  <si>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</si>
  <si>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</si>
  <si>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</si>
  <si>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</si>
  <si>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</si>
  <si>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</si>
  <si>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</si>
  <si>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</si>
  <si>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</si>
  <si>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</si>
  <si>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</si>
  <si>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</si>
  <si>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</si>
  <si>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</si>
  <si>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</si>
  <si>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</si>
  <si>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</si>
  <si>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</si>
  <si>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</si>
  <si>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</si>
  <si>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</si>
  <si>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</si>
  <si>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</si>
  <si>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</si>
  <si>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</si>
  <si>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</si>
  <si>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</si>
  <si>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</si>
  <si>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</si>
  <si>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</si>
  <si>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</si>
  <si>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</si>
  <si>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</si>
  <si>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</si>
  <si>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</si>
  <si>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</si>
  <si>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</si>
  <si>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</si>
  <si>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</si>
  <si>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</si>
  <si>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</si>
  <si>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</si>
  <si>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</si>
  <si>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</si>
  <si>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</si>
  <si>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</si>
  <si>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</si>
  <si>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</si>
  <si>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</si>
  <si>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</si>
  <si>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</si>
  <si>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</si>
  <si>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</si>
  <si>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</si>
  <si>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</si>
  <si>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</si>
  <si>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</si>
  <si>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</si>
  <si>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</si>
  <si>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</si>
  <si>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</si>
  <si>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</si>
  <si>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</si>
  <si>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</si>
  <si>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</si>
  <si>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</si>
  <si>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</si>
  <si>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</si>
  <si>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</si>
  <si>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</si>
  <si>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</si>
  <si>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</si>
  <si>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</si>
  <si>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</si>
  <si>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</si>
  <si>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</si>
  <si>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</si>
  <si>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</si>
  <si>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</si>
  <si>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</si>
  <si>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</si>
  <si>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</si>
  <si>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</si>
  <si>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</si>
  <si>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</si>
  <si>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</si>
  <si>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</si>
  <si>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</si>
  <si>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</si>
  <si>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</si>
  <si>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</si>
  <si>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</si>
  <si>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</si>
  <si>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</si>
  <si>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</si>
  <si>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</si>
  <si>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</si>
  <si>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</si>
  <si>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</si>
  <si>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</si>
  <si>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</si>
  <si>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</si>
  <si>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</si>
  <si>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</si>
  <si>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</si>
  <si>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</si>
  <si>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</si>
  <si>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</si>
  <si>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</si>
  <si>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</si>
  <si>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</si>
  <si>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</si>
  <si>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</si>
  <si>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</si>
  <si>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</si>
  <si>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</si>
  <si>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</si>
  <si>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</si>
  <si>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</si>
  <si>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</si>
  <si>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</si>
  <si>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</si>
  <si>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</si>
  <si>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</si>
  <si>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</si>
  <si>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</si>
  <si>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</si>
  <si>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</si>
  <si>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</si>
  <si>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</si>
  <si>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</si>
  <si>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</si>
  <si>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</si>
  <si>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</si>
  <si>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</si>
  <si>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</si>
  <si>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</si>
  <si>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</si>
  <si>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</si>
  <si>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</si>
  <si>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</si>
  <si>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</si>
  <si>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</si>
  <si>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</si>
  <si>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</si>
  <si>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</si>
  <si>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</si>
  <si>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</si>
  <si>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</si>
  <si>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</si>
  <si>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</si>
  <si>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</si>
  <si>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</si>
  <si>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</si>
  <si>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</si>
  <si>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</si>
  <si>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</si>
  <si>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</si>
  <si>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</si>
  <si>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</si>
  <si>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</si>
  <si>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</si>
  <si>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</si>
  <si>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</si>
  <si>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</si>
  <si>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</si>
  <si>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</si>
  <si>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</si>
  <si>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</si>
  <si>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</si>
  <si>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</si>
  <si>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</si>
  <si>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</si>
  <si>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</si>
  <si>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</si>
  <si>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</si>
  <si>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</si>
  <si>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</si>
  <si>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</si>
  <si>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</si>
  <si>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</si>
  <si>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</si>
  <si>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</si>
  <si>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</si>
  <si>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</si>
  <si>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</si>
  <si>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</si>
  <si>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</si>
  <si>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</si>
  <si>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</si>
  <si>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</si>
  <si>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</si>
  <si>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</si>
  <si>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</si>
  <si>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</si>
  <si>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</si>
  <si>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</si>
  <si>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</si>
  <si>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</si>
  <si>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</si>
  <si>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</si>
  <si>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</si>
  <si>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</si>
  <si>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</si>
  <si>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</si>
  <si>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</si>
  <si>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</si>
  <si>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</si>
  <si>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</si>
  <si>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</si>
  <si>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</si>
  <si>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</si>
  <si>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</si>
  <si>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</si>
  <si>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</si>
  <si>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</si>
  <si>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</si>
  <si>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</si>
  <si>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</si>
  <si>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</si>
  <si>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</si>
  <si>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</si>
  <si>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</si>
  <si>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</si>
  <si>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</si>
  <si>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</si>
  <si>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</si>
  <si>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</si>
  <si>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</si>
  <si>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</si>
  <si>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</si>
  <si>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</si>
  <si>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</si>
  <si>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</si>
  <si>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</si>
  <si>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</si>
  <si>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</si>
  <si>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</si>
  <si>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</si>
  <si>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</si>
  <si>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</si>
  <si>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</si>
  <si>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</si>
  <si>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</si>
  <si>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</si>
  <si>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</si>
  <si>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</si>
  <si>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</si>
  <si>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</si>
  <si>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</si>
  <si>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</si>
  <si>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</si>
  <si>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</si>
  <si>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</si>
  <si>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</si>
  <si>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</si>
  <si>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</si>
  <si>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</si>
  <si>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</si>
  <si>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</si>
  <si>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</si>
  <si>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</si>
  <si>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</si>
  <si>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</si>
  <si>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</si>
  <si>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</si>
  <si>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</si>
  <si>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</si>
  <si>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</si>
  <si>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</si>
  <si>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</si>
  <si>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</si>
  <si>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</si>
  <si>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</si>
  <si>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</si>
  <si>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</si>
  <si>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</si>
  <si>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</si>
  <si>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</si>
  <si>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</si>
  <si>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</si>
  <si>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</si>
  <si>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</si>
  <si>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</si>
  <si>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Calculation of district additional assistance (DAA) per student count amounts (A.R.S. §§15-961, as amended by Laws 2023, Ch. 142, §6; and 15-962.01)</t>
  </si>
  <si>
    <t>District Additional Assistance (DAA) one-time supplement for FY 2025</t>
  </si>
  <si>
    <t>Free or Reduced-Price Lunch (FRPL) one-time supplement for FY 2025</t>
  </si>
  <si>
    <t>Estimated Allocation of Additional Funding (2016 Prop 123 &amp; Laws 2015, 1st S.S., Ch. 1, §6)</t>
  </si>
  <si>
    <t xml:space="preserve">After completing the Data Entry tab, the DAA adjustment amount from BSA55 tab, page 4 will pull to this line, if any.
</t>
  </si>
  <si>
    <t>Free or Reduced-Price Lunch (FRPL) one-time supplement for FY 2025 (leave blank for budget adoption)</t>
  </si>
  <si>
    <t>District Additional Assistance (DAA) one-time supplement for FY 2025 (leave blank for budget adoption)</t>
  </si>
  <si>
    <t>(from BSA55 tab, page 3; includes FRPL and DAA onetime supplements)</t>
  </si>
  <si>
    <t>Federal projects other than Impact Aid (from budget, page 6, Federal Projects, minus 378 (lines 18 and 20)</t>
  </si>
  <si>
    <t>Base Level Amount (A.R.S. §15-901, as amended by Laws 2024, Ch. 218, §10)</t>
  </si>
  <si>
    <t>State Support Level per Route Mile (A.R.S. §15-945, as amended by Laws 2024, Ch. 218, §11)</t>
  </si>
  <si>
    <t>Qualifying Tax Rate for elementary or secondary (CTEDs use 0.05) (A.R.S. §41-1276(I), as amended by Laws 2024, Ch. 218. §16)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</si>
  <si>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</si>
  <si>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</si>
  <si>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</si>
  <si>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</si>
  <si>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 xml:space="preserve">Prescott Unified </t>
  </si>
  <si>
    <t>Yavapai</t>
  </si>
  <si>
    <t>130201000</t>
  </si>
  <si>
    <t>Clark Tenney</t>
  </si>
  <si>
    <t>Brian Moore</t>
  </si>
  <si>
    <t xml:space="preserve">For FY25 teacher average salary, end-of-the-year FTE and teacher contract base amount were used, which includes estimated classroom site fund pay.   Additional revenue sources for teachers, e.g. clubs, coaching, department chair, extra revenue sources for teachers, etc., are not included in the average salaries.  </t>
  </si>
  <si>
    <t>Clark</t>
  </si>
  <si>
    <t>Tenney</t>
  </si>
  <si>
    <t>Sarah</t>
  </si>
  <si>
    <t>Torres</t>
  </si>
  <si>
    <t xml:space="preserve">Brian </t>
  </si>
  <si>
    <t>Moore</t>
  </si>
  <si>
    <t xml:space="preserve">Andy </t>
  </si>
  <si>
    <t>Binder</t>
  </si>
  <si>
    <t>Caldwell</t>
  </si>
  <si>
    <t>Maya</t>
  </si>
  <si>
    <t>Sheryl</t>
  </si>
  <si>
    <t>Blosel</t>
  </si>
  <si>
    <t>Kim</t>
  </si>
  <si>
    <t>Barker</t>
  </si>
  <si>
    <t>Boehle</t>
  </si>
  <si>
    <t>Tiffany</t>
  </si>
  <si>
    <t>Judy</t>
  </si>
  <si>
    <t>Stencel</t>
  </si>
  <si>
    <t>Kayla</t>
  </si>
  <si>
    <t>Rangel</t>
  </si>
  <si>
    <t>Kelsey</t>
  </si>
  <si>
    <t>Secor</t>
  </si>
  <si>
    <t>Michael</t>
  </si>
  <si>
    <t>Napier</t>
  </si>
  <si>
    <t>Shelby</t>
  </si>
  <si>
    <t>Mosser</t>
  </si>
  <si>
    <t>Andy</t>
  </si>
  <si>
    <t>Fraher</t>
  </si>
  <si>
    <t>Kara</t>
  </si>
  <si>
    <t>Woods</t>
  </si>
  <si>
    <t>Jane</t>
  </si>
  <si>
    <t>Robertson</t>
  </si>
  <si>
    <t>Stan</t>
  </si>
  <si>
    <t>Goligoski</t>
  </si>
  <si>
    <t>Linda</t>
  </si>
  <si>
    <t>Conn</t>
  </si>
  <si>
    <t>clark.tenney@prescottschools.com</t>
  </si>
  <si>
    <t>928-445-5400</t>
  </si>
  <si>
    <t>70126</t>
  </si>
  <si>
    <t>sarah.torres@prescottschools.com</t>
  </si>
  <si>
    <t>70104</t>
  </si>
  <si>
    <t>brian.moore@prescottschools.com</t>
  </si>
  <si>
    <t>70103</t>
  </si>
  <si>
    <t>andy.binder@prescottschools.com</t>
  </si>
  <si>
    <t>70118</t>
  </si>
  <si>
    <t>maya.caldwell@prescottschools.com</t>
  </si>
  <si>
    <t>928-717-3236</t>
  </si>
  <si>
    <t>71120</t>
  </si>
  <si>
    <t>sheryl.blosel@prescottschools.com</t>
  </si>
  <si>
    <t>70133</t>
  </si>
  <si>
    <t>kim.barker@prescottschools.com</t>
  </si>
  <si>
    <t>928-717-3229</t>
  </si>
  <si>
    <t>71100</t>
  </si>
  <si>
    <t>tiffany.boehle@prescottschools.com</t>
  </si>
  <si>
    <t>928-445-3233</t>
  </si>
  <si>
    <t>72160</t>
  </si>
  <si>
    <t>judy.stencel@prescottschools.com</t>
  </si>
  <si>
    <t>70130</t>
  </si>
  <si>
    <t>kayla.rangel@prescottschools.com</t>
  </si>
  <si>
    <t>70113</t>
  </si>
  <si>
    <t>kelsey.secor@prescottschools.com</t>
  </si>
  <si>
    <t>70115</t>
  </si>
  <si>
    <t>michael.napier@prescottschools.com</t>
  </si>
  <si>
    <t>70138</t>
  </si>
  <si>
    <t>shelby.mosser@prescottschools.com</t>
  </si>
  <si>
    <t>72115</t>
  </si>
  <si>
    <t>andy.fraher@prescottschools.com</t>
  </si>
  <si>
    <t>kara.woods@prescottschools.com</t>
  </si>
  <si>
    <t>Jane.Robertson@prescottschools.com</t>
  </si>
  <si>
    <t>stan.goligoski@prescottschools.com</t>
  </si>
  <si>
    <t>linda.conn@prescottschools.com</t>
  </si>
  <si>
    <t>Intouch Receipting</t>
  </si>
  <si>
    <t>www.prescottschools.com</t>
  </si>
  <si>
    <t>Prescott Unified School District</t>
  </si>
  <si>
    <t>Other __533, 855________________________________</t>
  </si>
  <si>
    <t>9___   _900___________________</t>
  </si>
  <si>
    <t>FY24 Ending Fund Balance will be used first in FY25.</t>
  </si>
  <si>
    <t>Adopted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</si>
</sst>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quot;$&quot;#,##0.00"/>
    <numFmt numFmtId="182" formatCode="###\-###\-####"/>
    <numFmt numFmtId="183" formatCode="0.0000_);[Red]\(0.0000\)"/>
    <numFmt numFmtId="184" formatCode="_(* #,##0_);_(* \(#,##0\);_(* &quot;-&quot;??_);_(@_)"/>
    <numFmt numFmtId="185" formatCode="_(&quot;$&quot;* #,##0.00_);_(&quot;$&quot;* \(#,##0.00\);_(&quot;$&quot;* &quot;-&quot;?????_);_(@_)"/>
    <numFmt numFmtId="186" formatCode="_(* #,##0.000000_);_(* \(#,##0.000000\);_(* &quot;-&quot;??_);_(@_)"/>
    <numFmt numFmtId="187" formatCode="0.0000000000%"/>
    <numFmt numFmtId="188" formatCode="#,##0.0000000000_);\(#,##0.0000000000\)"/>
    <numFmt numFmtId="189" formatCode="0.0000_);\(0.0000\)"/>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
      <sz val="11"/>
      <color rgb="FF0A0101"/>
      <name val="Times New Roman"/>
      <family val="1"/>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09">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top style="thin">
        <color auto="1"/>
      </top>
      <bottom style="thin">
        <color theme="1"/>
      </bottom>
      <diagonal/>
    </border>
    <border>
      <left/>
      <right style="thin">
        <color auto="1"/>
      </right>
      <top style="thin">
        <color auto="1"/>
      </top>
      <bottom style="thin">
        <color theme="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top style="double">
        <color indexed="8"/>
      </top>
      <bottom style="double">
        <color indexed="8"/>
      </bottom>
      <diagonal/>
    </border>
    <border>
      <left/>
      <right style="thin">
        <color indexed="8"/>
      </right>
      <top style="double">
        <color indexed="8"/>
      </top>
      <bottom style="double">
        <color indexed="8"/>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6"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07">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5"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9" xfId="0" applyNumberFormat="1" applyFont="1" applyBorder="1" applyAlignment="1" applyProtection="1">
      <alignment horizontal="right"/>
      <protection locked="0"/>
    </xf>
    <xf numFmtId="37" fontId="3" fillId="0" borderId="12" xfId="0" applyNumberFormat="1" applyFont="1" applyBorder="1" applyProtection="1">
      <protection locked="0"/>
    </xf>
    <xf numFmtId="37" fontId="7" fillId="0" borderId="7" xfId="2" applyNumberFormat="1" applyFont="1" applyBorder="1" applyProtection="1">
      <protection locked="0"/>
    </xf>
    <xf numFmtId="49" fontId="3" fillId="0" borderId="4" xfId="0" applyNumberFormat="1" applyFont="1" applyBorder="1" applyAlignment="1" applyProtection="1">
      <alignment horizontal="center"/>
      <protection locked="0"/>
    </xf>
    <xf numFmtId="42" fontId="7" fillId="0" borderId="7" xfId="2" applyNumberFormat="1" applyFont="1" applyBorder="1" applyProtection="1">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37" fontId="5" fillId="0" borderId="13"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2"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3" xfId="0"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2"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1"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4"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4" fillId="4" borderId="0" xfId="11" applyNumberFormat="1" applyFont="1" applyFill="1" applyAlignment="1">
      <alignment horizontal="right"/>
    </xf>
    <xf numFmtId="3" fontId="7" fillId="0" borderId="0" xfId="11" applyNumberFormat="1" applyFont="1" applyAlignment="1">
      <alignment horizontal="right"/>
    </xf>
    <xf numFmtId="3" fontId="104"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9" fontId="5" fillId="0" borderId="46" xfId="1" applyFont="1" applyFill="1" applyBorder="1" applyProtection="1"/>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2"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6" xfId="0" applyNumberFormat="1" applyFont="1" applyBorder="1"/>
    <xf numFmtId="49" fontId="7" fillId="0" borderId="74" xfId="0" applyNumberFormat="1" applyFont="1" applyBorder="1"/>
    <xf numFmtId="49" fontId="7" fillId="0" borderId="77" xfId="0" applyNumberFormat="1" applyFont="1" applyBorder="1"/>
    <xf numFmtId="178" fontId="7" fillId="0" borderId="78"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89" fontId="7" fillId="0" borderId="45" xfId="0" applyNumberFormat="1" applyFont="1" applyBorder="1" applyAlignment="1">
      <alignment horizontal="right"/>
    </xf>
    <xf numFmtId="189" fontId="7" fillId="0" borderId="19" xfId="0" applyNumberFormat="1" applyFont="1" applyBorder="1" applyAlignment="1">
      <alignment horizontal="right"/>
    </xf>
    <xf numFmtId="189" fontId="7" fillId="0" borderId="19" xfId="0" applyNumberFormat="1" applyFont="1" applyBorder="1"/>
    <xf numFmtId="169" fontId="7" fillId="0" borderId="0" xfId="0" applyNumberFormat="1" applyFont="1"/>
    <xf numFmtId="189" fontId="7" fillId="0" borderId="11" xfId="0" applyNumberFormat="1" applyFont="1" applyBorder="1" applyAlignment="1">
      <alignment horizontal="right"/>
    </xf>
    <xf numFmtId="189"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79" xfId="0" applyNumberFormat="1" applyFont="1" applyBorder="1" applyAlignment="1">
      <alignment horizontal="right"/>
    </xf>
    <xf numFmtId="174" fontId="7" fillId="0" borderId="78"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0" xfId="0" applyFont="1" applyFill="1" applyBorder="1"/>
    <xf numFmtId="0" fontId="7" fillId="10" borderId="0" xfId="0" applyFont="1" applyFill="1"/>
    <xf numFmtId="0" fontId="7" fillId="0" borderId="76" xfId="0" applyFont="1" applyBorder="1"/>
    <xf numFmtId="0" fontId="7" fillId="0" borderId="74" xfId="0" applyFont="1" applyBorder="1"/>
    <xf numFmtId="0" fontId="7" fillId="10" borderId="76" xfId="0" applyFont="1" applyFill="1" applyBorder="1"/>
    <xf numFmtId="0" fontId="7" fillId="10" borderId="74" xfId="0" applyFont="1" applyFill="1" applyBorder="1"/>
    <xf numFmtId="169" fontId="7" fillId="0" borderId="78"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1" xfId="0" applyFont="1" applyBorder="1" applyAlignment="1">
      <alignment horizontal="right"/>
    </xf>
    <xf numFmtId="39" fontId="7" fillId="0" borderId="82"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8"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4" xfId="0" applyFont="1" applyBorder="1"/>
    <xf numFmtId="0" fontId="5" fillId="0" borderId="74" xfId="0" applyFont="1" applyBorder="1" applyAlignment="1">
      <alignment horizontal="right"/>
    </xf>
    <xf numFmtId="0" fontId="5" fillId="0" borderId="74" xfId="0" applyFont="1" applyBorder="1"/>
    <xf numFmtId="0" fontId="14" fillId="0" borderId="74"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4" xfId="0" applyFont="1" applyBorder="1"/>
    <xf numFmtId="175" fontId="7" fillId="0" borderId="74" xfId="0" applyNumberFormat="1" applyFont="1" applyBorder="1" applyAlignment="1">
      <alignment horizontal="right"/>
    </xf>
    <xf numFmtId="175" fontId="9" fillId="0" borderId="74" xfId="0" applyNumberFormat="1" applyFont="1" applyBorder="1" applyAlignment="1">
      <alignment horizontal="right"/>
    </xf>
    <xf numFmtId="0" fontId="71" fillId="0" borderId="74"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4" xfId="0" applyFont="1" applyBorder="1" applyAlignment="1">
      <alignment vertical="top" wrapText="1"/>
    </xf>
    <xf numFmtId="0" fontId="5" fillId="0" borderId="74" xfId="0" applyFont="1" applyBorder="1" applyAlignment="1">
      <alignment horizontal="center" vertical="top" wrapText="1"/>
    </xf>
    <xf numFmtId="174" fontId="5" fillId="0" borderId="74" xfId="0" applyNumberFormat="1" applyFont="1" applyBorder="1" applyAlignment="1">
      <alignment horizontal="right" wrapText="1"/>
    </xf>
    <xf numFmtId="174" fontId="5" fillId="0" borderId="74" xfId="0" applyNumberFormat="1" applyFont="1" applyBorder="1" applyAlignment="1">
      <alignment horizontal="right" vertical="top" wrapText="1"/>
    </xf>
    <xf numFmtId="0" fontId="7" fillId="0" borderId="74" xfId="0" applyFont="1" applyBorder="1" applyAlignment="1">
      <alignment vertical="top" wrapText="1"/>
    </xf>
    <xf numFmtId="0" fontId="61" fillId="0" borderId="74" xfId="0" applyFont="1" applyBorder="1"/>
    <xf numFmtId="0" fontId="61" fillId="0" borderId="0" xfId="0" applyFont="1" applyBorder="1"/>
    <xf numFmtId="0" fontId="78" fillId="0" borderId="0" xfId="0" applyFont="1" applyBorder="1"/>
    <xf numFmtId="0" fontId="62" fillId="0" borderId="0" xfId="0" applyFont="1"/>
    <xf numFmtId="186"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1" fontId="14" fillId="0" borderId="74" xfId="2" applyNumberFormat="1" applyFont="1" applyFill="1" applyBorder="1" applyAlignment="1" applyProtection="1">
      <alignment horizontal="right"/>
    </xf>
    <xf numFmtId="43" fontId="7" fillId="0" borderId="0" xfId="0" applyNumberFormat="1" applyFont="1"/>
    <xf numFmtId="181" fontId="14" fillId="0" borderId="0" xfId="0" applyNumberFormat="1" applyFont="1" applyAlignment="1">
      <alignment horizontal="right"/>
    </xf>
    <xf numFmtId="174" fontId="14" fillId="0" borderId="74"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5"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1" fontId="14" fillId="0" borderId="0" xfId="0" applyNumberFormat="1" applyFont="1" applyAlignment="1">
      <alignment horizontal="center"/>
    </xf>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1"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3"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4"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4" xfId="0" applyFont="1" applyBorder="1" applyAlignment="1">
      <alignment horizontal="right"/>
    </xf>
    <xf numFmtId="181" fontId="5" fillId="0" borderId="0" xfId="2" applyNumberFormat="1" applyFont="1" applyAlignment="1" applyProtection="1">
      <alignment horizontal="right" wrapText="1"/>
    </xf>
    <xf numFmtId="39" fontId="5" fillId="0" borderId="84" xfId="0" applyNumberFormat="1" applyFont="1" applyBorder="1" applyAlignment="1">
      <alignment horizontal="right" wrapText="1"/>
    </xf>
    <xf numFmtId="181" fontId="5" fillId="0" borderId="74" xfId="2" applyNumberFormat="1" applyFont="1" applyBorder="1" applyAlignment="1" applyProtection="1">
      <alignment horizontal="right" wrapText="1"/>
    </xf>
    <xf numFmtId="174" fontId="5" fillId="0" borderId="84"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4" xfId="0" applyNumberFormat="1" applyFont="1" applyBorder="1" applyAlignment="1">
      <alignment horizontal="right" wrapText="1"/>
    </xf>
    <xf numFmtId="0" fontId="93" fillId="0" borderId="74" xfId="0" applyFont="1" applyBorder="1"/>
    <xf numFmtId="181" fontId="5" fillId="0" borderId="84" xfId="2" applyNumberFormat="1" applyFont="1" applyBorder="1" applyAlignment="1" applyProtection="1">
      <alignment horizontal="right" wrapText="1"/>
    </xf>
    <xf numFmtId="0" fontId="5" fillId="0" borderId="75" xfId="0" applyFont="1" applyBorder="1" applyAlignment="1">
      <alignment horizontal="right" wrapText="1"/>
    </xf>
    <xf numFmtId="0" fontId="59" fillId="6" borderId="0" xfId="8" applyFont="1" applyFill="1" applyAlignment="1" applyProtection="1">
      <alignment horizontal="left" vertical="center"/>
    </xf>
    <xf numFmtId="39" fontId="5" fillId="0" borderId="75" xfId="0" applyNumberFormat="1" applyFont="1" applyBorder="1" applyAlignment="1">
      <alignment horizontal="right" wrapText="1"/>
    </xf>
    <xf numFmtId="0" fontId="5" fillId="0" borderId="0" xfId="0" applyFont="1" applyAlignment="1">
      <alignment horizontal="left" vertical="center"/>
    </xf>
    <xf numFmtId="0" fontId="14" fillId="12" borderId="85" xfId="0" applyFont="1" applyFill="1" applyBorder="1" applyAlignment="1">
      <alignment horizontal="left"/>
    </xf>
    <xf numFmtId="0" fontId="14" fillId="12" borderId="86" xfId="0" applyFont="1" applyFill="1" applyBorder="1" applyAlignment="1">
      <alignment horizontal="left"/>
    </xf>
    <xf numFmtId="181" fontId="14" fillId="12" borderId="86" xfId="2" applyNumberFormat="1" applyFont="1" applyFill="1" applyBorder="1" applyAlignment="1" applyProtection="1">
      <alignment horizontal="right"/>
    </xf>
    <xf numFmtId="0" fontId="5" fillId="0" borderId="84" xfId="0" applyFont="1" applyBorder="1" applyAlignment="1">
      <alignment horizontal="right" wrapText="1"/>
    </xf>
    <xf numFmtId="7" fontId="5" fillId="0" borderId="0" xfId="0" applyNumberFormat="1" applyFont="1" applyAlignment="1">
      <alignment horizontal="right"/>
    </xf>
    <xf numFmtId="7" fontId="5" fillId="0" borderId="84" xfId="0" applyNumberFormat="1" applyFont="1" applyBorder="1" applyAlignment="1">
      <alignment horizontal="right" wrapText="1"/>
    </xf>
    <xf numFmtId="0" fontId="5" fillId="0" borderId="72" xfId="0" applyFont="1" applyBorder="1"/>
    <xf numFmtId="0" fontId="78" fillId="0" borderId="74" xfId="0" applyFont="1" applyBorder="1"/>
    <xf numFmtId="37" fontId="5" fillId="0" borderId="75" xfId="0" applyNumberFormat="1" applyFont="1" applyBorder="1" applyAlignment="1">
      <alignment horizontal="right"/>
    </xf>
    <xf numFmtId="0" fontId="5" fillId="0" borderId="71" xfId="0" applyFont="1" applyBorder="1" applyAlignment="1">
      <alignment horizontal="right"/>
    </xf>
    <xf numFmtId="181" fontId="5" fillId="0" borderId="84" xfId="0" applyNumberFormat="1" applyFont="1" applyBorder="1" applyAlignment="1">
      <alignment horizontal="right"/>
    </xf>
    <xf numFmtId="0" fontId="28" fillId="0" borderId="0" xfId="0" applyFont="1"/>
    <xf numFmtId="181" fontId="5" fillId="0" borderId="0" xfId="0" applyNumberFormat="1" applyFont="1" applyAlignment="1">
      <alignment horizontal="right"/>
    </xf>
    <xf numFmtId="181" fontId="5" fillId="0" borderId="74" xfId="0" applyNumberFormat="1" applyFont="1" applyBorder="1" applyAlignment="1">
      <alignment horizontal="right"/>
    </xf>
    <xf numFmtId="181" fontId="5" fillId="0" borderId="85" xfId="0" applyNumberFormat="1" applyFont="1" applyBorder="1" applyAlignment="1">
      <alignment horizontal="right"/>
    </xf>
    <xf numFmtId="181"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1" fontId="5" fillId="0" borderId="74" xfId="2" applyNumberFormat="1" applyFont="1" applyFill="1" applyBorder="1" applyAlignment="1" applyProtection="1">
      <alignment horizontal="right"/>
    </xf>
    <xf numFmtId="181" fontId="5" fillId="0" borderId="74"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4" xfId="0" applyFont="1" applyBorder="1" applyAlignment="1">
      <alignment horizontal="right"/>
    </xf>
    <xf numFmtId="181" fontId="5" fillId="0" borderId="0" xfId="2" applyNumberFormat="1" applyFont="1" applyBorder="1" applyAlignment="1" applyProtection="1">
      <alignment horizontal="right"/>
    </xf>
    <xf numFmtId="2" fontId="5" fillId="0" borderId="0" xfId="0" applyNumberFormat="1" applyFont="1" applyBorder="1"/>
    <xf numFmtId="181" fontId="14" fillId="0" borderId="0" xfId="2" applyNumberFormat="1" applyFont="1" applyAlignment="1" applyProtection="1">
      <alignment horizontal="right"/>
    </xf>
    <xf numFmtId="0" fontId="50" fillId="0" borderId="0" xfId="0" applyFont="1" applyAlignment="1">
      <alignment vertical="top"/>
    </xf>
    <xf numFmtId="174" fontId="5" fillId="0" borderId="74" xfId="0" applyNumberFormat="1" applyFont="1" applyBorder="1" applyAlignment="1">
      <alignment horizontal="right"/>
    </xf>
    <xf numFmtId="188" fontId="5" fillId="0" borderId="74" xfId="0" applyNumberFormat="1" applyFont="1" applyBorder="1" applyAlignment="1">
      <alignment horizontal="right"/>
    </xf>
    <xf numFmtId="0" fontId="5" fillId="0" borderId="0" xfId="0" applyFont="1" applyAlignment="1">
      <alignment vertical="center" wrapText="1"/>
    </xf>
    <xf numFmtId="0" fontId="14" fillId="0" borderId="74" xfId="0" applyFont="1" applyBorder="1" applyAlignment="1">
      <alignment vertical="center"/>
    </xf>
    <xf numFmtId="181" fontId="5" fillId="0" borderId="0" xfId="2" applyNumberFormat="1" applyFont="1" applyFill="1" applyBorder="1" applyAlignment="1" applyProtection="1">
      <alignment horizontal="right"/>
    </xf>
    <xf numFmtId="181" fontId="93" fillId="0" borderId="0" xfId="0" applyNumberFormat="1" applyFont="1" applyAlignment="1">
      <alignment horizontal="right"/>
    </xf>
    <xf numFmtId="0" fontId="14" fillId="0" borderId="74" xfId="0" applyFont="1" applyBorder="1" applyAlignment="1">
      <alignment horizontal="center"/>
    </xf>
    <xf numFmtId="181" fontId="5" fillId="0" borderId="0" xfId="0" applyNumberFormat="1" applyFont="1"/>
    <xf numFmtId="181" fontId="74" fillId="0" borderId="0" xfId="0" applyNumberFormat="1" applyFont="1" applyAlignment="1">
      <alignment horizontal="right"/>
    </xf>
    <xf numFmtId="181" fontId="14" fillId="0" borderId="74" xfId="2" applyNumberFormat="1" applyFont="1" applyBorder="1" applyAlignment="1" applyProtection="1">
      <alignment horizontal="right"/>
    </xf>
    <xf numFmtId="0" fontId="61" fillId="4" borderId="0" xfId="0" applyFont="1" applyFill="1"/>
    <xf numFmtId="0" fontId="58" fillId="0" borderId="0" xfId="0" applyFont="1"/>
    <xf numFmtId="0" fontId="14" fillId="0" borderId="74" xfId="0" applyFont="1" applyBorder="1"/>
    <xf numFmtId="187"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1" fontId="5" fillId="0" borderId="0" xfId="2" applyNumberFormat="1" applyFont="1" applyFill="1" applyProtection="1"/>
    <xf numFmtId="175" fontId="5" fillId="0" borderId="74" xfId="0" applyNumberFormat="1" applyFont="1" applyBorder="1" applyAlignment="1">
      <alignment horizontal="right"/>
    </xf>
    <xf numFmtId="181" fontId="14" fillId="0" borderId="74"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0" fontId="26" fillId="0" borderId="11" xfId="8" applyBorder="1">
      <protection locked="0"/>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7"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8" xfId="0" applyNumberFormat="1" applyFont="1" applyBorder="1" applyAlignment="1">
      <alignment vertical="top"/>
    </xf>
    <xf numFmtId="38" fontId="23" fillId="0" borderId="88" xfId="0" applyNumberFormat="1" applyFont="1" applyBorder="1" applyProtection="1">
      <protection locked="0"/>
    </xf>
    <xf numFmtId="37" fontId="7" fillId="7" borderId="89" xfId="0" applyNumberFormat="1" applyFont="1" applyFill="1" applyBorder="1"/>
    <xf numFmtId="37" fontId="7" fillId="7" borderId="17" xfId="0" applyNumberFormat="1" applyFont="1" applyFill="1" applyBorder="1"/>
    <xf numFmtId="0" fontId="0" fillId="7" borderId="90"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1" xfId="0" applyNumberFormat="1" applyFont="1" applyBorder="1" applyAlignment="1">
      <alignment horizontal="right"/>
    </xf>
    <xf numFmtId="37" fontId="11" fillId="0" borderId="92"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3"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3"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3"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4" xfId="0" applyNumberFormat="1" applyFont="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3" xfId="0" applyFont="1" applyBorder="1" applyAlignment="1">
      <alignment horizontal="left"/>
    </xf>
    <xf numFmtId="0" fontId="14" fillId="18" borderId="95"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8" fontId="5" fillId="0" borderId="0" xfId="0" applyNumberFormat="1" applyFont="1" applyBorder="1" applyAlignment="1">
      <alignment horizontal="right"/>
    </xf>
    <xf numFmtId="0" fontId="65" fillId="0" borderId="0" xfId="22" applyFont="1"/>
    <xf numFmtId="37" fontId="96"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6" fillId="0" borderId="11" xfId="12" applyFont="1" applyFill="1" applyBorder="1" applyAlignment="1">
      <alignment wrapText="1"/>
    </xf>
    <xf numFmtId="177" fontId="96" fillId="0" borderId="11" xfId="12" applyFont="1" applyFill="1" applyBorder="1" applyAlignment="1">
      <alignment horizontal="center" wrapText="1"/>
    </xf>
    <xf numFmtId="177" fontId="111" fillId="0" borderId="0" xfId="12" applyFont="1" applyFill="1" applyAlignment="1">
      <alignment horizontal="center"/>
    </xf>
    <xf numFmtId="177" fontId="8" fillId="0" borderId="0" xfId="12" quotePrefix="1" applyFont="1" applyFill="1" applyAlignment="1">
      <alignment horizontal="center"/>
    </xf>
    <xf numFmtId="177" fontId="96" fillId="0" borderId="22" xfId="12" applyFont="1" applyFill="1" applyBorder="1" applyAlignment="1">
      <alignment wrapText="1"/>
    </xf>
    <xf numFmtId="177" fontId="96" fillId="0" borderId="0" xfId="12" applyFont="1" applyFill="1" applyAlignment="1">
      <alignment wrapText="1"/>
    </xf>
    <xf numFmtId="177" fontId="109"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6" fillId="0" borderId="0" xfId="12" applyFont="1" applyFill="1" applyAlignment="1">
      <alignment horizontal="center" vertical="top" wrapText="1"/>
    </xf>
    <xf numFmtId="177" fontId="112"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6"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174" fontId="64" fillId="9" borderId="24" xfId="0" applyNumberFormat="1" applyFont="1" applyFill="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8"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7" fillId="0" borderId="11" xfId="0" applyFont="1" applyBorder="1" applyAlignment="1">
      <alignment horizontal="left" vertical="top" wrapText="1"/>
    </xf>
    <xf numFmtId="0" fontId="113" fillId="9" borderId="11" xfId="0" applyFont="1" applyFill="1" applyBorder="1" applyAlignment="1">
      <alignment vertical="top" wrapText="1"/>
    </xf>
    <xf numFmtId="0" fontId="113" fillId="9" borderId="11" xfId="0" applyFont="1" applyFill="1" applyBorder="1" applyAlignment="1">
      <alignment horizontal="center" vertical="top" wrapText="1"/>
    </xf>
    <xf numFmtId="0" fontId="113"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3" fillId="0" borderId="11" xfId="0" applyFont="1" applyBorder="1" applyAlignment="1">
      <alignment horizontal="center" vertical="top" wrapText="1"/>
    </xf>
    <xf numFmtId="0" fontId="64" fillId="0" borderId="0" xfId="0" quotePrefix="1" applyFont="1" applyAlignment="1">
      <alignment horizontal="left" vertical="top"/>
    </xf>
    <xf numFmtId="0" fontId="107" fillId="0" borderId="11" xfId="0" applyFont="1" applyBorder="1" applyAlignment="1">
      <alignment vertical="top" wrapText="1"/>
    </xf>
    <xf numFmtId="0" fontId="113" fillId="9" borderId="7" xfId="0" applyFont="1" applyFill="1" applyBorder="1" applyAlignment="1">
      <alignment vertical="top" wrapText="1"/>
    </xf>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8"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3" fillId="0" borderId="7" xfId="0" applyFont="1" applyBorder="1" applyAlignment="1">
      <alignment horizontal="justify" vertical="top" wrapText="1"/>
    </xf>
    <xf numFmtId="0" fontId="7" fillId="9" borderId="71" xfId="0" applyFont="1" applyFill="1" applyBorder="1"/>
    <xf numFmtId="0" fontId="7" fillId="9" borderId="84" xfId="0" applyFont="1" applyFill="1" applyBorder="1"/>
    <xf numFmtId="0" fontId="7" fillId="9" borderId="0" xfId="0" applyFont="1" applyFill="1" applyBorder="1"/>
    <xf numFmtId="2" fontId="7" fillId="9" borderId="0" xfId="0" applyNumberFormat="1" applyFont="1" applyFill="1" applyBorder="1" applyAlignment="1">
      <alignment horizontal="right"/>
    </xf>
    <xf numFmtId="2" fontId="7" fillId="9" borderId="84" xfId="0" applyNumberFormat="1" applyFont="1" applyFill="1" applyBorder="1" applyAlignment="1">
      <alignment horizontal="right"/>
    </xf>
    <xf numFmtId="0" fontId="7" fillId="9" borderId="85" xfId="0" applyFont="1" applyFill="1" applyBorder="1"/>
    <xf numFmtId="43" fontId="7" fillId="20" borderId="24" xfId="4" applyFont="1" applyFill="1" applyBorder="1" applyProtection="1"/>
    <xf numFmtId="39" fontId="7" fillId="20" borderId="24" xfId="0" applyNumberFormat="1" applyFont="1" applyFill="1" applyBorder="1"/>
    <xf numFmtId="0" fontId="6" fillId="9" borderId="83" xfId="0" applyFont="1" applyFill="1" applyBorder="1"/>
    <xf numFmtId="0" fontId="38" fillId="20" borderId="11" xfId="8" applyFont="1" applyFill="1" applyBorder="1" applyAlignment="1" applyProtection="1">
      <alignment horizontal="justify" vertical="top" wrapText="1"/>
    </xf>
    <xf numFmtId="0" fontId="38" fillId="20" borderId="11" xfId="0" applyFont="1" applyFill="1" applyBorder="1" applyAlignment="1">
      <alignment vertical="top" wrapText="1"/>
    </xf>
    <xf numFmtId="37" fontId="7" fillId="0" borderId="0" xfId="0" applyNumberFormat="1" applyFont="1" applyBorder="1" applyAlignment="1">
      <alignment vertical="top" wrapText="1"/>
    </xf>
    <xf numFmtId="0" fontId="7" fillId="0" borderId="0" xfId="21" applyFont="1" applyFill="1" applyAlignment="1">
      <alignment horizontal="left"/>
    </xf>
    <xf numFmtId="7" fontId="7" fillId="15" borderId="19" xfId="0" applyNumberFormat="1" applyFont="1" applyFill="1" applyBorder="1" applyProtection="1">
      <protection locked="0"/>
    </xf>
    <xf numFmtId="0" fontId="37" fillId="19" borderId="0" xfId="8" applyFont="1" applyFill="1">
      <protection locked="0"/>
    </xf>
    <xf numFmtId="37" fontId="5" fillId="0" borderId="51" xfId="4" applyNumberFormat="1" applyFont="1" applyBorder="1" applyAlignment="1" applyProtection="1">
      <alignment horizontal="right"/>
    </xf>
    <xf numFmtId="37" fontId="7" fillId="0" borderId="7" xfId="4" applyNumberFormat="1" applyFont="1" applyBorder="1" applyAlignment="1" applyProtection="1">
      <alignment horizontal="right" vertical="top"/>
      <protection locked="0"/>
    </xf>
    <xf numFmtId="3" fontId="11" fillId="0" borderId="6" xfId="0" applyNumberFormat="1" applyFont="1" applyBorder="1" applyProtection="1">
      <protection locked="0"/>
    </xf>
    <xf numFmtId="3" fontId="11" fillId="0" borderId="34" xfId="0" applyNumberFormat="1" applyFont="1" applyBorder="1" applyAlignment="1">
      <alignment horizontal="right"/>
    </xf>
    <xf numFmtId="49" fontId="30" fillId="0" borderId="0" xfId="8" quotePrefix="1" applyNumberFormat="1" applyFont="1" applyFill="1" applyAlignment="1" applyProtection="1">
      <alignment horizontal="right"/>
    </xf>
    <xf numFmtId="49" fontId="35" fillId="6" borderId="0" xfId="8" quotePrefix="1" applyNumberFormat="1" applyFont="1" applyFill="1" applyProtection="1"/>
    <xf numFmtId="0" fontId="26" fillId="0" borderId="11" xfId="8" applyFill="1" applyBorder="1" applyProtection="1">
      <protection locked="0"/>
    </xf>
    <xf numFmtId="0" fontId="4" fillId="0" borderId="11" xfId="8" applyFont="1" applyBorder="1" applyProtection="1">
      <protection locked="0"/>
    </xf>
    <xf numFmtId="0" fontId="26" fillId="0" borderId="11" xfId="8" applyBorder="1" applyProtection="1">
      <protection locked="0"/>
    </xf>
    <xf numFmtId="1" fontId="3" fillId="0" borderId="0" xfId="0" applyNumberFormat="1" applyFont="1" applyAlignment="1" applyProtection="1">
      <alignment horizontal="right"/>
      <protection locked="0"/>
    </xf>
    <xf numFmtId="1" fontId="62" fillId="0" borderId="21" xfId="4" applyNumberFormat="1" applyFont="1" applyFill="1" applyBorder="1" applyAlignment="1" applyProtection="1">
      <alignment horizontal="right" wrapText="1"/>
      <protection locked="0"/>
    </xf>
    <xf numFmtId="1" fontId="5" fillId="0" borderId="30" xfId="4" applyNumberFormat="1" applyFont="1" applyBorder="1" applyAlignment="1" applyProtection="1">
      <alignment horizontal="right"/>
      <protection locked="0"/>
    </xf>
    <xf numFmtId="167" fontId="13" fillId="0" borderId="40" xfId="15" applyNumberFormat="1" applyFont="1" applyFill="1" applyBorder="1" applyAlignment="1" applyProtection="1">
      <alignment horizontal="right"/>
      <protection locked="0"/>
    </xf>
    <xf numFmtId="37" fontId="11" fillId="0" borderId="6" xfId="0" applyNumberFormat="1" applyFont="1" applyBorder="1" applyProtection="1">
      <protection locked="0"/>
    </xf>
    <xf numFmtId="37" fontId="11" fillId="0" borderId="3" xfId="0" applyNumberFormat="1" applyFont="1" applyBorder="1" applyProtection="1">
      <protection locked="0"/>
    </xf>
    <xf numFmtId="37" fontId="11" fillId="0" borderId="17" xfId="0" applyNumberFormat="1" applyFont="1" applyBorder="1" applyProtection="1">
      <protection locked="0"/>
    </xf>
    <xf numFmtId="37" fontId="3" fillId="0" borderId="25" xfId="12" applyNumberFormat="1" applyFont="1" applyFill="1" applyBorder="1" applyProtection="1">
      <protection locked="0"/>
    </xf>
    <xf numFmtId="37" fontId="3" fillId="0" borderId="19" xfId="12" applyNumberFormat="1" applyFont="1" applyFill="1" applyBorder="1" applyProtection="1">
      <protection locked="0"/>
    </xf>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53" xfId="0" applyFont="1" applyBorder="1" applyProtection="1">
      <protection locked="0"/>
    </xf>
    <xf numFmtId="0" fontId="7" fillId="0" borderId="41" xfId="0" applyFont="1" applyBorder="1" applyAlignment="1" applyProtection="1">
      <alignment horizontal="left" vertical="top" wrapText="1"/>
      <protection locked="0"/>
    </xf>
    <xf numFmtId="0" fontId="7" fillId="0" borderId="22" xfId="0" applyFont="1" applyBorder="1" applyAlignment="1" applyProtection="1">
      <alignment horizontal="left" vertical="top" wrapText="1"/>
      <protection locked="0"/>
    </xf>
    <xf numFmtId="0" fontId="7" fillId="0" borderId="42" xfId="0" applyFont="1" applyBorder="1" applyAlignment="1" applyProtection="1">
      <alignment horizontal="left" vertical="top" wrapText="1"/>
      <protection locked="0"/>
    </xf>
    <xf numFmtId="0" fontId="7" fillId="0" borderId="35" xfId="0"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43" xfId="0" applyFont="1" applyBorder="1" applyAlignment="1" applyProtection="1">
      <alignment horizontal="left" vertical="top" wrapText="1"/>
      <protection locked="0"/>
    </xf>
    <xf numFmtId="0" fontId="7" fillId="0" borderId="45"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30" xfId="0" applyFont="1" applyBorder="1" applyAlignment="1" applyProtection="1">
      <alignment horizontal="left" vertical="top" wrapText="1"/>
      <protection locked="0"/>
    </xf>
    <xf numFmtId="0" fontId="7" fillId="0" borderId="1" xfId="0" applyFont="1" applyBorder="1" applyAlignment="1">
      <alignment horizontal="center" vertical="top"/>
    </xf>
    <xf numFmtId="0" fontId="7" fillId="0" borderId="37" xfId="0" applyFont="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center"/>
    </xf>
    <xf numFmtId="49" fontId="7" fillId="0" borderId="4" xfId="0" applyNumberFormat="1" applyFont="1" applyBorder="1" applyAlignment="1" applyProtection="1">
      <alignment horizontal="center"/>
      <protection locked="0"/>
    </xf>
    <xf numFmtId="0" fontId="30" fillId="0" borderId="4" xfId="8" applyFont="1" applyBorder="1" applyAlignment="1" applyProtection="1">
      <alignment horizontal="center"/>
      <protection locked="0"/>
    </xf>
    <xf numFmtId="0" fontId="7" fillId="0" borderId="1" xfId="0" applyFont="1" applyBorder="1" applyAlignment="1">
      <alignment horizontal="center"/>
    </xf>
    <xf numFmtId="176" fontId="7" fillId="0" borderId="37" xfId="0" applyNumberFormat="1" applyFont="1" applyBorder="1" applyAlignment="1" applyProtection="1">
      <alignment horizontal="center"/>
      <protection locked="0"/>
    </xf>
    <xf numFmtId="0" fontId="7" fillId="0" borderId="96" xfId="0" applyFont="1" applyBorder="1" applyAlignment="1">
      <alignment horizontal="center" vertical="center"/>
    </xf>
    <xf numFmtId="49" fontId="3" fillId="0" borderId="4" xfId="0" applyNumberFormat="1" applyFont="1" applyBorder="1" applyAlignment="1" applyProtection="1">
      <alignment horizontal="left"/>
      <protection locked="0"/>
    </xf>
    <xf numFmtId="176" fontId="7" fillId="0" borderId="53" xfId="0" applyNumberFormat="1" applyFont="1" applyBorder="1" applyAlignment="1" applyProtection="1">
      <alignment horizontal="center"/>
      <protection locked="0"/>
    </xf>
    <xf numFmtId="0" fontId="7" fillId="0" borderId="4" xfId="0" applyFont="1" applyBorder="1" applyProtection="1">
      <protection locked="0"/>
    </xf>
    <xf numFmtId="49" fontId="1" fillId="0" borderId="4" xfId="0" applyNumberFormat="1" applyFont="1" applyBorder="1" applyProtection="1">
      <protection locked="0"/>
    </xf>
    <xf numFmtId="38" fontId="7" fillId="0" borderId="37"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4" fillId="0" borderId="97"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99" xfId="0" applyFont="1" applyBorder="1" applyAlignment="1" applyProtection="1">
      <alignment horizontal="left"/>
      <protection locked="0"/>
    </xf>
    <xf numFmtId="0" fontId="4" fillId="0" borderId="100" xfId="0" applyFont="1" applyBorder="1" applyAlignment="1" applyProtection="1">
      <alignment horizontal="left"/>
      <protection locked="0"/>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25"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lignment horizontal="left"/>
    </xf>
    <xf numFmtId="0" fontId="4" fillId="0" borderId="21" xfId="0" applyFont="1" applyBorder="1" applyAlignment="1">
      <alignment horizontal="left"/>
    </xf>
    <xf numFmtId="0" fontId="117" fillId="0" borderId="25" xfId="0" applyFont="1" applyBorder="1" applyAlignment="1" applyProtection="1">
      <alignment horizontal="left"/>
      <protection locked="0"/>
    </xf>
    <xf numFmtId="0" fontId="117" fillId="0" borderId="21"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6"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5"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0" fillId="0" borderId="4" xfId="0" applyBorder="1" applyAlignment="1">
      <alignment horizontal="left"/>
    </xf>
    <xf numFmtId="0" fontId="96"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177" fontId="14" fillId="2" borderId="5" xfId="11" applyNumberFormat="1" applyFont="1" applyFill="1" applyBorder="1" applyAlignment="1">
      <alignment horizontal="center"/>
    </xf>
    <xf numFmtId="37" fontId="7" fillId="0" borderId="0" xfId="0" applyNumberFormat="1" applyFont="1" applyAlignment="1">
      <alignment horizontal="right"/>
    </xf>
    <xf numFmtId="3" fontId="7" fillId="0" borderId="0" xfId="11" applyNumberFormat="1" applyFont="1" applyAlignment="1">
      <alignment horizontal="right"/>
    </xf>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65" fontId="7" fillId="0" borderId="0" xfId="0" applyNumberFormat="1" applyFont="1" applyAlignment="1">
      <alignment horizontal="right"/>
    </xf>
    <xf numFmtId="3" fontId="7" fillId="0" borderId="0" xfId="0" applyNumberFormat="1" applyFont="1"/>
    <xf numFmtId="4" fontId="11" fillId="0" borderId="63" xfId="0" applyNumberFormat="1" applyFont="1" applyBorder="1" applyAlignment="1" applyProtection="1">
      <alignment horizontal="right"/>
      <protection locked="0"/>
    </xf>
    <xf numFmtId="4" fontId="11" fillId="0" borderId="101" xfId="0" applyNumberFormat="1" applyFont="1" applyBorder="1" applyAlignment="1" applyProtection="1">
      <alignment horizontal="right"/>
      <protection locked="0"/>
    </xf>
    <xf numFmtId="4" fontId="11" fillId="0" borderId="54" xfId="0" applyNumberFormat="1" applyFont="1" applyBorder="1" applyAlignment="1" applyProtection="1">
      <alignment horizontal="right"/>
      <protection locked="0"/>
    </xf>
    <xf numFmtId="4" fontId="11" fillId="0" borderId="26" xfId="0" applyNumberFormat="1" applyFont="1" applyBorder="1" applyAlignment="1" applyProtection="1">
      <alignment horizontal="right"/>
      <protection locked="0"/>
    </xf>
    <xf numFmtId="4" fontId="11" fillId="0" borderId="18" xfId="0" applyNumberFormat="1" applyFont="1" applyBorder="1" applyAlignment="1" applyProtection="1">
      <alignment horizontal="right"/>
      <protection locked="0"/>
    </xf>
    <xf numFmtId="4" fontId="11" fillId="0" borderId="40" xfId="0" applyNumberFormat="1" applyFont="1" applyBorder="1" applyAlignment="1" applyProtection="1">
      <alignment horizontal="right"/>
      <protection locked="0"/>
    </xf>
    <xf numFmtId="4" fontId="11" fillId="0" borderId="55" xfId="0" applyNumberFormat="1" applyFont="1" applyBorder="1" applyAlignment="1" applyProtection="1">
      <alignment horizontal="right"/>
      <protection locked="0"/>
    </xf>
    <xf numFmtId="4" fontId="11" fillId="0" borderId="89" xfId="0" applyNumberFormat="1" applyFont="1" applyBorder="1" applyAlignment="1" applyProtection="1">
      <alignment horizontal="right"/>
      <protection locked="0"/>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101" xfId="0" applyFont="1" applyBorder="1" applyAlignment="1">
      <alignment horizontal="center"/>
    </xf>
    <xf numFmtId="3" fontId="11" fillId="0" borderId="102" xfId="0" applyNumberFormat="1" applyFont="1" applyBorder="1" applyAlignment="1">
      <alignment horizontal="right"/>
    </xf>
    <xf numFmtId="3" fontId="11" fillId="0" borderId="103" xfId="0" applyNumberFormat="1" applyFont="1" applyBorder="1" applyAlignment="1">
      <alignment horizontal="right"/>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3" fontId="11" fillId="0" borderId="107" xfId="0" applyNumberFormat="1" applyFont="1" applyBorder="1" applyAlignment="1">
      <alignment horizontal="right"/>
    </xf>
    <xf numFmtId="3" fontId="11" fillId="0" borderId="108" xfId="0" applyNumberFormat="1" applyFont="1" applyBorder="1" applyAlignment="1">
      <alignment horizontal="right"/>
    </xf>
    <xf numFmtId="4" fontId="11" fillId="0" borderId="59" xfId="0" applyNumberFormat="1" applyFont="1" applyBorder="1" applyAlignment="1" applyProtection="1">
      <alignment horizontal="right"/>
      <protection locked="0"/>
    </xf>
    <xf numFmtId="4" fontId="11" fillId="0" borderId="60" xfId="0" applyNumberFormat="1" applyFont="1" applyBorder="1" applyAlignment="1" applyProtection="1">
      <alignment horizontal="right"/>
      <protection locked="0"/>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8"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7" fillId="0" borderId="0" xfId="13"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4" fillId="0" borderId="0" xfId="0" applyFont="1"/>
    <xf numFmtId="0" fontId="7" fillId="0" borderId="12" xfId="21" applyFont="1" applyFill="1" applyBorder="1" applyAlignment="1" applyProtection="1">
      <alignment horizontal="left" vertical="top"/>
      <protection locked="0"/>
    </xf>
    <xf numFmtId="0" fontId="11" fillId="0" borderId="0" xfId="13" applyFont="1" applyFill="1" applyAlignment="1">
      <alignment horizontal="left" vertical="top" wrapText="1"/>
    </xf>
    <xf numFmtId="0" fontId="97"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7" fillId="0" borderId="0" xfId="13" applyFont="1" applyFill="1" applyAlignment="1">
      <alignment horizontal="center" wrapText="1"/>
    </xf>
    <xf numFmtId="0" fontId="97" fillId="0" borderId="0" xfId="13" applyFont="1" applyFill="1" applyAlignment="1">
      <alignment horizontal="center" vertical="center"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0" fontId="0" fillId="0" borderId="12" xfId="0"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99"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4"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0"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37" fontId="65" fillId="0" borderId="12" xfId="22" applyNumberFormat="1" applyFont="1" applyBorder="1" applyAlignment="1">
      <alignment horizontal="right" vertical="center"/>
    </xf>
    <xf numFmtId="37" fontId="96"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177" fontId="109"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left" vertical="top"/>
      <protection locked="0"/>
    </xf>
    <xf numFmtId="37" fontId="3" fillId="0" borderId="22" xfId="12" applyNumberFormat="1" applyFont="1" applyFill="1" applyBorder="1" applyAlignment="1" applyProtection="1">
      <alignment horizontal="left" vertical="top"/>
      <protection locked="0"/>
    </xf>
    <xf numFmtId="37" fontId="3" fillId="0" borderId="42" xfId="12" applyNumberFormat="1" applyFont="1" applyFill="1" applyBorder="1" applyAlignment="1" applyProtection="1">
      <alignment horizontal="left" vertical="top"/>
      <protection locked="0"/>
    </xf>
    <xf numFmtId="37" fontId="3" fillId="0" borderId="35" xfId="12" applyNumberFormat="1" applyFont="1" applyFill="1" applyBorder="1" applyAlignment="1" applyProtection="1">
      <alignment horizontal="left" vertical="top"/>
      <protection locked="0"/>
    </xf>
    <xf numFmtId="37" fontId="3" fillId="0" borderId="0" xfId="12" applyNumberFormat="1" applyFont="1" applyFill="1" applyAlignment="1" applyProtection="1">
      <alignment horizontal="left" vertical="top"/>
      <protection locked="0"/>
    </xf>
    <xf numFmtId="37" fontId="3" fillId="0" borderId="43" xfId="12" applyNumberFormat="1" applyFont="1" applyFill="1" applyBorder="1" applyAlignment="1" applyProtection="1">
      <alignment horizontal="left" vertical="top"/>
      <protection locked="0"/>
    </xf>
    <xf numFmtId="37" fontId="3" fillId="0" borderId="45" xfId="12" applyNumberFormat="1" applyFont="1" applyFill="1" applyBorder="1" applyAlignment="1" applyProtection="1">
      <alignment horizontal="left" vertical="top"/>
      <protection locked="0"/>
    </xf>
    <xf numFmtId="37" fontId="3" fillId="0" borderId="12" xfId="12" applyNumberFormat="1" applyFont="1" applyFill="1" applyBorder="1" applyAlignment="1" applyProtection="1">
      <alignment horizontal="left" vertical="top"/>
      <protection locked="0"/>
    </xf>
    <xf numFmtId="37" fontId="3" fillId="0" borderId="30" xfId="12" applyNumberFormat="1" applyFont="1" applyFill="1" applyBorder="1" applyAlignment="1" applyProtection="1">
      <alignment horizontal="left" vertical="top"/>
      <protection locked="0"/>
    </xf>
    <xf numFmtId="177" fontId="109" fillId="0" borderId="25" xfId="12" applyFont="1" applyFill="1" applyBorder="1" applyAlignment="1">
      <alignment horizontal="center" wrapText="1"/>
    </xf>
    <xf numFmtId="177" fontId="109" fillId="0" borderId="7" xfId="12" applyFont="1" applyFill="1" applyBorder="1" applyAlignment="1">
      <alignment horizontal="center" wrapText="1"/>
    </xf>
    <xf numFmtId="177" fontId="109" fillId="0" borderId="105" xfId="12" applyFont="1" applyFill="1" applyBorder="1" applyAlignment="1">
      <alignment horizontal="center" wrapText="1"/>
    </xf>
    <xf numFmtId="177" fontId="109" fillId="0" borderId="106" xfId="12" applyFont="1" applyFill="1" applyBorder="1" applyAlignment="1">
      <alignment horizontal="center" wrapText="1"/>
    </xf>
    <xf numFmtId="177" fontId="109" fillId="0" borderId="27" xfId="12" applyFont="1" applyFill="1" applyBorder="1" applyAlignment="1">
      <alignment horizontal="center" wrapText="1"/>
    </xf>
    <xf numFmtId="177" fontId="109" fillId="0" borderId="19" xfId="12" applyFont="1" applyFill="1" applyBorder="1" applyAlignment="1">
      <alignment horizontal="center" wrapText="1"/>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2" fillId="0" borderId="35" xfId="0" applyFont="1" applyBorder="1" applyAlignment="1">
      <alignment horizontal="left" vertical="top"/>
    </xf>
    <xf numFmtId="0" fontId="102" fillId="0" borderId="0" xfId="0" applyFont="1" applyBorder="1" applyAlignment="1">
      <alignment horizontal="left" vertical="top"/>
    </xf>
    <xf numFmtId="0" fontId="102" fillId="0" borderId="72" xfId="0" applyFont="1" applyBorder="1" applyAlignment="1">
      <alignment horizontal="center" vertical="center" wrapText="1"/>
    </xf>
    <xf numFmtId="0" fontId="102"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84" xfId="0" applyFont="1" applyFill="1" applyBorder="1" applyAlignment="1">
      <alignment horizontal="left" vertical="center" wrapText="1"/>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0" fillId="0" borderId="35" xfId="13" applyFont="1" applyFill="1" applyBorder="1" applyAlignment="1">
      <alignment horizontal="left" vertical="top" wrapText="1"/>
    </xf>
    <xf numFmtId="0" fontId="100"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1"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189" fontId="7" fillId="0" borderId="25" xfId="0" applyNumberFormat="1" applyFont="1" applyBorder="1" applyAlignment="1">
      <alignment horizontal="right"/>
    </xf>
    <xf numFmtId="189" fontId="7" fillId="0" borderId="21" xfId="0" applyNumberFormat="1" applyFont="1" applyBorder="1" applyAlignment="1">
      <alignment horizontal="right"/>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6" xfId="0" applyNumberFormat="1" applyFont="1" applyBorder="1" applyAlignment="1">
      <alignment horizontal="right"/>
    </xf>
    <xf numFmtId="174" fontId="7" fillId="0" borderId="77"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169" fontId="7" fillId="10" borderId="74" xfId="0" applyNumberFormat="1" applyFont="1" applyFill="1" applyBorder="1" applyAlignment="1">
      <alignment horizontal="right"/>
    </xf>
    <xf numFmtId="169" fontId="7" fillId="10" borderId="77" xfId="0" applyNumberFormat="1" applyFont="1" applyFill="1" applyBorder="1" applyAlignment="1">
      <alignment horizontal="right"/>
    </xf>
    <xf numFmtId="0" fontId="9"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6" xfId="0" applyNumberFormat="1" applyFont="1" applyBorder="1" applyAlignment="1">
      <alignment horizontal="right"/>
    </xf>
    <xf numFmtId="178" fontId="7" fillId="0" borderId="77" xfId="0" applyNumberFormat="1" applyFont="1" applyBorder="1" applyAlignment="1">
      <alignment horizontal="right"/>
    </xf>
    <xf numFmtId="189" fontId="7" fillId="0" borderId="45" xfId="0" applyNumberFormat="1" applyFont="1" applyBorder="1" applyAlignment="1">
      <alignment horizontal="right"/>
    </xf>
    <xf numFmtId="189" fontId="7" fillId="0" borderId="30" xfId="0" applyNumberFormat="1" applyFont="1" applyBorder="1" applyAlignment="1">
      <alignment horizontal="right"/>
    </xf>
    <xf numFmtId="169" fontId="7" fillId="0" borderId="74" xfId="0" applyNumberFormat="1" applyFont="1" applyBorder="1" applyAlignment="1">
      <alignment horizontal="right"/>
    </xf>
    <xf numFmtId="169" fontId="7" fillId="0" borderId="77" xfId="0" applyNumberFormat="1" applyFont="1" applyBorder="1" applyAlignment="1">
      <alignment horizontal="right"/>
    </xf>
    <xf numFmtId="0" fontId="9" fillId="0" borderId="0" xfId="0" applyFont="1" applyAlignment="1">
      <alignment horizontal="left"/>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7" fillId="0" borderId="0" xfId="0" applyFont="1" applyBorder="1" applyAlignment="1">
      <alignment horizontal="left" wrapText="1"/>
    </xf>
    <xf numFmtId="0" fontId="79" fillId="0" borderId="0" xfId="0" applyFont="1" applyAlignment="1">
      <alignment horizontal="center" vertical="top"/>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14" fillId="0" borderId="0" xfId="0" applyFont="1" applyBorder="1" applyAlignment="1">
      <alignment horizontal="center" wrapText="1"/>
    </xf>
    <xf numFmtId="0" fontId="14" fillId="0" borderId="74"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Normal" xfId="0" builtinId="0"/>
    <cellStyle name="Normal 2" xfId="11" xr:uid="{00000000-0005-0000-0000-00000B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34">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s>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DFORM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13150145</v>
          </cell>
        </row>
        <row r="8">
          <cell r="E8">
            <v>162.36000000000001</v>
          </cell>
        </row>
        <row r="9">
          <cell r="L9">
            <v>1551990</v>
          </cell>
        </row>
        <row r="10">
          <cell r="E10">
            <v>20.74</v>
          </cell>
        </row>
        <row r="11">
          <cell r="E11">
            <v>17.55</v>
          </cell>
          <cell r="L11">
            <v>1423896</v>
          </cell>
        </row>
        <row r="12">
          <cell r="E12">
            <v>5</v>
          </cell>
          <cell r="L12">
            <v>826182</v>
          </cell>
        </row>
        <row r="13">
          <cell r="E13">
            <v>17</v>
          </cell>
          <cell r="L13">
            <v>1704855</v>
          </cell>
        </row>
        <row r="14">
          <cell r="E14">
            <v>9.9</v>
          </cell>
          <cell r="L14">
            <v>1090379</v>
          </cell>
        </row>
        <row r="15">
          <cell r="E15">
            <v>15.5</v>
          </cell>
          <cell r="L15">
            <v>4923229</v>
          </cell>
        </row>
        <row r="16">
          <cell r="E16">
            <v>0</v>
          </cell>
          <cell r="L16">
            <v>0</v>
          </cell>
        </row>
        <row r="17">
          <cell r="E17">
            <v>2</v>
          </cell>
          <cell r="L17">
            <v>102915</v>
          </cell>
        </row>
        <row r="18">
          <cell r="E18">
            <v>0</v>
          </cell>
          <cell r="L18">
            <v>20474</v>
          </cell>
        </row>
        <row r="19">
          <cell r="E19">
            <v>1</v>
          </cell>
          <cell r="L19">
            <v>351475</v>
          </cell>
        </row>
        <row r="20">
          <cell r="E20">
            <v>0</v>
          </cell>
          <cell r="L20">
            <v>0</v>
          </cell>
        </row>
        <row r="21">
          <cell r="E21">
            <v>0</v>
          </cell>
          <cell r="L21">
            <v>119905</v>
          </cell>
        </row>
        <row r="23">
          <cell r="L23">
            <v>3258371</v>
          </cell>
        </row>
        <row r="24">
          <cell r="E24">
            <v>50.87</v>
          </cell>
        </row>
        <row r="25">
          <cell r="L25">
            <v>2318819</v>
          </cell>
        </row>
        <row r="26">
          <cell r="E26">
            <v>25.46</v>
          </cell>
        </row>
        <row r="27">
          <cell r="E27">
            <v>3.5</v>
          </cell>
          <cell r="L27">
            <v>335431</v>
          </cell>
        </row>
        <row r="28">
          <cell r="E28">
            <v>0</v>
          </cell>
          <cell r="L28">
            <v>0</v>
          </cell>
        </row>
        <row r="29">
          <cell r="E29">
            <v>0</v>
          </cell>
          <cell r="L29">
            <v>759</v>
          </cell>
        </row>
        <row r="30">
          <cell r="E30">
            <v>0</v>
          </cell>
          <cell r="L30">
            <v>3493</v>
          </cell>
        </row>
        <row r="31">
          <cell r="E31">
            <v>0</v>
          </cell>
          <cell r="L31">
            <v>302</v>
          </cell>
        </row>
        <row r="32">
          <cell r="E32">
            <v>0</v>
          </cell>
          <cell r="L32">
            <v>0</v>
          </cell>
        </row>
        <row r="33">
          <cell r="E33">
            <v>0</v>
          </cell>
          <cell r="L33">
            <v>0</v>
          </cell>
        </row>
        <row r="35">
          <cell r="E35"/>
          <cell r="L35">
            <v>1915996</v>
          </cell>
        </row>
        <row r="38">
          <cell r="E38">
            <v>0</v>
          </cell>
          <cell r="L38">
            <v>0</v>
          </cell>
        </row>
        <row r="39">
          <cell r="E39">
            <v>0</v>
          </cell>
          <cell r="L39">
            <v>0</v>
          </cell>
        </row>
        <row r="41">
          <cell r="E41">
            <v>2</v>
          </cell>
          <cell r="L41">
            <v>151956</v>
          </cell>
        </row>
        <row r="42">
          <cell r="L42">
            <v>33250572</v>
          </cell>
        </row>
      </sheetData>
      <sheetData sheetId="3">
        <row r="7">
          <cell r="G7">
            <v>5330000</v>
          </cell>
        </row>
        <row r="8">
          <cell r="G8">
            <v>45000</v>
          </cell>
        </row>
        <row r="9">
          <cell r="G9">
            <v>0</v>
          </cell>
        </row>
        <row r="10">
          <cell r="G10">
            <v>50000</v>
          </cell>
        </row>
        <row r="11">
          <cell r="G11"/>
        </row>
        <row r="12">
          <cell r="G12">
            <v>5000</v>
          </cell>
        </row>
        <row r="13">
          <cell r="G13"/>
        </row>
        <row r="14">
          <cell r="G14">
            <v>487175</v>
          </cell>
        </row>
        <row r="19">
          <cell r="G19">
            <v>320000</v>
          </cell>
        </row>
      </sheetData>
      <sheetData sheetId="4">
        <row r="6">
          <cell r="K6">
            <v>3744008</v>
          </cell>
        </row>
        <row r="7">
          <cell r="K7">
            <v>134223</v>
          </cell>
        </row>
        <row r="8">
          <cell r="K8">
            <v>131771</v>
          </cell>
        </row>
        <row r="9">
          <cell r="K9">
            <v>0</v>
          </cell>
        </row>
        <row r="10">
          <cell r="K10">
            <v>0</v>
          </cell>
        </row>
        <row r="11">
          <cell r="K11">
            <v>0</v>
          </cell>
        </row>
        <row r="12">
          <cell r="K12">
            <v>0</v>
          </cell>
        </row>
        <row r="13">
          <cell r="K13">
            <v>0</v>
          </cell>
        </row>
        <row r="14">
          <cell r="K14">
            <v>4010002</v>
          </cell>
        </row>
        <row r="38">
          <cell r="D38">
            <v>4010002</v>
          </cell>
        </row>
      </sheetData>
      <sheetData sheetId="5">
        <row r="8">
          <cell r="L8">
            <v>0</v>
          </cell>
        </row>
        <row r="9">
          <cell r="L9">
            <v>1150000</v>
          </cell>
        </row>
        <row r="11">
          <cell r="L11">
            <v>450000</v>
          </cell>
        </row>
        <row r="13">
          <cell r="L13">
            <v>135000</v>
          </cell>
        </row>
        <row r="14">
          <cell r="L14">
            <v>425000</v>
          </cell>
        </row>
        <row r="15">
          <cell r="L15">
            <v>265000</v>
          </cell>
        </row>
        <row r="16">
          <cell r="L16">
            <v>0</v>
          </cell>
        </row>
        <row r="17">
          <cell r="L17">
            <v>470442</v>
          </cell>
        </row>
        <row r="18">
          <cell r="L18">
            <v>270000</v>
          </cell>
        </row>
        <row r="19">
          <cell r="L19">
            <v>3165442</v>
          </cell>
        </row>
      </sheetData>
      <sheetData sheetId="6">
        <row r="8">
          <cell r="G8">
            <v>0</v>
          </cell>
          <cell r="I8"/>
          <cell r="K8">
            <v>42000</v>
          </cell>
        </row>
        <row r="10">
          <cell r="E10">
            <v>0</v>
          </cell>
          <cell r="G10">
            <v>0</v>
          </cell>
          <cell r="I10">
            <v>0</v>
          </cell>
          <cell r="K10">
            <v>0</v>
          </cell>
        </row>
        <row r="11">
          <cell r="E11">
            <v>0</v>
          </cell>
          <cell r="G11">
            <v>0</v>
          </cell>
          <cell r="I11">
            <v>0</v>
          </cell>
          <cell r="K11">
            <v>0</v>
          </cell>
        </row>
        <row r="12">
          <cell r="E12">
            <v>300000</v>
          </cell>
          <cell r="G12">
            <v>0</v>
          </cell>
          <cell r="I12">
            <v>0</v>
          </cell>
          <cell r="K12">
            <v>0</v>
          </cell>
        </row>
        <row r="13">
          <cell r="E13">
            <v>0</v>
          </cell>
          <cell r="G13">
            <v>0</v>
          </cell>
          <cell r="I13">
            <v>0</v>
          </cell>
          <cell r="K13">
            <v>0</v>
          </cell>
        </row>
        <row r="14">
          <cell r="E14">
            <v>0</v>
          </cell>
          <cell r="G14">
            <v>0</v>
          </cell>
          <cell r="I14">
            <v>0</v>
          </cell>
          <cell r="K14">
            <v>0</v>
          </cell>
        </row>
        <row r="15">
          <cell r="E15">
            <v>435000</v>
          </cell>
          <cell r="G15">
            <v>0</v>
          </cell>
          <cell r="I15">
            <v>0</v>
          </cell>
          <cell r="K15">
            <v>0</v>
          </cell>
        </row>
        <row r="16">
          <cell r="E16">
            <v>100000</v>
          </cell>
          <cell r="G16">
            <v>0</v>
          </cell>
          <cell r="I16">
            <v>0</v>
          </cell>
          <cell r="K16">
            <v>0</v>
          </cell>
        </row>
        <row r="17">
          <cell r="E17">
            <v>300000</v>
          </cell>
          <cell r="G17">
            <v>0</v>
          </cell>
          <cell r="I17">
            <v>0</v>
          </cell>
          <cell r="K17">
            <v>0</v>
          </cell>
        </row>
        <row r="18">
          <cell r="E18">
            <v>270000</v>
          </cell>
          <cell r="G18">
            <v>0</v>
          </cell>
          <cell r="I18">
            <v>0</v>
          </cell>
          <cell r="K18">
            <v>0</v>
          </cell>
        </row>
        <row r="19">
          <cell r="E19"/>
          <cell r="G19">
            <v>0</v>
          </cell>
          <cell r="I19">
            <v>0</v>
          </cell>
          <cell r="K19">
            <v>0</v>
          </cell>
        </row>
        <row r="22">
          <cell r="E22">
            <v>435000</v>
          </cell>
          <cell r="G22">
            <v>0</v>
          </cell>
          <cell r="K22">
            <v>0</v>
          </cell>
        </row>
        <row r="23">
          <cell r="E23">
            <v>0</v>
          </cell>
          <cell r="G23">
            <v>0</v>
          </cell>
          <cell r="I23">
            <v>0</v>
          </cell>
          <cell r="K23">
            <v>0</v>
          </cell>
        </row>
        <row r="24">
          <cell r="E24">
            <v>970000</v>
          </cell>
          <cell r="G24">
            <v>0</v>
          </cell>
          <cell r="I24">
            <v>0</v>
          </cell>
          <cell r="K24">
            <v>0</v>
          </cell>
        </row>
      </sheetData>
      <sheetData sheetId="7">
        <row r="5">
          <cell r="T5">
            <v>6600</v>
          </cell>
        </row>
        <row r="7">
          <cell r="G7">
            <v>11.37</v>
          </cell>
          <cell r="J7">
            <v>783863</v>
          </cell>
        </row>
        <row r="8">
          <cell r="G8">
            <v>0.9</v>
          </cell>
          <cell r="J8">
            <v>191780</v>
          </cell>
          <cell r="T8">
            <v>1700000</v>
          </cell>
        </row>
        <row r="9">
          <cell r="G9">
            <v>0.68</v>
          </cell>
          <cell r="J9">
            <v>193000</v>
          </cell>
          <cell r="T9">
            <v>2000000</v>
          </cell>
        </row>
        <row r="10">
          <cell r="G10">
            <v>0</v>
          </cell>
          <cell r="J10">
            <v>0</v>
          </cell>
          <cell r="T10">
            <v>400000</v>
          </cell>
        </row>
        <row r="11">
          <cell r="G11">
            <v>0.46</v>
          </cell>
          <cell r="J11">
            <v>19000</v>
          </cell>
          <cell r="T11">
            <v>0</v>
          </cell>
        </row>
        <row r="12">
          <cell r="G12">
            <v>0.2</v>
          </cell>
          <cell r="J12">
            <v>14300</v>
          </cell>
          <cell r="T12">
            <v>1250000</v>
          </cell>
        </row>
        <row r="13">
          <cell r="G13">
            <v>0</v>
          </cell>
          <cell r="J13">
            <v>0</v>
          </cell>
          <cell r="T13">
            <v>1300000</v>
          </cell>
        </row>
        <row r="14">
          <cell r="G14">
            <v>16.02</v>
          </cell>
          <cell r="J14">
            <v>1186341</v>
          </cell>
          <cell r="T14">
            <v>1350000</v>
          </cell>
        </row>
        <row r="15">
          <cell r="G15">
            <v>0.14000000000000001</v>
          </cell>
          <cell r="J15">
            <v>19000</v>
          </cell>
          <cell r="T15">
            <v>0</v>
          </cell>
        </row>
        <row r="16">
          <cell r="G16">
            <v>0</v>
          </cell>
          <cell r="J16">
            <v>0</v>
          </cell>
          <cell r="T16">
            <v>20</v>
          </cell>
        </row>
        <row r="17">
          <cell r="G17">
            <v>0</v>
          </cell>
          <cell r="J17">
            <v>0</v>
          </cell>
          <cell r="T17">
            <v>0</v>
          </cell>
        </row>
        <row r="18">
          <cell r="G18">
            <v>0.5</v>
          </cell>
          <cell r="J18">
            <v>165000</v>
          </cell>
          <cell r="T18">
            <v>134000</v>
          </cell>
        </row>
        <row r="19">
          <cell r="G19">
            <v>0.23</v>
          </cell>
          <cell r="J19">
            <v>67000</v>
          </cell>
          <cell r="T19">
            <v>40</v>
          </cell>
        </row>
        <row r="20">
          <cell r="G20">
            <v>0</v>
          </cell>
          <cell r="J20">
            <v>731644</v>
          </cell>
          <cell r="T20">
            <v>0</v>
          </cell>
        </row>
        <row r="21">
          <cell r="G21">
            <v>0</v>
          </cell>
          <cell r="J21">
            <v>14300</v>
          </cell>
          <cell r="T21">
            <v>650000</v>
          </cell>
        </row>
        <row r="22">
          <cell r="G22">
            <v>0</v>
          </cell>
          <cell r="J22">
            <v>0</v>
          </cell>
          <cell r="T22">
            <v>0</v>
          </cell>
        </row>
        <row r="23">
          <cell r="G23">
            <v>17.850000000000001</v>
          </cell>
          <cell r="J23">
            <v>3527174</v>
          </cell>
          <cell r="T23">
            <v>0</v>
          </cell>
        </row>
        <row r="24">
          <cell r="T24">
            <v>0</v>
          </cell>
        </row>
        <row r="25">
          <cell r="T25">
            <v>12000</v>
          </cell>
        </row>
        <row r="26">
          <cell r="G26">
            <v>0.11</v>
          </cell>
          <cell r="J26">
            <v>20000</v>
          </cell>
          <cell r="T26">
            <v>0</v>
          </cell>
        </row>
        <row r="27">
          <cell r="G27">
            <v>0</v>
          </cell>
          <cell r="J27">
            <v>0</v>
          </cell>
          <cell r="T27">
            <v>750000</v>
          </cell>
        </row>
        <row r="28">
          <cell r="G28">
            <v>0</v>
          </cell>
          <cell r="J28">
            <v>0</v>
          </cell>
          <cell r="T28">
            <v>0</v>
          </cell>
        </row>
        <row r="29">
          <cell r="G29">
            <v>0</v>
          </cell>
          <cell r="J29">
            <v>0</v>
          </cell>
          <cell r="T29">
            <v>0</v>
          </cell>
        </row>
        <row r="30">
          <cell r="G30">
            <v>0</v>
          </cell>
          <cell r="J30">
            <v>0</v>
          </cell>
          <cell r="T30">
            <v>0</v>
          </cell>
        </row>
        <row r="31">
          <cell r="G31">
            <v>0</v>
          </cell>
          <cell r="J31">
            <v>0</v>
          </cell>
          <cell r="T31">
            <v>0</v>
          </cell>
        </row>
        <row r="32">
          <cell r="G32">
            <v>0</v>
          </cell>
          <cell r="J32">
            <v>0</v>
          </cell>
          <cell r="T32">
            <v>17500</v>
          </cell>
        </row>
        <row r="33">
          <cell r="G33">
            <v>0</v>
          </cell>
          <cell r="J33">
            <v>60000</v>
          </cell>
          <cell r="T33">
            <v>0</v>
          </cell>
        </row>
        <row r="34">
          <cell r="G34">
            <v>0</v>
          </cell>
          <cell r="J34">
            <v>0</v>
          </cell>
          <cell r="T34">
            <v>9500000</v>
          </cell>
        </row>
        <row r="35">
          <cell r="G35">
            <v>11.56</v>
          </cell>
          <cell r="J35">
            <v>770000</v>
          </cell>
          <cell r="T35">
            <v>1300000</v>
          </cell>
        </row>
        <row r="36">
          <cell r="T36">
            <v>0</v>
          </cell>
        </row>
        <row r="37">
          <cell r="T37">
            <v>200000</v>
          </cell>
        </row>
        <row r="38">
          <cell r="T38">
            <v>25000</v>
          </cell>
        </row>
        <row r="40">
          <cell r="H40">
            <v>0</v>
          </cell>
          <cell r="T40"/>
        </row>
        <row r="41">
          <cell r="H41">
            <v>250000</v>
          </cell>
          <cell r="T41">
            <v>100000</v>
          </cell>
        </row>
        <row r="42">
          <cell r="H42">
            <v>0</v>
          </cell>
          <cell r="T42"/>
        </row>
        <row r="43">
          <cell r="H43">
            <v>0</v>
          </cell>
          <cell r="T43">
            <v>15000</v>
          </cell>
        </row>
      </sheetData>
      <sheetData sheetId="8">
        <row r="21">
          <cell r="J21"/>
        </row>
        <row r="34">
          <cell r="J34"/>
        </row>
        <row r="36">
          <cell r="J36"/>
        </row>
        <row r="39">
          <cell r="J39"/>
        </row>
        <row r="55">
          <cell r="J55">
            <v>33250572</v>
          </cell>
        </row>
      </sheetData>
      <sheetData sheetId="9">
        <row r="32">
          <cell r="K32">
            <v>3165442</v>
          </cell>
        </row>
      </sheetData>
      <sheetData sheetId="10">
        <row r="7">
          <cell r="M7">
            <v>25100</v>
          </cell>
        </row>
        <row r="8">
          <cell r="E8">
            <v>0.2</v>
          </cell>
        </row>
        <row r="9">
          <cell r="M9">
            <v>0</v>
          </cell>
        </row>
        <row r="10">
          <cell r="E10">
            <v>0</v>
          </cell>
        </row>
        <row r="11">
          <cell r="E11">
            <v>0</v>
          </cell>
          <cell r="M11">
            <v>0</v>
          </cell>
        </row>
        <row r="12">
          <cell r="E12">
            <v>0</v>
          </cell>
          <cell r="M12">
            <v>0</v>
          </cell>
        </row>
        <row r="13">
          <cell r="E13">
            <v>0</v>
          </cell>
          <cell r="M13">
            <v>0</v>
          </cell>
        </row>
        <row r="14">
          <cell r="E14">
            <v>0</v>
          </cell>
          <cell r="M14">
            <v>0</v>
          </cell>
        </row>
        <row r="15">
          <cell r="E15">
            <v>0</v>
          </cell>
          <cell r="M15">
            <v>0</v>
          </cell>
        </row>
        <row r="16">
          <cell r="E16">
            <v>0</v>
          </cell>
          <cell r="M16">
            <v>0</v>
          </cell>
        </row>
        <row r="17">
          <cell r="E17">
            <v>0</v>
          </cell>
          <cell r="M17">
            <v>0</v>
          </cell>
        </row>
        <row r="19">
          <cell r="M19">
            <v>0</v>
          </cell>
        </row>
        <row r="20">
          <cell r="E20">
            <v>0</v>
          </cell>
        </row>
        <row r="21">
          <cell r="M21">
            <v>0</v>
          </cell>
        </row>
        <row r="22">
          <cell r="E22">
            <v>0</v>
          </cell>
        </row>
        <row r="23">
          <cell r="E23">
            <v>0</v>
          </cell>
          <cell r="M23">
            <v>0</v>
          </cell>
        </row>
        <row r="24">
          <cell r="E24">
            <v>0</v>
          </cell>
          <cell r="M24">
            <v>0</v>
          </cell>
        </row>
        <row r="25">
          <cell r="E25">
            <v>0</v>
          </cell>
          <cell r="M25">
            <v>0</v>
          </cell>
        </row>
        <row r="26">
          <cell r="E26">
            <v>0</v>
          </cell>
          <cell r="M26">
            <v>0</v>
          </cell>
        </row>
        <row r="27">
          <cell r="E27">
            <v>0</v>
          </cell>
          <cell r="M27">
            <v>0</v>
          </cell>
        </row>
        <row r="28">
          <cell r="E28">
            <v>0</v>
          </cell>
          <cell r="M28">
            <v>0</v>
          </cell>
        </row>
        <row r="29">
          <cell r="E29">
            <v>0</v>
          </cell>
          <cell r="M29">
            <v>0</v>
          </cell>
        </row>
      </sheetData>
      <sheetData sheetId="11">
        <row r="32">
          <cell r="D32">
            <v>12254124</v>
          </cell>
          <cell r="F32">
            <v>896021</v>
          </cell>
        </row>
        <row r="34">
          <cell r="D34">
            <v>1510370</v>
          </cell>
          <cell r="F34">
            <v>41620</v>
          </cell>
        </row>
        <row r="36">
          <cell r="D36">
            <v>1248218</v>
          </cell>
          <cell r="F36">
            <v>175678</v>
          </cell>
        </row>
        <row r="37">
          <cell r="D37">
            <v>3098829</v>
          </cell>
          <cell r="F37">
            <v>522587</v>
          </cell>
        </row>
        <row r="38">
          <cell r="D38">
            <v>870163</v>
          </cell>
          <cell r="F38">
            <v>4053066</v>
          </cell>
        </row>
        <row r="39">
          <cell r="D39">
            <v>0</v>
          </cell>
          <cell r="F39">
            <v>0</v>
          </cell>
        </row>
        <row r="40">
          <cell r="D40">
            <v>91142</v>
          </cell>
          <cell r="F40">
            <v>11773</v>
          </cell>
        </row>
        <row r="41">
          <cell r="D41">
            <v>20474</v>
          </cell>
          <cell r="F41">
            <v>0</v>
          </cell>
        </row>
        <row r="42">
          <cell r="D42">
            <v>336402</v>
          </cell>
          <cell r="F42">
            <v>15073</v>
          </cell>
        </row>
        <row r="43">
          <cell r="D43">
            <v>0</v>
          </cell>
          <cell r="F43">
            <v>119905</v>
          </cell>
        </row>
        <row r="45">
          <cell r="D45">
            <v>3256381</v>
          </cell>
          <cell r="F45">
            <v>1990</v>
          </cell>
        </row>
        <row r="47">
          <cell r="D47">
            <v>2079869</v>
          </cell>
          <cell r="F47">
            <v>238950</v>
          </cell>
        </row>
        <row r="49">
          <cell r="D49">
            <v>327662</v>
          </cell>
          <cell r="F49">
            <v>7769</v>
          </cell>
        </row>
        <row r="50">
          <cell r="D50">
            <v>759</v>
          </cell>
          <cell r="F50">
            <v>3493</v>
          </cell>
        </row>
        <row r="51">
          <cell r="D51">
            <v>0</v>
          </cell>
          <cell r="F51">
            <v>302</v>
          </cell>
        </row>
        <row r="52">
          <cell r="D52">
            <v>0</v>
          </cell>
          <cell r="F52">
            <v>0</v>
          </cell>
        </row>
        <row r="53">
          <cell r="D53">
            <v>0</v>
          </cell>
          <cell r="F53">
            <v>0</v>
          </cell>
        </row>
        <row r="55">
          <cell r="D55">
            <v>1244185</v>
          </cell>
          <cell r="F55">
            <v>671811</v>
          </cell>
        </row>
        <row r="56">
          <cell r="D56">
            <v>0</v>
          </cell>
          <cell r="F56">
            <v>0</v>
          </cell>
        </row>
        <row r="57">
          <cell r="D57">
            <v>0</v>
          </cell>
          <cell r="F57">
            <v>0</v>
          </cell>
        </row>
        <row r="58">
          <cell r="D58">
            <v>0</v>
          </cell>
          <cell r="F58">
            <v>0</v>
          </cell>
        </row>
        <row r="60">
          <cell r="D60">
            <v>151956</v>
          </cell>
          <cell r="F60">
            <v>0</v>
          </cell>
        </row>
      </sheetData>
      <sheetData sheetId="12">
        <row r="32">
          <cell r="E32">
            <v>487175</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934872.23</v>
          </cell>
        </row>
        <row r="103">
          <cell r="E103">
            <v>1476063.78</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ctwide"/>
      <sheetName val="Template"/>
      <sheetName val="Instructions"/>
      <sheetName val="Template Edition Information"/>
      <sheetName val="2025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undBalReserveSecAGen" TargetMode="External"/><Relationship Id="rId1" Type="http://schemas.openxmlformats.org/officeDocument/2006/relationships/hyperlink" Target="../../../../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56"/>
  <sheetViews>
    <sheetView showGridLines="0" tabSelected="1" zoomScale="85" zoomScaleNormal="85" workbookViewId="0">
      <selection activeCell="F29" sqref="F29:G29"/>
    </sheetView>
  </sheetViews>
  <sheetFormatPr defaultColWidth="12.88671875" defaultRowHeight="15.75"/>
  <cols>
    <col min="1" max="1" width="4.88671875" style="102" customWidth="1"/>
    <col min="2" max="2" width="14.109375" style="102" customWidth="1"/>
    <col min="3" max="3" width="9.109375" style="102" customWidth="1"/>
    <col min="4" max="4" width="12.88671875" style="102" customWidth="1"/>
    <col min="5" max="5" width="10.109375" style="102" customWidth="1"/>
    <col min="6" max="6" width="9" style="102" customWidth="1"/>
    <col min="7" max="7" width="9.88671875" style="102" customWidth="1"/>
    <col min="8" max="8" width="10.88671875" style="102" customWidth="1"/>
    <col min="9" max="10" width="2.44140625" style="102" customWidth="1"/>
    <col min="11" max="11" width="2.88671875" style="102" customWidth="1"/>
    <col min="12" max="12" width="13.5546875" style="102" customWidth="1"/>
    <col min="13" max="13" width="9.88671875" style="102" customWidth="1"/>
    <col min="14" max="14" width="12.88671875" style="102" customWidth="1"/>
    <col min="15" max="15" width="8.88671875" style="102" customWidth="1"/>
    <col min="16" max="16" width="2.88671875" style="102" customWidth="1"/>
    <col min="17" max="17" width="12.88671875" style="102" customWidth="1"/>
    <col min="18" max="18" width="2.88671875" style="102" customWidth="1"/>
    <col min="19" max="20" width="12.88671875" style="102" customWidth="1"/>
    <col min="21" max="21" width="2.5546875" style="102" customWidth="1"/>
    <col min="22" max="22" width="12.88671875" style="102" customWidth="1"/>
    <col min="23" max="23" width="13.109375" style="102" customWidth="1"/>
    <col min="24" max="27" width="12.88671875" style="102" customWidth="1"/>
    <col min="28" max="16384" width="12.88671875" style="102"/>
  </cols>
  <sheetData>
    <row r="1" spans="1:19">
      <c r="A1" s="100"/>
      <c r="B1" s="1285" t="s">
        <v>445</v>
      </c>
      <c r="C1" s="1554" t="s">
        <v>1304</v>
      </c>
      <c r="D1" s="1557"/>
      <c r="E1" s="1557"/>
      <c r="F1" s="1557"/>
      <c r="G1" s="1285" t="s">
        <v>446</v>
      </c>
      <c r="H1" s="1554" t="s">
        <v>1305</v>
      </c>
      <c r="I1" s="1554"/>
      <c r="J1" s="1554"/>
      <c r="K1" s="1554"/>
      <c r="L1" s="100"/>
      <c r="M1" s="100"/>
      <c r="N1" s="100"/>
      <c r="R1" s="1285" t="s">
        <v>991</v>
      </c>
      <c r="S1" s="24" t="s">
        <v>1306</v>
      </c>
    </row>
    <row r="2" spans="1:19" ht="3.75" customHeight="1">
      <c r="A2" s="100"/>
      <c r="B2" s="100"/>
      <c r="C2" s="100"/>
      <c r="D2" s="100"/>
      <c r="E2" s="100"/>
      <c r="F2" s="100"/>
      <c r="G2" s="100"/>
      <c r="H2" s="100"/>
      <c r="I2" s="104"/>
      <c r="J2" s="100"/>
      <c r="K2" s="104"/>
      <c r="L2" s="100"/>
      <c r="M2" s="100"/>
      <c r="N2" s="100"/>
      <c r="O2" s="100"/>
      <c r="P2" s="100"/>
      <c r="Q2" s="100"/>
      <c r="R2" s="105" t="e">
        <f>0/0</f>
        <v>#DIV/0!</v>
      </c>
    </row>
    <row r="3" spans="1:19">
      <c r="A3" s="100"/>
      <c r="B3" s="100"/>
      <c r="C3" s="100"/>
      <c r="D3" s="106" t="s">
        <v>0</v>
      </c>
      <c r="E3" s="107">
        <v>2025</v>
      </c>
      <c r="F3" s="100"/>
      <c r="G3" s="100"/>
      <c r="H3" s="100"/>
      <c r="I3" s="100"/>
      <c r="K3" s="108" t="s">
        <v>905</v>
      </c>
      <c r="L3" s="3"/>
      <c r="M3" s="3"/>
      <c r="N3" s="3"/>
      <c r="O3" s="3"/>
      <c r="P3" s="3"/>
      <c r="Q3" s="3"/>
      <c r="R3" s="3"/>
      <c r="S3" s="3"/>
    </row>
    <row r="4" spans="1:19">
      <c r="A4" s="1548" t="s">
        <v>902</v>
      </c>
      <c r="B4" s="1548"/>
      <c r="C4" s="1548"/>
      <c r="D4" s="1548"/>
      <c r="E4" s="1548"/>
      <c r="F4" s="1548"/>
      <c r="G4" s="1548"/>
      <c r="H4" s="1548"/>
      <c r="I4" s="1560"/>
      <c r="J4" s="109"/>
      <c r="K4" s="106" t="s">
        <v>1</v>
      </c>
      <c r="L4" s="100" t="str">
        <f>_xlfn.CONCAT("Total budgeted revenues for fiscal year ",V39,"                          $ ")</f>
        <v xml:space="preserve">Total budgeted revenues for fiscal year 2024                          $ </v>
      </c>
      <c r="M4" s="3"/>
      <c r="N4" s="3"/>
      <c r="O4" s="1558">
        <v>45000000</v>
      </c>
      <c r="P4" s="1558"/>
      <c r="Q4" s="3"/>
      <c r="R4" s="3"/>
      <c r="S4" s="100"/>
    </row>
    <row r="5" spans="1:19">
      <c r="A5" s="1548" t="s">
        <v>903</v>
      </c>
      <c r="B5" s="1548"/>
      <c r="C5" s="1548"/>
      <c r="D5" s="1548"/>
      <c r="E5" s="1548"/>
      <c r="F5" s="1548"/>
      <c r="G5" s="1548"/>
      <c r="H5" s="1548"/>
      <c r="I5" s="1560"/>
      <c r="J5" s="109"/>
      <c r="K5" s="106" t="s">
        <v>2</v>
      </c>
      <c r="L5" s="100" t="str">
        <f>_xlfn.CONCAT("Estimated revenues by source for fiscal year ",E3," (excluding property taxes)")</f>
        <v>Estimated revenues by source for fiscal year 2025 (excluding property taxes)</v>
      </c>
      <c r="M5" s="100"/>
      <c r="N5" s="100"/>
      <c r="O5" s="100"/>
      <c r="P5" s="100"/>
      <c r="Q5" s="100"/>
      <c r="R5" s="100"/>
      <c r="S5" s="100"/>
    </row>
    <row r="6" spans="1:19" ht="15.75" customHeight="1">
      <c r="A6" s="1548" t="s">
        <v>904</v>
      </c>
      <c r="B6" s="1548"/>
      <c r="C6" s="1548"/>
      <c r="D6" s="1548"/>
      <c r="E6" s="1548"/>
      <c r="F6" s="1548"/>
      <c r="G6" s="1548"/>
      <c r="H6" s="1548"/>
      <c r="I6" s="1560"/>
      <c r="J6" s="109"/>
      <c r="K6" s="106"/>
      <c r="L6" s="100" t="s">
        <v>3</v>
      </c>
      <c r="M6" s="106" t="s">
        <v>4</v>
      </c>
      <c r="N6" s="14">
        <v>3700000</v>
      </c>
      <c r="O6" s="1559"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59"/>
      <c r="Q6" s="1559"/>
      <c r="R6" s="1559"/>
      <c r="S6" s="1559"/>
    </row>
    <row r="7" spans="1:19" ht="17.25" customHeight="1">
      <c r="A7" s="100"/>
      <c r="B7" s="100"/>
      <c r="C7" s="100"/>
      <c r="D7" s="100"/>
      <c r="E7" s="100"/>
      <c r="F7" s="100"/>
      <c r="G7" s="100"/>
      <c r="H7" s="100"/>
      <c r="I7" s="100"/>
      <c r="J7" s="109"/>
      <c r="K7" s="106"/>
      <c r="L7" s="100" t="s">
        <v>5</v>
      </c>
      <c r="M7" s="106" t="s">
        <v>6</v>
      </c>
      <c r="N7" s="14">
        <v>0</v>
      </c>
      <c r="O7" s="1559"/>
      <c r="P7" s="1559"/>
      <c r="Q7" s="1559"/>
      <c r="R7" s="1559"/>
      <c r="S7" s="1559"/>
    </row>
    <row r="8" spans="1:19" ht="15.75" customHeight="1">
      <c r="A8" s="111"/>
      <c r="B8" s="111"/>
      <c r="C8" s="1546" t="s">
        <v>1387</v>
      </c>
      <c r="D8" s="1546"/>
      <c r="E8" s="1546"/>
      <c r="F8" s="1546"/>
      <c r="G8" s="1546"/>
      <c r="H8" s="111"/>
      <c r="I8" s="111"/>
      <c r="J8" s="109"/>
      <c r="K8" s="106"/>
      <c r="L8" s="100" t="s">
        <v>7</v>
      </c>
      <c r="M8" s="106" t="s">
        <v>8</v>
      </c>
      <c r="N8" s="14">
        <v>12700000</v>
      </c>
      <c r="O8" s="1559" t="str">
        <f>IF(OR('Page 7'!J10&gt;'Page 7'!H10,'Page 7'!J17&gt;'Page 7'!H17),"Please correct error on Page 7","")</f>
        <v/>
      </c>
      <c r="P8" s="1559"/>
      <c r="Q8" s="1559"/>
      <c r="R8" s="1559"/>
      <c r="S8" s="1559"/>
    </row>
    <row r="9" spans="1:19" ht="15.75" customHeight="1">
      <c r="A9" s="3"/>
      <c r="B9" s="3"/>
      <c r="C9" s="1551" t="s">
        <v>9</v>
      </c>
      <c r="D9" s="1551"/>
      <c r="E9" s="1551"/>
      <c r="F9" s="1551"/>
      <c r="G9" s="1551"/>
      <c r="H9" s="3"/>
      <c r="I9" s="2"/>
      <c r="J9" s="109"/>
      <c r="K9" s="106"/>
      <c r="L9" s="100" t="s">
        <v>10</v>
      </c>
      <c r="M9" s="106" t="s">
        <v>11</v>
      </c>
      <c r="N9" s="14">
        <v>6200000</v>
      </c>
      <c r="O9" s="1559" t="str">
        <f>IF('District Contacts'!D33="","Please enter a SIS Vendor on  the District Contacts Tab","")</f>
        <v/>
      </c>
      <c r="P9" s="1559"/>
      <c r="Q9" s="1559"/>
      <c r="R9" s="1559"/>
      <c r="S9" s="1559"/>
    </row>
    <row r="10" spans="1:19" ht="16.5" thickBot="1">
      <c r="A10" s="1562" t="s">
        <v>906</v>
      </c>
      <c r="B10" s="1563"/>
      <c r="C10" s="1563"/>
      <c r="D10" s="1563"/>
      <c r="E10" s="1563"/>
      <c r="F10" s="1563"/>
      <c r="G10" s="1563"/>
      <c r="H10" s="1563"/>
      <c r="I10" s="1564"/>
      <c r="J10" s="109"/>
      <c r="K10" s="106"/>
      <c r="L10" s="100" t="s">
        <v>12</v>
      </c>
      <c r="M10" s="106" t="s">
        <v>13</v>
      </c>
      <c r="N10" s="112">
        <f>SUM(N6:N9)</f>
        <v>22600000</v>
      </c>
      <c r="O10" s="1559"/>
      <c r="P10" s="1559"/>
      <c r="Q10" s="1559"/>
      <c r="R10" s="1559"/>
      <c r="S10" s="1559"/>
    </row>
    <row r="11" spans="1:19" ht="16.5" thickTop="1">
      <c r="A11" s="1563"/>
      <c r="B11" s="1563"/>
      <c r="C11" s="1563"/>
      <c r="D11" s="1563"/>
      <c r="E11" s="1563"/>
      <c r="F11" s="1563"/>
      <c r="G11" s="1563"/>
      <c r="H11" s="1563"/>
      <c r="I11" s="1564"/>
      <c r="J11" s="109"/>
      <c r="K11" s="106" t="s">
        <v>14</v>
      </c>
      <c r="L11" s="113" t="s">
        <v>908</v>
      </c>
      <c r="M11" s="114"/>
      <c r="N11" s="114"/>
      <c r="O11" s="114"/>
      <c r="P11" s="114"/>
      <c r="Q11" s="100"/>
      <c r="R11" s="100"/>
      <c r="S11" s="100"/>
    </row>
    <row r="12" spans="1:19" ht="15" customHeight="1">
      <c r="A12" s="1548" t="str">
        <f>_xlfn.CONCAT("We hereby certify that the Budget for the Fiscal Year ",E3," was")</f>
        <v>We hereby certify that the Budget for the Fiscal Year 2025 was</v>
      </c>
      <c r="B12" s="1548"/>
      <c r="C12" s="1548"/>
      <c r="D12" s="1548"/>
      <c r="E12" s="1548"/>
      <c r="F12" s="1548"/>
      <c r="G12" s="1548"/>
      <c r="H12" s="1548"/>
      <c r="I12" s="1560"/>
      <c r="J12" s="109"/>
      <c r="K12" s="100"/>
      <c r="L12" s="100"/>
      <c r="M12" s="100"/>
      <c r="N12" s="3" t="str">
        <f>_xlfn.CONCAT("Prior FY ",V39)</f>
        <v>Prior FY 2024</v>
      </c>
      <c r="O12" s="3"/>
      <c r="P12" s="100"/>
      <c r="Q12" s="3" t="str">
        <f>_xlfn.CONCAT("Est. Budget FY ",E3)</f>
        <v>Est. Budget FY 2025</v>
      </c>
      <c r="R12" s="3"/>
      <c r="S12" s="100"/>
    </row>
    <row r="13" spans="1:19">
      <c r="A13" s="100"/>
      <c r="B13" s="100"/>
      <c r="C13" s="107" t="s">
        <v>15</v>
      </c>
      <c r="D13" s="100"/>
      <c r="E13" s="1561">
        <v>45468</v>
      </c>
      <c r="F13" s="1561"/>
      <c r="G13" s="115" t="str">
        <f>IF(AND(OR(ISNUMBER(SEARCH("Proposed*",C8)),ISNUMBER(SEARCH("Adopted*",C8)),ISNUMBER(SEARCH("Revised*",C8))),E13=""),"Please enter a Proposed Date","")</f>
        <v/>
      </c>
      <c r="H13" s="100"/>
      <c r="I13" s="100"/>
      <c r="J13" s="109"/>
      <c r="K13" s="100"/>
      <c r="L13" s="100" t="s">
        <v>16</v>
      </c>
      <c r="M13" s="100"/>
      <c r="N13" s="16">
        <v>2.3540999999999999</v>
      </c>
      <c r="O13" s="116"/>
      <c r="P13" s="117"/>
      <c r="Q13" s="16">
        <v>2.2812000000000001</v>
      </c>
      <c r="R13" s="116"/>
      <c r="S13" s="100" t="str">
        <f>IF('Page 7'!J10&gt;'Page 7'!H10,"Please correct error on Page 7","")</f>
        <v/>
      </c>
    </row>
    <row r="14" spans="1:19">
      <c r="A14" s="100"/>
      <c r="B14" s="100"/>
      <c r="C14" s="107" t="s">
        <v>17</v>
      </c>
      <c r="D14" s="100"/>
      <c r="E14" s="1555">
        <v>45482</v>
      </c>
      <c r="F14" s="1555"/>
      <c r="G14" s="115" t="str">
        <f>IF(AND(OR(ISNUMBER(SEARCH("Adopted*",C8)),ISNUMBER(SEARCH("Revised*",C8))),E14=""),"Please enter an Adopted Date","")</f>
        <v/>
      </c>
      <c r="H14" s="100"/>
      <c r="I14" s="100"/>
      <c r="J14" s="109"/>
      <c r="K14" s="100"/>
      <c r="L14" s="100" t="s">
        <v>18</v>
      </c>
      <c r="M14" s="100"/>
      <c r="N14" s="116"/>
      <c r="O14" s="116"/>
      <c r="P14" s="117"/>
      <c r="Q14" s="118"/>
      <c r="R14" s="118"/>
      <c r="S14" s="100"/>
    </row>
    <row r="15" spans="1:19">
      <c r="A15" s="100"/>
      <c r="B15" s="100"/>
      <c r="C15" s="107" t="s">
        <v>19</v>
      </c>
      <c r="D15" s="100"/>
      <c r="E15" s="1555"/>
      <c r="F15" s="1555"/>
      <c r="G15" s="119" t="str">
        <f>IF(AND(ISNUMBER(SEARCH("Revised*",C8)),E15=""),"Please enter a Revised Date","")</f>
        <v/>
      </c>
      <c r="H15" s="100"/>
      <c r="I15" s="100"/>
      <c r="J15" s="109"/>
      <c r="K15" s="100"/>
      <c r="L15" s="100" t="s">
        <v>20</v>
      </c>
      <c r="M15" s="100"/>
      <c r="N15" s="16">
        <v>0</v>
      </c>
      <c r="O15" s="116"/>
      <c r="P15" s="117"/>
      <c r="Q15" s="16">
        <v>0</v>
      </c>
      <c r="R15" s="116"/>
      <c r="S15" s="100"/>
    </row>
    <row r="16" spans="1:19">
      <c r="A16" s="100"/>
      <c r="B16" s="100"/>
      <c r="C16" s="100"/>
      <c r="D16" s="100"/>
      <c r="E16" s="1551" t="s">
        <v>21</v>
      </c>
      <c r="F16" s="1551"/>
      <c r="G16" s="100"/>
      <c r="H16" s="100"/>
      <c r="I16" s="100"/>
      <c r="J16" s="109"/>
      <c r="K16" s="100"/>
      <c r="L16" s="100" t="s">
        <v>22</v>
      </c>
      <c r="M16" s="100"/>
      <c r="N16" s="15">
        <v>0</v>
      </c>
      <c r="O16" s="116"/>
      <c r="P16" s="117"/>
      <c r="Q16" s="15">
        <v>0</v>
      </c>
      <c r="R16" s="116"/>
      <c r="S16" s="100"/>
    </row>
    <row r="17" spans="1:23" ht="15.75" customHeight="1">
      <c r="A17" s="120"/>
      <c r="B17" s="120"/>
      <c r="C17" s="120"/>
      <c r="D17" s="120"/>
      <c r="E17" s="120"/>
      <c r="F17" s="120"/>
      <c r="G17" s="120"/>
      <c r="H17" s="120"/>
      <c r="I17" s="121"/>
      <c r="J17" s="109"/>
      <c r="K17" s="100"/>
      <c r="L17" s="100" t="s">
        <v>23</v>
      </c>
      <c r="M17" s="100"/>
      <c r="N17" s="15">
        <v>0</v>
      </c>
      <c r="O17" s="116"/>
      <c r="P17" s="117"/>
      <c r="Q17" s="15">
        <v>0</v>
      </c>
      <c r="R17" s="116"/>
      <c r="S17" s="100"/>
    </row>
    <row r="18" spans="1:23">
      <c r="A18" s="122"/>
      <c r="B18" s="120"/>
      <c r="C18" s="120"/>
      <c r="D18" s="120"/>
      <c r="E18" s="120"/>
      <c r="F18" s="120"/>
      <c r="G18" s="120"/>
      <c r="H18" s="120"/>
      <c r="I18" s="121"/>
      <c r="J18" s="109"/>
      <c r="K18" s="100"/>
      <c r="L18" s="107" t="s">
        <v>24</v>
      </c>
      <c r="M18" s="3"/>
      <c r="N18" s="15">
        <v>0</v>
      </c>
      <c r="O18" s="116"/>
      <c r="P18" s="117"/>
      <c r="Q18" s="15">
        <v>0</v>
      </c>
      <c r="R18" s="116"/>
      <c r="S18" s="100"/>
    </row>
    <row r="19" spans="1:23">
      <c r="A19" s="100"/>
      <c r="B19" s="100"/>
      <c r="C19" s="1556"/>
      <c r="D19" s="1556"/>
      <c r="E19" s="100"/>
      <c r="F19" s="1556"/>
      <c r="G19" s="1556"/>
      <c r="H19" s="100"/>
      <c r="I19" s="100"/>
      <c r="J19" s="109"/>
      <c r="K19" s="100"/>
      <c r="L19" s="107" t="s">
        <v>25</v>
      </c>
      <c r="M19" s="100"/>
      <c r="N19" s="15">
        <v>6.0900000000000003E-2</v>
      </c>
      <c r="O19" s="116"/>
      <c r="P19" s="117"/>
      <c r="Q19" s="15">
        <v>6.88E-2</v>
      </c>
      <c r="R19" s="116"/>
      <c r="S19" s="100"/>
    </row>
    <row r="20" spans="1:23">
      <c r="A20" s="100"/>
      <c r="B20" s="100"/>
      <c r="C20" s="1535"/>
      <c r="D20" s="1535"/>
      <c r="E20" s="100"/>
      <c r="F20" s="1535"/>
      <c r="G20" s="1535"/>
      <c r="H20" s="100"/>
      <c r="I20" s="100"/>
      <c r="J20" s="109"/>
      <c r="K20" s="100"/>
      <c r="L20" s="100" t="s">
        <v>26</v>
      </c>
      <c r="M20" s="100"/>
      <c r="N20" s="16">
        <v>0</v>
      </c>
      <c r="O20" s="116"/>
      <c r="P20" s="100"/>
      <c r="Q20" s="16">
        <v>0</v>
      </c>
      <c r="R20" s="116"/>
      <c r="S20" s="100"/>
    </row>
    <row r="21" spans="1:23">
      <c r="A21" s="100"/>
      <c r="B21" s="100"/>
      <c r="C21" s="1535"/>
      <c r="D21" s="1535"/>
      <c r="E21" s="100"/>
      <c r="F21" s="1535"/>
      <c r="G21" s="1535"/>
      <c r="H21" s="100"/>
      <c r="I21" s="100"/>
      <c r="J21" s="109"/>
      <c r="K21" s="100"/>
      <c r="L21" s="100" t="s">
        <v>27</v>
      </c>
      <c r="M21" s="100"/>
      <c r="N21" s="16">
        <v>0</v>
      </c>
      <c r="O21" s="116"/>
      <c r="P21" s="100"/>
      <c r="Q21" s="16">
        <v>0</v>
      </c>
      <c r="R21" s="116"/>
      <c r="S21" s="100"/>
    </row>
    <row r="22" spans="1:23" ht="16.5" thickBot="1">
      <c r="A22" s="100"/>
      <c r="B22" s="100"/>
      <c r="C22" s="1535"/>
      <c r="D22" s="1535"/>
      <c r="E22" s="100"/>
      <c r="F22" s="1535"/>
      <c r="G22" s="1535"/>
      <c r="H22" s="100"/>
      <c r="I22" s="100"/>
      <c r="J22" s="109"/>
      <c r="K22" s="100"/>
      <c r="L22" s="100" t="s">
        <v>28</v>
      </c>
      <c r="M22" s="100"/>
      <c r="N22" s="123">
        <f>SUM(N15:N21)</f>
        <v>6.0900000000000003E-2</v>
      </c>
      <c r="O22" s="116"/>
      <c r="P22" s="100"/>
      <c r="Q22" s="123">
        <f>SUM(Q15:Q21)</f>
        <v>6.88E-2</v>
      </c>
      <c r="R22" s="116"/>
      <c r="S22" s="3"/>
    </row>
    <row r="23" spans="1:23" ht="16.5" thickTop="1">
      <c r="A23" s="100"/>
      <c r="B23" s="100"/>
      <c r="C23" s="1535"/>
      <c r="D23" s="1535"/>
      <c r="E23" s="100"/>
      <c r="F23" s="1535"/>
      <c r="G23" s="1535"/>
      <c r="H23" s="100"/>
      <c r="I23" s="100"/>
      <c r="J23" s="109"/>
      <c r="K23" s="124" t="s">
        <v>910</v>
      </c>
      <c r="M23" s="100"/>
      <c r="N23" s="100"/>
      <c r="O23" s="100"/>
      <c r="P23" s="100"/>
      <c r="Q23" s="100"/>
      <c r="R23" s="100"/>
      <c r="S23" s="100"/>
    </row>
    <row r="24" spans="1:23">
      <c r="A24" s="100"/>
      <c r="B24" s="100"/>
      <c r="C24" s="1535"/>
      <c r="D24" s="1535"/>
      <c r="E24" s="100"/>
      <c r="F24" s="1535"/>
      <c r="G24" s="1535"/>
      <c r="H24" s="100"/>
      <c r="I24" s="100"/>
      <c r="J24" s="109"/>
      <c r="K24" s="124"/>
      <c r="M24" s="100"/>
      <c r="N24" s="100"/>
      <c r="O24" s="100"/>
      <c r="P24" s="100"/>
      <c r="Q24" s="125" t="s">
        <v>29</v>
      </c>
      <c r="R24" s="125"/>
      <c r="S24" s="125" t="s">
        <v>30</v>
      </c>
    </row>
    <row r="25" spans="1:23">
      <c r="A25" s="100"/>
      <c r="B25" s="100"/>
      <c r="C25" s="1535"/>
      <c r="D25" s="1535"/>
      <c r="E25" s="100"/>
      <c r="F25" s="1535"/>
      <c r="G25" s="1535"/>
      <c r="H25" s="100"/>
      <c r="I25" s="100"/>
      <c r="J25" s="109"/>
      <c r="K25" s="106" t="s">
        <v>1</v>
      </c>
      <c r="L25" s="100" t="s">
        <v>31</v>
      </c>
      <c r="M25" s="100"/>
      <c r="N25" s="100"/>
      <c r="O25" s="100"/>
      <c r="P25" s="106" t="s">
        <v>13</v>
      </c>
      <c r="Q25" s="110">
        <f>ROUND(F001TotalExp,0)</f>
        <v>32686373</v>
      </c>
      <c r="R25" s="106" t="s">
        <v>13</v>
      </c>
      <c r="S25" s="110">
        <f>ROUND(GBLBudgFY,0)</f>
        <v>32686373</v>
      </c>
      <c r="T25" s="126" t="str">
        <f>IF(Q25&gt;S25,"GBL Exceeded","")</f>
        <v/>
      </c>
    </row>
    <row r="26" spans="1:23">
      <c r="A26" s="100"/>
      <c r="B26" s="100"/>
      <c r="C26" s="1545" t="s">
        <v>907</v>
      </c>
      <c r="D26" s="1545"/>
      <c r="E26" s="127"/>
      <c r="F26" s="1545" t="s">
        <v>907</v>
      </c>
      <c r="G26" s="1545"/>
      <c r="H26" s="100"/>
      <c r="I26" s="100"/>
      <c r="J26" s="109"/>
      <c r="K26" s="106" t="s">
        <v>2</v>
      </c>
      <c r="L26" s="100" t="s">
        <v>32</v>
      </c>
      <c r="M26" s="100"/>
      <c r="N26" s="100"/>
      <c r="O26" s="100"/>
      <c r="P26" s="106" t="s">
        <v>13</v>
      </c>
      <c r="Q26" s="110">
        <f>ROUND(F610TotalBudgFY,0)</f>
        <v>2449329</v>
      </c>
      <c r="R26" s="106" t="s">
        <v>13</v>
      </c>
      <c r="S26" s="110">
        <f>ROUND(UCBLBudgFY,0)</f>
        <v>2449329</v>
      </c>
      <c r="T26" s="126" t="str">
        <f>IF(Q26&gt;S26,"UCBL Exceeded","")</f>
        <v/>
      </c>
    </row>
    <row r="27" spans="1:23">
      <c r="A27" s="100"/>
      <c r="B27" s="100"/>
      <c r="C27" s="100"/>
      <c r="D27" s="100"/>
      <c r="E27" s="100"/>
      <c r="F27" s="100"/>
      <c r="G27" s="100"/>
      <c r="H27" s="100"/>
      <c r="I27" s="100"/>
      <c r="J27" s="109"/>
      <c r="K27" s="128" t="s">
        <v>14</v>
      </c>
      <c r="L27" s="100" t="s">
        <v>1296</v>
      </c>
      <c r="M27" s="100"/>
      <c r="N27" s="100"/>
      <c r="O27" s="100"/>
      <c r="P27" s="100"/>
      <c r="R27" s="106" t="s">
        <v>13</v>
      </c>
      <c r="S27" s="110">
        <f>TotFedProjFundBudgFY-F378BudgFY</f>
        <v>4680539</v>
      </c>
    </row>
    <row r="28" spans="1:23" ht="16.5" thickBot="1">
      <c r="A28" s="100"/>
      <c r="C28" s="100" t="str">
        <f>_xlfn.CONCAT("The FY ",E3," budget file for the version described above will be uploaded via")</f>
        <v>The FY 2025 budget file for the version described above will be uploaded via</v>
      </c>
      <c r="D28" s="100"/>
      <c r="E28" s="100"/>
      <c r="F28" s="100"/>
      <c r="G28" s="100"/>
      <c r="H28" s="100"/>
      <c r="I28" s="100"/>
      <c r="J28" s="109"/>
      <c r="K28" s="128" t="s">
        <v>33</v>
      </c>
      <c r="L28" s="100" t="s">
        <v>992</v>
      </c>
      <c r="M28" s="100"/>
      <c r="N28" s="100"/>
      <c r="O28" s="100"/>
      <c r="P28" s="100"/>
      <c r="R28" s="106" t="s">
        <v>13</v>
      </c>
      <c r="S28" s="112">
        <f>SUM(S25+S26+S27)</f>
        <v>39816241</v>
      </c>
    </row>
    <row r="29" spans="1:23" ht="16.5" customHeight="1" thickTop="1">
      <c r="A29" s="100"/>
      <c r="B29" s="102" t="s">
        <v>34</v>
      </c>
      <c r="C29" s="100" t="s">
        <v>35</v>
      </c>
      <c r="D29" s="129"/>
      <c r="F29" s="1552">
        <v>45483</v>
      </c>
      <c r="G29" s="1552"/>
      <c r="H29" s="130" t="s">
        <v>36</v>
      </c>
      <c r="I29" s="131"/>
      <c r="J29" s="109"/>
      <c r="S29" s="132"/>
    </row>
    <row r="30" spans="1:23" ht="16.5" customHeight="1">
      <c r="A30" s="100"/>
      <c r="B30" s="1548"/>
      <c r="C30" s="1548"/>
      <c r="D30" s="133"/>
      <c r="E30" s="100"/>
      <c r="F30" s="1553" t="s">
        <v>37</v>
      </c>
      <c r="G30" s="1553"/>
      <c r="H30" s="100"/>
      <c r="I30" s="100"/>
      <c r="J30" s="109"/>
      <c r="K30" s="134" t="s">
        <v>909</v>
      </c>
      <c r="L30" s="134"/>
      <c r="M30" s="134"/>
      <c r="N30" s="134"/>
      <c r="O30" s="134"/>
      <c r="P30" s="134"/>
      <c r="Q30" s="134"/>
      <c r="R30" s="132"/>
    </row>
    <row r="31" spans="1:23" ht="14.25" customHeight="1" thickBot="1">
      <c r="A31" s="100"/>
      <c r="B31" s="100"/>
      <c r="C31" s="100"/>
      <c r="D31" s="100"/>
      <c r="E31" s="135"/>
      <c r="F31" s="136" t="str">
        <f>IF(F29="","Please enter upload by date",IF(F29&gt;=MAX(E13,E14,E15),"","Revise upload date for current submission"))</f>
        <v/>
      </c>
      <c r="G31" s="100"/>
      <c r="H31" s="135"/>
      <c r="I31" s="100"/>
      <c r="J31" s="109"/>
      <c r="K31" s="128" t="s">
        <v>1</v>
      </c>
      <c r="L31" s="100" t="str">
        <f>_xlfn.CONCAT("Average salary of all teachers employed in FY ",E3," (budget year)")</f>
        <v>Average salary of all teachers employed in FY 2025 (budget year)</v>
      </c>
      <c r="M31" s="137"/>
      <c r="N31" s="137"/>
      <c r="O31" s="100"/>
      <c r="P31" s="1533" t="str">
        <f>IF(U32&lt;&gt;"","",IF(OR(S31=0,S32=0),"Average salary information is not complete",""))</f>
        <v/>
      </c>
      <c r="Q31" s="1533"/>
      <c r="R31" s="106" t="s">
        <v>13</v>
      </c>
      <c r="S31" s="14">
        <v>61250</v>
      </c>
      <c r="T31" s="138" t="str">
        <f>IF(U32&lt;&gt;"","",IF(OR(S31=0,S32=0),1/ERROR,""))</f>
        <v/>
      </c>
    </row>
    <row r="32" spans="1:23" ht="15.75" customHeight="1" thickBot="1">
      <c r="A32" s="100"/>
      <c r="B32" s="1546"/>
      <c r="C32" s="1546"/>
      <c r="D32" s="1546"/>
      <c r="E32" s="100"/>
      <c r="F32" s="1546"/>
      <c r="G32" s="1546"/>
      <c r="H32" s="1546"/>
      <c r="I32" s="100"/>
      <c r="J32" s="109"/>
      <c r="K32" s="128" t="s">
        <v>2</v>
      </c>
      <c r="L32" s="100" t="str">
        <f>_xlfn.CONCAT("Average salary of all teachers employed in FY ",V39," (prior year)")</f>
        <v>Average salary of all teachers employed in FY 2024 (prior year)</v>
      </c>
      <c r="M32" s="100"/>
      <c r="N32" s="100"/>
      <c r="O32" s="100"/>
      <c r="P32" s="1533"/>
      <c r="Q32" s="1533"/>
      <c r="R32" s="106" t="s">
        <v>13</v>
      </c>
      <c r="S32" s="14">
        <v>59466</v>
      </c>
      <c r="T32" s="138" t="b">
        <v>0</v>
      </c>
      <c r="U32" s="59"/>
      <c r="V32" s="1532" t="s">
        <v>38</v>
      </c>
      <c r="W32" s="1532"/>
    </row>
    <row r="33" spans="1:23">
      <c r="A33" s="100"/>
      <c r="B33" s="1551" t="s">
        <v>917</v>
      </c>
      <c r="C33" s="1551"/>
      <c r="D33" s="1551"/>
      <c r="E33" s="100"/>
      <c r="F33" s="1548" t="s">
        <v>920</v>
      </c>
      <c r="G33" s="1548"/>
      <c r="H33" s="1548"/>
      <c r="I33" s="100"/>
      <c r="J33" s="109"/>
      <c r="K33" s="128" t="s">
        <v>14</v>
      </c>
      <c r="L33" s="100" t="s">
        <v>39</v>
      </c>
      <c r="M33" s="100"/>
      <c r="N33" s="100"/>
      <c r="O33" s="100"/>
      <c r="P33" s="1533"/>
      <c r="Q33" s="1533"/>
      <c r="R33" s="106" t="s">
        <v>13</v>
      </c>
      <c r="S33" s="139">
        <f>BudgetYearSalary-PriorYearSalary</f>
        <v>1784</v>
      </c>
      <c r="V33" s="1532"/>
      <c r="W33" s="1532"/>
    </row>
    <row r="34" spans="1:23">
      <c r="A34" s="100"/>
      <c r="B34" s="100"/>
      <c r="C34" s="100"/>
      <c r="D34" s="100"/>
      <c r="E34" s="100"/>
      <c r="F34" s="100"/>
      <c r="G34" s="100"/>
      <c r="H34" s="100"/>
      <c r="I34" s="100"/>
      <c r="J34" s="109"/>
      <c r="K34" s="128" t="s">
        <v>33</v>
      </c>
      <c r="L34" s="100" t="s">
        <v>40</v>
      </c>
      <c r="M34" s="100"/>
      <c r="N34" s="100"/>
      <c r="O34" s="140"/>
      <c r="P34" s="1534"/>
      <c r="Q34" s="1534"/>
      <c r="R34" s="106"/>
      <c r="S34" s="141">
        <f>IF(PriorYearSalary&gt;0,SalaryIncrease/PriorYearSalary,0)</f>
        <v>0.03</v>
      </c>
    </row>
    <row r="35" spans="1:23" ht="18" customHeight="1">
      <c r="A35" s="100"/>
      <c r="B35" s="1546" t="s">
        <v>1307</v>
      </c>
      <c r="C35" s="1546"/>
      <c r="D35" s="1546"/>
      <c r="E35" s="100"/>
      <c r="F35" s="1546" t="s">
        <v>1308</v>
      </c>
      <c r="G35" s="1546"/>
      <c r="H35" s="1546"/>
      <c r="I35" s="100"/>
      <c r="J35" s="109"/>
      <c r="K35" s="1536" t="s">
        <v>1309</v>
      </c>
      <c r="L35" s="1537"/>
      <c r="M35" s="1537"/>
      <c r="N35" s="1537"/>
      <c r="O35" s="1537"/>
      <c r="P35" s="1537"/>
      <c r="Q35" s="1537"/>
      <c r="R35" s="1537"/>
      <c r="S35" s="1538"/>
    </row>
    <row r="36" spans="1:23" ht="15" customHeight="1">
      <c r="A36" s="100"/>
      <c r="B36" s="1551" t="s">
        <v>918</v>
      </c>
      <c r="C36" s="1551"/>
      <c r="D36" s="1551"/>
      <c r="E36" s="100"/>
      <c r="F36" s="1548" t="s">
        <v>919</v>
      </c>
      <c r="G36" s="1548"/>
      <c r="H36" s="1548"/>
      <c r="I36" s="100"/>
      <c r="J36" s="109"/>
      <c r="K36" s="1539"/>
      <c r="L36" s="1540"/>
      <c r="M36" s="1540"/>
      <c r="N36" s="1540"/>
      <c r="O36" s="1540"/>
      <c r="P36" s="1540"/>
      <c r="Q36" s="1540"/>
      <c r="R36" s="1540"/>
      <c r="S36" s="1541"/>
    </row>
    <row r="37" spans="1:23" ht="15" customHeight="1">
      <c r="A37" s="100"/>
      <c r="B37" s="3"/>
      <c r="C37" s="3"/>
      <c r="D37" s="3"/>
      <c r="E37" s="100"/>
      <c r="F37" s="3"/>
      <c r="G37" s="3"/>
      <c r="H37" s="3"/>
      <c r="I37" s="100"/>
      <c r="J37" s="142"/>
      <c r="K37" s="1539"/>
      <c r="L37" s="1540"/>
      <c r="M37" s="1540"/>
      <c r="N37" s="1540"/>
      <c r="O37" s="1540"/>
      <c r="P37" s="1540"/>
      <c r="Q37" s="1540"/>
      <c r="R37" s="1540"/>
      <c r="S37" s="1541"/>
    </row>
    <row r="38" spans="1:23" ht="15" customHeight="1">
      <c r="A38" s="100"/>
      <c r="B38" s="1547" t="s">
        <v>921</v>
      </c>
      <c r="C38" s="1547"/>
      <c r="D38" s="1546" t="s">
        <v>1308</v>
      </c>
      <c r="E38" s="1546"/>
      <c r="F38" s="1546"/>
      <c r="G38" s="1546"/>
      <c r="H38" s="100"/>
      <c r="I38" s="100"/>
      <c r="J38" s="143"/>
      <c r="K38" s="1539"/>
      <c r="L38" s="1540"/>
      <c r="M38" s="1540"/>
      <c r="N38" s="1540"/>
      <c r="O38" s="1540"/>
      <c r="P38" s="1540"/>
      <c r="Q38" s="1540"/>
      <c r="R38" s="1540"/>
      <c r="S38" s="1541"/>
      <c r="V38" s="138"/>
    </row>
    <row r="39" spans="1:23" ht="15" customHeight="1">
      <c r="A39" s="105"/>
      <c r="B39" s="107"/>
      <c r="C39" s="107"/>
      <c r="D39" s="3"/>
      <c r="E39" s="3"/>
      <c r="F39" s="3"/>
      <c r="G39" s="1"/>
      <c r="H39" s="100"/>
      <c r="I39" s="144"/>
      <c r="J39" s="145"/>
      <c r="K39" s="1542"/>
      <c r="L39" s="1543"/>
      <c r="M39" s="1543"/>
      <c r="N39" s="1543"/>
      <c r="O39" s="1543"/>
      <c r="P39" s="1543"/>
      <c r="Q39" s="1543"/>
      <c r="R39" s="1543"/>
      <c r="S39" s="1544"/>
      <c r="V39" s="1318">
        <f>E3-1</f>
        <v>2024</v>
      </c>
    </row>
    <row r="40" spans="1:23" ht="15" customHeight="1">
      <c r="A40" s="146"/>
      <c r="B40" s="100" t="s">
        <v>41</v>
      </c>
      <c r="C40" s="1549" t="s">
        <v>1347</v>
      </c>
      <c r="D40" s="1549"/>
      <c r="E40" s="100"/>
      <c r="F40" s="106" t="s">
        <v>42</v>
      </c>
      <c r="G40" s="1550" t="s">
        <v>1351</v>
      </c>
      <c r="H40" s="1546"/>
      <c r="I40" s="144"/>
      <c r="J40" s="147"/>
      <c r="K40" s="128"/>
      <c r="L40" s="100"/>
      <c r="M40" s="100"/>
      <c r="N40" s="100"/>
      <c r="O40" s="132"/>
      <c r="P40" s="132"/>
      <c r="Q40" s="100"/>
      <c r="R40" s="106"/>
      <c r="S40" s="148"/>
      <c r="V40" s="1318">
        <f>E3-2</f>
        <v>2023</v>
      </c>
    </row>
    <row r="41" spans="1:23" ht="15.75" customHeight="1">
      <c r="A41" s="146"/>
      <c r="B41" s="100"/>
      <c r="C41" s="100"/>
      <c r="D41" s="100"/>
      <c r="E41" s="149"/>
      <c r="F41" s="100"/>
      <c r="G41" s="100"/>
      <c r="H41" s="100"/>
      <c r="I41" s="144"/>
      <c r="J41" s="150"/>
      <c r="K41" s="128"/>
      <c r="L41" s="100"/>
      <c r="R41" s="106"/>
      <c r="S41" s="141"/>
      <c r="T41" s="150"/>
    </row>
    <row r="42" spans="1:23">
      <c r="A42" s="151"/>
      <c r="B42" s="100"/>
      <c r="C42" s="100"/>
      <c r="D42" s="100"/>
      <c r="E42" s="149"/>
      <c r="F42" s="100"/>
      <c r="G42" s="100"/>
      <c r="H42" s="100"/>
      <c r="J42" s="152"/>
      <c r="K42" s="153"/>
      <c r="L42" s="152"/>
      <c r="M42" s="154"/>
      <c r="N42" s="154"/>
      <c r="O42" s="154"/>
      <c r="P42" s="154"/>
      <c r="Q42" s="155"/>
      <c r="R42" s="155"/>
      <c r="S42" s="156"/>
      <c r="T42" s="150"/>
    </row>
    <row r="43" spans="1:23" ht="6.75" customHeight="1">
      <c r="B43" s="105"/>
      <c r="C43" s="149"/>
      <c r="D43" s="149"/>
      <c r="E43" s="157"/>
      <c r="F43" s="149"/>
      <c r="G43" s="149"/>
      <c r="H43" s="149"/>
      <c r="S43" s="158"/>
    </row>
    <row r="44" spans="1:23">
      <c r="E44" s="157"/>
      <c r="F44" s="157"/>
      <c r="G44" s="159"/>
      <c r="H44" s="157"/>
    </row>
    <row r="45" spans="1:23">
      <c r="E45" s="151"/>
      <c r="F45" s="157"/>
      <c r="G45" s="157"/>
      <c r="H45" s="157"/>
    </row>
    <row r="56" spans="2:2">
      <c r="B56" s="160"/>
    </row>
  </sheetData>
  <sheetProtection sheet="1" formatCells="0" formatColumns="0" formatRows="0"/>
  <mergeCells count="51">
    <mergeCell ref="O4:P4"/>
    <mergeCell ref="E14:F14"/>
    <mergeCell ref="O8:S8"/>
    <mergeCell ref="C8:G8"/>
    <mergeCell ref="A4:I4"/>
    <mergeCell ref="A6:I6"/>
    <mergeCell ref="A12:I12"/>
    <mergeCell ref="A5:I5"/>
    <mergeCell ref="E13:F13"/>
    <mergeCell ref="A10:I11"/>
    <mergeCell ref="O6:S7"/>
    <mergeCell ref="O9:S10"/>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V32:W33"/>
    <mergeCell ref="P31:Q34"/>
    <mergeCell ref="C25:D25"/>
    <mergeCell ref="K35:S39"/>
    <mergeCell ref="C26:D26"/>
    <mergeCell ref="B32:D32"/>
    <mergeCell ref="B38:C38"/>
    <mergeCell ref="B30:C30"/>
    <mergeCell ref="F32:H32"/>
  </mergeCells>
  <dataValidations xWindow="443" yWindow="456" count="7">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5:F15" xr:uid="{00000000-0002-0000-0000-000002000000}">
      <formula1>E14</formula1>
    </dataValidation>
    <dataValidation type="date" operator="greaterThan" allowBlank="1" showInputMessage="1" showErrorMessage="1" errorTitle="Date" error="Adopted date must be greater than proposed date" promptTitle="Enter Date as" prompt="MM/DD/YYYY" sqref="E14:F14" xr:uid="{00000000-0002-0000-0000-000003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s>
  <printOptions horizontalCentered="1"/>
  <pageMargins left="0.25" right="0.25" top="0.25" bottom="0.25" header="0" footer="0.15"/>
  <pageSetup paperSize="5" scale="70" orientation="landscape" r:id="rId1"/>
  <headerFooter alignWithMargins="0">
    <oddFooter>&amp;L&amp;"Times New Roman,Bold"&amp;9Rev. 5/24&amp;K000000 Arizona Department of Education and Auditor General&amp;C&amp;"Times New Roman,Regular"&amp;9&amp;D  &amp;T</oddFooter>
  </headerFooter>
  <ignoredErrors>
    <ignoredError sqref="R2" evalError="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9"/>
  <sheetViews>
    <sheetView showGridLines="0" zoomScale="85" zoomScaleNormal="85" workbookViewId="0">
      <selection activeCell="D37" sqref="D37:E37"/>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78" customWidth="1"/>
    <col min="14" max="15" width="8.88671875" style="174" customWidth="1"/>
    <col min="16" max="16" width="8.88671875" customWidth="1"/>
  </cols>
  <sheetData>
    <row r="1" spans="1:21" ht="15.75">
      <c r="A1" s="1285" t="s">
        <v>911</v>
      </c>
      <c r="B1" s="161" t="str">
        <f>DistrictName</f>
        <v xml:space="preserve">Prescott Unified </v>
      </c>
      <c r="C1" s="146"/>
      <c r="D1" s="1285" t="s">
        <v>446</v>
      </c>
      <c r="E1" s="101" t="str">
        <f>Cover!H1</f>
        <v>Yavapai</v>
      </c>
      <c r="G1" s="1285" t="s">
        <v>912</v>
      </c>
      <c r="H1" s="162" t="str">
        <f>CTD</f>
        <v>130201000</v>
      </c>
      <c r="I1" s="163"/>
      <c r="J1" s="1285" t="s">
        <v>9</v>
      </c>
      <c r="K1" s="164" t="str">
        <f>Cover!C8</f>
        <v>Adopted</v>
      </c>
      <c r="M1" s="138" t="s">
        <v>43</v>
      </c>
      <c r="N1" s="138" t="s">
        <v>44</v>
      </c>
      <c r="O1" s="138" t="s">
        <v>45</v>
      </c>
      <c r="P1" s="138" t="s">
        <v>46</v>
      </c>
      <c r="Q1" s="138" t="s">
        <v>47</v>
      </c>
      <c r="R1" s="165"/>
      <c r="S1" s="165"/>
      <c r="T1" s="165"/>
      <c r="U1" s="165"/>
    </row>
    <row r="2" spans="1:21" ht="15.75">
      <c r="M2" s="138" t="s">
        <v>48</v>
      </c>
      <c r="N2" s="138" t="s">
        <v>49</v>
      </c>
      <c r="O2" s="138" t="s">
        <v>50</v>
      </c>
      <c r="P2" s="138" t="s">
        <v>51</v>
      </c>
      <c r="Q2" s="138" t="s">
        <v>52</v>
      </c>
      <c r="R2" s="138" t="s">
        <v>53</v>
      </c>
      <c r="S2" s="138" t="s">
        <v>54</v>
      </c>
      <c r="T2" s="138" t="s">
        <v>55</v>
      </c>
      <c r="U2" s="138" t="s">
        <v>56</v>
      </c>
    </row>
    <row r="3" spans="1:21" ht="15.75">
      <c r="A3" s="1571" t="s">
        <v>922</v>
      </c>
      <c r="B3" s="1571"/>
      <c r="C3" s="1571"/>
      <c r="D3" s="1571"/>
      <c r="E3" s="1571"/>
      <c r="F3" s="1571"/>
      <c r="G3" s="1571"/>
      <c r="H3" s="1571"/>
      <c r="I3" s="1571"/>
      <c r="J3" s="1571"/>
      <c r="K3" s="1571"/>
      <c r="M3" s="166" t="s">
        <v>57</v>
      </c>
      <c r="N3" s="138" t="s">
        <v>58</v>
      </c>
      <c r="O3" s="165"/>
    </row>
    <row r="4" spans="1:21" ht="15.75">
      <c r="A4" s="102"/>
      <c r="B4" s="167"/>
      <c r="M4" s="166" t="s">
        <v>59</v>
      </c>
      <c r="N4" s="138" t="s">
        <v>60</v>
      </c>
      <c r="O4" s="165"/>
    </row>
    <row r="5" spans="1:21" ht="15.75">
      <c r="A5" s="102"/>
      <c r="B5" s="168"/>
      <c r="C5" s="169" t="s">
        <v>61</v>
      </c>
      <c r="D5" s="169" t="s">
        <v>916</v>
      </c>
      <c r="E5" s="1579" t="s">
        <v>915</v>
      </c>
      <c r="F5" s="1580"/>
      <c r="G5" s="169" t="s">
        <v>914</v>
      </c>
      <c r="H5" s="169" t="s">
        <v>913</v>
      </c>
      <c r="I5" s="169" t="s">
        <v>62</v>
      </c>
      <c r="M5" s="166" t="s">
        <v>63</v>
      </c>
      <c r="N5" s="138" t="s">
        <v>64</v>
      </c>
      <c r="O5" s="165"/>
    </row>
    <row r="6" spans="1:21" ht="15.75">
      <c r="A6" s="170" t="s">
        <v>65</v>
      </c>
      <c r="B6" s="168"/>
      <c r="C6" s="56"/>
      <c r="D6" s="56" t="s">
        <v>1310</v>
      </c>
      <c r="E6" s="1581" t="s">
        <v>1311</v>
      </c>
      <c r="F6" s="1582"/>
      <c r="G6" s="1520" t="s">
        <v>1346</v>
      </c>
      <c r="H6" s="58" t="s">
        <v>1347</v>
      </c>
      <c r="I6" s="74" t="s">
        <v>1348</v>
      </c>
      <c r="M6" s="166" t="s">
        <v>66</v>
      </c>
      <c r="N6" s="138" t="s">
        <v>67</v>
      </c>
      <c r="O6" s="165"/>
    </row>
    <row r="7" spans="1:21" ht="15.75" customHeight="1">
      <c r="A7" s="171" t="s">
        <v>68</v>
      </c>
      <c r="B7" s="168"/>
      <c r="C7" s="56"/>
      <c r="D7" s="56" t="s">
        <v>1312</v>
      </c>
      <c r="E7" s="1567" t="s">
        <v>1313</v>
      </c>
      <c r="F7" s="1568"/>
      <c r="G7" s="1521" t="s">
        <v>1349</v>
      </c>
      <c r="H7" s="58" t="s">
        <v>1347</v>
      </c>
      <c r="I7" s="74" t="s">
        <v>1350</v>
      </c>
      <c r="J7" s="1577" t="str">
        <f>IF(AND(G9="",G10=""),"The Superintendent and Business Manager email addresses are used to distribute important budget information. If your district does not have a Business Manager, please fill in an alternate contact to receive budget updates. ","")</f>
        <v/>
      </c>
      <c r="K7" s="1578"/>
      <c r="L7" s="1578"/>
      <c r="M7" s="166" t="s">
        <v>69</v>
      </c>
      <c r="N7" s="165"/>
      <c r="O7" s="165"/>
    </row>
    <row r="8" spans="1:21" ht="15.75">
      <c r="A8" s="171" t="s">
        <v>70</v>
      </c>
      <c r="B8" s="168"/>
      <c r="C8" s="56"/>
      <c r="D8" s="56" t="s">
        <v>1314</v>
      </c>
      <c r="E8" s="1567" t="s">
        <v>1315</v>
      </c>
      <c r="F8" s="1568"/>
      <c r="G8" s="56" t="s">
        <v>1351</v>
      </c>
      <c r="H8" s="58" t="s">
        <v>1347</v>
      </c>
      <c r="I8" s="74" t="s">
        <v>1352</v>
      </c>
      <c r="J8" s="1577"/>
      <c r="K8" s="1578"/>
      <c r="L8" s="1578"/>
      <c r="M8" s="166" t="s">
        <v>71</v>
      </c>
      <c r="N8" s="165"/>
      <c r="O8" s="165"/>
    </row>
    <row r="9" spans="1:21" ht="15.75">
      <c r="A9" s="173" t="s">
        <v>72</v>
      </c>
      <c r="B9" s="168"/>
      <c r="C9" s="56"/>
      <c r="D9" s="56" t="s">
        <v>1314</v>
      </c>
      <c r="E9" s="1567" t="s">
        <v>1315</v>
      </c>
      <c r="F9" s="1568"/>
      <c r="G9" s="1522" t="s">
        <v>1351</v>
      </c>
      <c r="H9" s="58" t="s">
        <v>1347</v>
      </c>
      <c r="I9" s="74" t="s">
        <v>1352</v>
      </c>
      <c r="J9" s="1577"/>
      <c r="K9" s="1578"/>
      <c r="L9" s="1578"/>
      <c r="M9" s="166" t="s">
        <v>73</v>
      </c>
      <c r="N9" s="165"/>
      <c r="O9" s="165"/>
    </row>
    <row r="10" spans="1:21" ht="15.75">
      <c r="A10" s="173" t="s">
        <v>74</v>
      </c>
      <c r="B10" s="168"/>
      <c r="C10" s="56"/>
      <c r="D10" s="56"/>
      <c r="E10" s="1567"/>
      <c r="F10" s="1568"/>
      <c r="G10" s="1217"/>
      <c r="H10" s="58"/>
      <c r="I10" s="74"/>
      <c r="J10" s="1577"/>
      <c r="K10" s="1578"/>
      <c r="L10" s="1578"/>
      <c r="M10" s="166" t="s">
        <v>75</v>
      </c>
      <c r="N10" s="165"/>
      <c r="O10" s="165"/>
    </row>
    <row r="11" spans="1:21" ht="15.75">
      <c r="A11" s="173" t="s">
        <v>76</v>
      </c>
      <c r="B11" s="168"/>
      <c r="C11" s="56"/>
      <c r="D11" s="56"/>
      <c r="E11" s="1567"/>
      <c r="F11" s="1568"/>
      <c r="G11" s="1217"/>
      <c r="H11" s="58"/>
      <c r="I11" s="74"/>
      <c r="J11" s="1577"/>
      <c r="K11" s="1578"/>
      <c r="L11" s="1578"/>
      <c r="M11" s="166" t="s">
        <v>77</v>
      </c>
      <c r="N11" s="165"/>
      <c r="O11" s="165"/>
    </row>
    <row r="12" spans="1:21" ht="15.75">
      <c r="A12" s="173" t="s">
        <v>78</v>
      </c>
      <c r="B12" s="168"/>
      <c r="C12" s="56"/>
      <c r="D12" s="56" t="s">
        <v>1316</v>
      </c>
      <c r="E12" s="1569" t="s">
        <v>1317</v>
      </c>
      <c r="F12" s="1570"/>
      <c r="G12" s="56" t="s">
        <v>1353</v>
      </c>
      <c r="H12" s="58" t="s">
        <v>1347</v>
      </c>
      <c r="I12" s="74" t="s">
        <v>1354</v>
      </c>
      <c r="J12" s="1577"/>
      <c r="K12" s="1578"/>
      <c r="L12" s="1578"/>
      <c r="M12" s="166" t="s">
        <v>79</v>
      </c>
      <c r="N12" s="165"/>
      <c r="O12" s="165"/>
    </row>
    <row r="13" spans="1:21" ht="15.75">
      <c r="A13" s="173" t="s">
        <v>80</v>
      </c>
      <c r="B13" s="168"/>
      <c r="C13" s="57"/>
      <c r="D13" s="57" t="s">
        <v>1318</v>
      </c>
      <c r="E13" s="1565" t="s">
        <v>1319</v>
      </c>
      <c r="F13" s="1566"/>
      <c r="G13" s="57" t="s">
        <v>1355</v>
      </c>
      <c r="H13" s="58" t="s">
        <v>1356</v>
      </c>
      <c r="I13" s="74" t="s">
        <v>1357</v>
      </c>
      <c r="J13" s="1577"/>
      <c r="K13" s="1578"/>
      <c r="L13" s="1578"/>
      <c r="M13" s="166" t="s">
        <v>81</v>
      </c>
      <c r="N13" s="165"/>
      <c r="O13" s="165"/>
    </row>
    <row r="14" spans="1:21" ht="15.75">
      <c r="A14" s="173" t="s">
        <v>82</v>
      </c>
      <c r="B14" s="168"/>
      <c r="C14" s="56"/>
      <c r="D14" s="56" t="s">
        <v>1320</v>
      </c>
      <c r="E14" s="1567" t="s">
        <v>1321</v>
      </c>
      <c r="F14" s="1568"/>
      <c r="G14" s="56" t="s">
        <v>1358</v>
      </c>
      <c r="H14" s="58" t="s">
        <v>1347</v>
      </c>
      <c r="I14" s="74" t="s">
        <v>1359</v>
      </c>
      <c r="J14" s="1577"/>
      <c r="K14" s="1578"/>
      <c r="L14" s="1578"/>
      <c r="M14" s="166" t="s">
        <v>83</v>
      </c>
    </row>
    <row r="15" spans="1:21" ht="15.75">
      <c r="A15" s="173" t="s">
        <v>84</v>
      </c>
      <c r="B15" s="168"/>
      <c r="C15" s="56"/>
      <c r="D15" s="56" t="s">
        <v>1322</v>
      </c>
      <c r="E15" s="1567" t="s">
        <v>1323</v>
      </c>
      <c r="F15" s="1568"/>
      <c r="G15" s="56" t="s">
        <v>1360</v>
      </c>
      <c r="H15" s="58" t="s">
        <v>1361</v>
      </c>
      <c r="I15" s="74" t="s">
        <v>1362</v>
      </c>
      <c r="J15" s="1577"/>
      <c r="K15" s="1578"/>
      <c r="L15" s="1578"/>
      <c r="M15" s="166" t="s">
        <v>85</v>
      </c>
    </row>
    <row r="16" spans="1:21" ht="15.75">
      <c r="A16" s="173" t="s">
        <v>86</v>
      </c>
      <c r="B16" s="175"/>
      <c r="C16" s="56"/>
      <c r="D16" s="56" t="s">
        <v>1324</v>
      </c>
      <c r="E16" s="1567" t="s">
        <v>1325</v>
      </c>
      <c r="F16" s="1568"/>
      <c r="G16" s="56" t="s">
        <v>1363</v>
      </c>
      <c r="H16" s="58" t="s">
        <v>1364</v>
      </c>
      <c r="I16" s="74" t="s">
        <v>1365</v>
      </c>
      <c r="J16" s="172"/>
      <c r="K16" s="172"/>
      <c r="L16" s="172"/>
      <c r="M16" s="166" t="s">
        <v>87</v>
      </c>
    </row>
    <row r="17" spans="1:13" ht="15.75">
      <c r="A17" s="173" t="s">
        <v>88</v>
      </c>
      <c r="B17" s="175"/>
      <c r="C17" s="56"/>
      <c r="D17" s="56" t="s">
        <v>1326</v>
      </c>
      <c r="E17" s="1567" t="s">
        <v>1327</v>
      </c>
      <c r="F17" s="1568"/>
      <c r="G17" s="56" t="s">
        <v>1366</v>
      </c>
      <c r="H17" s="58" t="s">
        <v>1347</v>
      </c>
      <c r="I17" s="74" t="s">
        <v>1367</v>
      </c>
      <c r="J17" s="176"/>
      <c r="K17" s="176"/>
      <c r="L17" s="176"/>
      <c r="M17" s="177" t="s">
        <v>89</v>
      </c>
    </row>
    <row r="18" spans="1:13" ht="15.75">
      <c r="A18" s="173" t="s">
        <v>90</v>
      </c>
      <c r="B18" s="175"/>
      <c r="C18" s="56"/>
      <c r="D18" s="56" t="s">
        <v>1328</v>
      </c>
      <c r="E18" s="1567" t="s">
        <v>1329</v>
      </c>
      <c r="F18" s="1568"/>
      <c r="G18" s="56" t="s">
        <v>1368</v>
      </c>
      <c r="H18" s="58" t="s">
        <v>1347</v>
      </c>
      <c r="I18" s="74" t="s">
        <v>1369</v>
      </c>
      <c r="J18" s="176"/>
      <c r="K18" s="176"/>
      <c r="L18" s="176"/>
    </row>
    <row r="19" spans="1:13" ht="15.75">
      <c r="A19" s="173" t="s">
        <v>91</v>
      </c>
      <c r="B19" s="175"/>
      <c r="C19" s="56"/>
      <c r="D19" s="56" t="s">
        <v>1330</v>
      </c>
      <c r="E19" s="1567" t="s">
        <v>1331</v>
      </c>
      <c r="F19" s="1568"/>
      <c r="G19" s="56" t="s">
        <v>1370</v>
      </c>
      <c r="H19" s="58" t="s">
        <v>1347</v>
      </c>
      <c r="I19" s="74" t="s">
        <v>1371</v>
      </c>
      <c r="J19" s="172"/>
      <c r="K19" s="172"/>
      <c r="L19" s="172"/>
      <c r="M19" s="179"/>
    </row>
    <row r="20" spans="1:13" ht="15.75">
      <c r="A20" s="173" t="s">
        <v>92</v>
      </c>
      <c r="B20" s="175"/>
      <c r="C20" s="56"/>
      <c r="D20" s="56" t="s">
        <v>1332</v>
      </c>
      <c r="E20" s="1567" t="s">
        <v>1333</v>
      </c>
      <c r="F20" s="1568"/>
      <c r="G20" s="56" t="s">
        <v>1372</v>
      </c>
      <c r="H20" s="58" t="s">
        <v>1364</v>
      </c>
      <c r="I20" s="74" t="s">
        <v>1373</v>
      </c>
      <c r="J20" s="172"/>
      <c r="K20" s="172"/>
      <c r="L20" s="172"/>
      <c r="M20" s="179"/>
    </row>
    <row r="21" spans="1:13" ht="15.75">
      <c r="A21" s="173" t="s">
        <v>93</v>
      </c>
      <c r="B21" s="175"/>
      <c r="C21" s="56"/>
      <c r="D21" s="56" t="s">
        <v>1334</v>
      </c>
      <c r="E21" s="1567" t="s">
        <v>1335</v>
      </c>
      <c r="F21" s="1568"/>
      <c r="G21" s="56" t="s">
        <v>1374</v>
      </c>
      <c r="H21" s="58" t="s">
        <v>1364</v>
      </c>
      <c r="I21" s="74" t="s">
        <v>1375</v>
      </c>
      <c r="J21" s="172"/>
      <c r="K21" s="172"/>
      <c r="L21" s="172"/>
      <c r="M21" s="179"/>
    </row>
    <row r="22" spans="1:13" ht="15.75">
      <c r="A22" s="173" t="s">
        <v>94</v>
      </c>
      <c r="B22" s="175"/>
      <c r="C22" s="56"/>
      <c r="D22" s="56" t="s">
        <v>1336</v>
      </c>
      <c r="E22" s="1567" t="s">
        <v>1337</v>
      </c>
      <c r="F22" s="1568"/>
      <c r="G22" s="56" t="s">
        <v>1376</v>
      </c>
      <c r="H22" s="58" t="s">
        <v>1347</v>
      </c>
      <c r="I22" s="74"/>
      <c r="J22" s="172"/>
      <c r="K22" s="172"/>
      <c r="L22" s="172"/>
    </row>
    <row r="23" spans="1:13" ht="15.75">
      <c r="A23" s="173" t="s">
        <v>94</v>
      </c>
      <c r="B23" s="175"/>
      <c r="C23" s="56"/>
      <c r="D23" s="56" t="s">
        <v>1338</v>
      </c>
      <c r="E23" s="1567" t="s">
        <v>1339</v>
      </c>
      <c r="F23" s="1568"/>
      <c r="G23" s="56" t="s">
        <v>1377</v>
      </c>
      <c r="H23" s="58" t="s">
        <v>1347</v>
      </c>
      <c r="I23" s="74"/>
      <c r="J23" s="172"/>
      <c r="K23" s="172"/>
      <c r="L23" s="172"/>
    </row>
    <row r="24" spans="1:13" ht="15.75">
      <c r="A24" s="171" t="s">
        <v>94</v>
      </c>
      <c r="B24" s="168"/>
      <c r="C24" s="56"/>
      <c r="D24" s="56" t="s">
        <v>1340</v>
      </c>
      <c r="E24" s="1567" t="s">
        <v>1341</v>
      </c>
      <c r="F24" s="1568"/>
      <c r="G24" s="56" t="s">
        <v>1378</v>
      </c>
      <c r="H24" s="58" t="s">
        <v>1347</v>
      </c>
      <c r="I24" s="74"/>
      <c r="J24" s="172"/>
      <c r="K24" s="172"/>
      <c r="L24" s="172"/>
    </row>
    <row r="25" spans="1:13" ht="15" customHeight="1">
      <c r="A25" s="171" t="s">
        <v>94</v>
      </c>
      <c r="B25" s="167"/>
      <c r="C25" s="56"/>
      <c r="D25" s="56" t="s">
        <v>1342</v>
      </c>
      <c r="E25" s="1569" t="s">
        <v>1343</v>
      </c>
      <c r="F25" s="1570"/>
      <c r="G25" s="56" t="s">
        <v>1379</v>
      </c>
      <c r="H25" s="58" t="s">
        <v>1347</v>
      </c>
      <c r="I25" s="74"/>
      <c r="J25" s="172"/>
      <c r="K25" s="172"/>
      <c r="L25" s="172"/>
    </row>
    <row r="26" spans="1:13" ht="15.75">
      <c r="A26" s="171" t="s">
        <v>94</v>
      </c>
      <c r="B26" s="167"/>
      <c r="C26" s="57"/>
      <c r="D26" s="57" t="s">
        <v>1344</v>
      </c>
      <c r="E26" s="1565" t="s">
        <v>1345</v>
      </c>
      <c r="F26" s="1566"/>
      <c r="G26" s="57" t="s">
        <v>1380</v>
      </c>
      <c r="H26" s="58" t="s">
        <v>1347</v>
      </c>
      <c r="I26" s="74"/>
    </row>
    <row r="27" spans="1:13" ht="15.75">
      <c r="A27" s="171" t="s">
        <v>94</v>
      </c>
      <c r="B27" s="167"/>
      <c r="C27" s="56"/>
      <c r="D27" s="56"/>
      <c r="E27" s="1567"/>
      <c r="F27" s="1568"/>
      <c r="G27" s="56"/>
      <c r="H27" s="58"/>
      <c r="I27" s="74"/>
    </row>
    <row r="28" spans="1:13" ht="15.75">
      <c r="A28" s="171" t="s">
        <v>94</v>
      </c>
      <c r="B28" s="167"/>
      <c r="C28" s="56"/>
      <c r="D28" s="56"/>
      <c r="E28" s="1567"/>
      <c r="F28" s="1568"/>
      <c r="G28" s="56"/>
      <c r="H28" s="58"/>
      <c r="I28" s="74"/>
    </row>
    <row r="29" spans="1:13" ht="15.75">
      <c r="A29" s="171" t="s">
        <v>94</v>
      </c>
      <c r="B29" s="167"/>
      <c r="C29" s="56"/>
      <c r="D29" s="56"/>
      <c r="E29" s="1567"/>
      <c r="F29" s="1568"/>
      <c r="G29" s="56"/>
      <c r="H29" s="58"/>
      <c r="I29" s="74"/>
    </row>
    <row r="30" spans="1:13" ht="15.75">
      <c r="A30" s="171" t="s">
        <v>94</v>
      </c>
      <c r="B30" s="167"/>
      <c r="C30" s="56"/>
      <c r="D30" s="56"/>
      <c r="E30" s="1567"/>
      <c r="F30" s="1568"/>
      <c r="G30" s="56"/>
      <c r="H30" s="58"/>
      <c r="I30" s="74"/>
    </row>
    <row r="31" spans="1:13" ht="15.75">
      <c r="A31" s="171"/>
      <c r="B31" s="167"/>
      <c r="C31" s="168"/>
      <c r="D31" s="168"/>
      <c r="E31" s="168"/>
      <c r="F31" s="168"/>
      <c r="G31" s="168"/>
      <c r="H31" s="180"/>
    </row>
    <row r="32" spans="1:13" ht="15.75">
      <c r="A32" s="171"/>
      <c r="B32" s="167"/>
      <c r="C32" s="168"/>
      <c r="D32" s="1574" t="s">
        <v>95</v>
      </c>
      <c r="E32" s="1574"/>
      <c r="F32" s="168"/>
      <c r="G32" s="168"/>
      <c r="H32" s="168"/>
    </row>
    <row r="33" spans="1:8" ht="15.75">
      <c r="A33" s="168" t="s">
        <v>96</v>
      </c>
      <c r="B33" s="167"/>
      <c r="C33" s="168"/>
      <c r="D33" s="1572" t="s">
        <v>81</v>
      </c>
      <c r="E33" s="1573"/>
      <c r="F33" s="168"/>
      <c r="G33" s="167"/>
      <c r="H33" s="168"/>
    </row>
    <row r="34" spans="1:8" ht="8.25" customHeight="1">
      <c r="A34" s="168"/>
      <c r="B34" s="167"/>
      <c r="C34" s="168"/>
      <c r="D34" s="171"/>
      <c r="E34" s="171"/>
      <c r="F34" s="168"/>
      <c r="G34" s="167"/>
      <c r="H34" s="168"/>
    </row>
    <row r="35" spans="1:8" ht="15.75">
      <c r="A35" s="168" t="s">
        <v>97</v>
      </c>
      <c r="B35" s="167"/>
      <c r="C35" s="168"/>
      <c r="D35" s="1567" t="s">
        <v>58</v>
      </c>
      <c r="E35" s="1568"/>
      <c r="F35" s="168"/>
      <c r="G35" s="56"/>
      <c r="H35" s="168"/>
    </row>
    <row r="36" spans="1:8" ht="8.25" customHeight="1">
      <c r="A36" s="168"/>
      <c r="B36" s="167"/>
      <c r="C36" s="168"/>
      <c r="D36" s="181"/>
      <c r="E36" s="181"/>
      <c r="F36" s="168"/>
      <c r="G36" s="182"/>
      <c r="H36" s="168"/>
    </row>
    <row r="37" spans="1:8" ht="15.75">
      <c r="A37" s="183" t="s">
        <v>98</v>
      </c>
      <c r="B37" s="167"/>
      <c r="C37" s="168"/>
      <c r="D37" s="1567" t="s">
        <v>1381</v>
      </c>
      <c r="E37" s="1568"/>
      <c r="F37" s="168"/>
      <c r="G37" s="182"/>
      <c r="H37" s="168"/>
    </row>
    <row r="38" spans="1:8" ht="8.25" customHeight="1">
      <c r="A38" s="102"/>
      <c r="B38" s="167"/>
    </row>
    <row r="39" spans="1:8" ht="15.75">
      <c r="A39" s="102" t="s">
        <v>99</v>
      </c>
      <c r="B39" s="167"/>
      <c r="D39" s="1575" t="s">
        <v>1382</v>
      </c>
      <c r="E39" s="1576"/>
    </row>
  </sheetData>
  <sheetProtection sheet="1" formatCells="0" formatColumns="0" formatRows="0"/>
  <mergeCells count="33">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 ref="E25:F25"/>
    <mergeCell ref="E14:F14"/>
    <mergeCell ref="E15:F15"/>
    <mergeCell ref="E16:F16"/>
    <mergeCell ref="E17:F17"/>
    <mergeCell ref="E18:F18"/>
    <mergeCell ref="E19:F19"/>
    <mergeCell ref="E20:F20"/>
    <mergeCell ref="E21:F21"/>
    <mergeCell ref="E22:F22"/>
    <mergeCell ref="E23:F23"/>
    <mergeCell ref="E24:F24"/>
    <mergeCell ref="E26:F26"/>
    <mergeCell ref="E27:F27"/>
    <mergeCell ref="E28:F28"/>
    <mergeCell ref="E29:F29"/>
    <mergeCell ref="E30:F30"/>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7"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workbookViewId="0">
      <selection activeCell="E36" sqref="E36"/>
    </sheetView>
  </sheetViews>
  <sheetFormatPr defaultColWidth="9.88671875" defaultRowHeight="15.75"/>
  <cols>
    <col min="1" max="2" width="16.88671875" style="102" customWidth="1"/>
    <col min="3" max="3" width="3.88671875" style="102" customWidth="1"/>
    <col min="4" max="5" width="5.88671875" style="102" customWidth="1"/>
    <col min="6" max="12" width="11.88671875" style="102" customWidth="1"/>
    <col min="13" max="13" width="6.88671875" style="102" customWidth="1"/>
    <col min="14" max="14" width="3.88671875" style="187" customWidth="1"/>
    <col min="15" max="18" width="9.88671875" style="102" customWidth="1"/>
    <col min="19" max="16384" width="9.88671875" style="102"/>
  </cols>
  <sheetData>
    <row r="1" spans="1:15">
      <c r="A1" s="1285" t="s">
        <v>911</v>
      </c>
      <c r="B1" s="1585" t="str">
        <f>DistrictName</f>
        <v xml:space="preserve">Prescott Unified </v>
      </c>
      <c r="C1" s="1586"/>
      <c r="D1" s="1586"/>
      <c r="E1" s="1586"/>
      <c r="F1" s="1285" t="s">
        <v>446</v>
      </c>
      <c r="G1" s="101" t="str">
        <f>Cover!H1</f>
        <v>Yavapai</v>
      </c>
      <c r="H1"/>
      <c r="I1" s="1285" t="s">
        <v>912</v>
      </c>
      <c r="J1" s="162" t="str">
        <f>CTD</f>
        <v>130201000</v>
      </c>
      <c r="K1" s="163"/>
      <c r="L1" s="1285" t="s">
        <v>9</v>
      </c>
      <c r="M1" s="1583" t="str">
        <f>Cover!C8</f>
        <v>Adopted</v>
      </c>
      <c r="N1" s="1584"/>
      <c r="O1" s="151"/>
    </row>
    <row r="2" spans="1:15" ht="16.5" customHeight="1">
      <c r="A2" s="185" t="s">
        <v>924</v>
      </c>
      <c r="B2" s="185"/>
      <c r="C2" s="185"/>
      <c r="D2" s="1286" t="s">
        <v>923</v>
      </c>
      <c r="E2" s="1286"/>
      <c r="F2" s="1287"/>
      <c r="G2" s="1287"/>
      <c r="H2" s="1287"/>
      <c r="I2" s="1287"/>
      <c r="J2" s="1287"/>
      <c r="K2" s="1287"/>
      <c r="L2" s="1287"/>
      <c r="M2" s="186"/>
    </row>
    <row r="3" spans="1:15" ht="12" customHeight="1">
      <c r="A3" s="188"/>
      <c r="B3" s="100"/>
      <c r="C3" s="100"/>
      <c r="D3" s="189"/>
      <c r="E3" s="111"/>
      <c r="F3" s="190"/>
      <c r="G3" s="190" t="s">
        <v>100</v>
      </c>
      <c r="H3" s="190" t="s">
        <v>101</v>
      </c>
      <c r="I3" s="190"/>
      <c r="J3" s="190"/>
      <c r="K3" s="191" t="s">
        <v>102</v>
      </c>
      <c r="L3" s="191"/>
      <c r="M3" s="192"/>
    </row>
    <row r="4" spans="1:15" ht="12" customHeight="1">
      <c r="A4" s="109"/>
      <c r="B4" s="100"/>
      <c r="C4" s="100"/>
      <c r="D4" s="193" t="s">
        <v>103</v>
      </c>
      <c r="E4" s="191"/>
      <c r="F4" s="190" t="s">
        <v>104</v>
      </c>
      <c r="G4" s="190" t="s">
        <v>105</v>
      </c>
      <c r="H4" s="190" t="s">
        <v>106</v>
      </c>
      <c r="I4" s="190" t="s">
        <v>107</v>
      </c>
      <c r="J4" s="190" t="s">
        <v>108</v>
      </c>
      <c r="K4" s="3" t="s">
        <v>109</v>
      </c>
      <c r="L4" s="194" t="s">
        <v>110</v>
      </c>
      <c r="M4" s="190" t="s">
        <v>111</v>
      </c>
    </row>
    <row r="5" spans="1:15" ht="12" customHeight="1">
      <c r="A5" s="195" t="s">
        <v>112</v>
      </c>
      <c r="C5" s="100"/>
      <c r="D5" s="190" t="s">
        <v>109</v>
      </c>
      <c r="E5" s="3" t="s">
        <v>110</v>
      </c>
      <c r="F5" s="196"/>
      <c r="G5" s="196"/>
      <c r="H5" s="190" t="s">
        <v>113</v>
      </c>
      <c r="I5" s="190"/>
      <c r="J5" s="190"/>
      <c r="K5" s="3" t="s">
        <v>0</v>
      </c>
      <c r="L5" s="194" t="s">
        <v>0</v>
      </c>
      <c r="M5" s="190" t="s">
        <v>114</v>
      </c>
    </row>
    <row r="6" spans="1:15" ht="12" customHeight="1">
      <c r="A6" s="197"/>
      <c r="B6" s="198"/>
      <c r="C6" s="199"/>
      <c r="D6" s="190" t="s">
        <v>0</v>
      </c>
      <c r="E6" s="201" t="s">
        <v>0</v>
      </c>
      <c r="F6" s="200" t="s">
        <v>115</v>
      </c>
      <c r="G6" s="200" t="s">
        <v>116</v>
      </c>
      <c r="H6" s="200" t="s">
        <v>117</v>
      </c>
      <c r="I6" s="200">
        <v>6600</v>
      </c>
      <c r="J6" s="200" t="s">
        <v>118</v>
      </c>
      <c r="K6" s="1317">
        <f>PriorFiscalYear</f>
        <v>2024</v>
      </c>
      <c r="L6" s="194">
        <f>Cover!E3</f>
        <v>2025</v>
      </c>
      <c r="M6" s="190" t="s">
        <v>119</v>
      </c>
    </row>
    <row r="7" spans="1:15" ht="11.25" customHeight="1">
      <c r="A7" s="1486" t="s">
        <v>1191</v>
      </c>
      <c r="B7" s="100"/>
      <c r="C7" s="100"/>
      <c r="D7" s="1249"/>
      <c r="E7" s="1248"/>
      <c r="F7" s="204"/>
      <c r="G7" s="204"/>
      <c r="H7" s="204"/>
      <c r="I7" s="204"/>
      <c r="J7" s="204"/>
      <c r="K7" s="1249"/>
      <c r="L7" s="1249"/>
      <c r="M7" s="1249"/>
      <c r="N7" s="107"/>
    </row>
    <row r="8" spans="1:15" ht="11.25" customHeight="1">
      <c r="A8" s="109" t="s">
        <v>120</v>
      </c>
      <c r="B8" s="100"/>
      <c r="C8" s="205" t="s">
        <v>1</v>
      </c>
      <c r="D8" s="1319">
        <f>[1]!F001P100F1000Personnel</f>
        <v>162.36000000000001</v>
      </c>
      <c r="E8" s="1320">
        <v>164</v>
      </c>
      <c r="F8" s="7">
        <f>7456468*1.03+119840+35307+624523+27000+182317</f>
        <v>8669149</v>
      </c>
      <c r="G8" s="7">
        <f>3317109+124905+8000+36460</f>
        <v>3486474</v>
      </c>
      <c r="H8" s="7">
        <v>581648</v>
      </c>
      <c r="I8" s="7">
        <v>150930</v>
      </c>
      <c r="J8" s="7">
        <v>17160</v>
      </c>
      <c r="K8" s="1321">
        <f>[1]!F001P100F1000</f>
        <v>13150145</v>
      </c>
      <c r="L8" s="1321">
        <f>SUM(F8:J8)</f>
        <v>12905361</v>
      </c>
      <c r="M8" s="1322">
        <f>IF(K8=L8,0,IF(K8&gt;0,(L8-K8)/K8,""))</f>
        <v>-1.9E-2</v>
      </c>
      <c r="N8" s="207" t="s">
        <v>1</v>
      </c>
    </row>
    <row r="9" spans="1:15" ht="11.25" customHeight="1">
      <c r="A9" s="109" t="s">
        <v>1192</v>
      </c>
      <c r="B9" s="100"/>
      <c r="C9" s="205" t="s">
        <v>34</v>
      </c>
      <c r="D9" s="1249"/>
      <c r="E9" s="1248"/>
      <c r="F9" s="204"/>
      <c r="G9" s="204"/>
      <c r="H9" s="204"/>
      <c r="I9" s="204"/>
      <c r="J9" s="204"/>
      <c r="K9" s="1249"/>
      <c r="L9" s="1249"/>
      <c r="M9" s="1249"/>
      <c r="N9" s="207" t="s">
        <v>34</v>
      </c>
    </row>
    <row r="10" spans="1:15" ht="11.25" customHeight="1">
      <c r="A10" s="109" t="s">
        <v>122</v>
      </c>
      <c r="B10" s="100"/>
      <c r="C10" s="205" t="s">
        <v>2</v>
      </c>
      <c r="D10" s="1319">
        <f>[1]!F001P100F2100Personnel</f>
        <v>20.74</v>
      </c>
      <c r="E10" s="1320">
        <v>22.1</v>
      </c>
      <c r="F10" s="7">
        <f>952710*1.03</f>
        <v>981291</v>
      </c>
      <c r="G10" s="7">
        <v>391656</v>
      </c>
      <c r="H10" s="7">
        <v>8502</v>
      </c>
      <c r="I10" s="7">
        <v>11536</v>
      </c>
      <c r="J10" s="7">
        <v>28633</v>
      </c>
      <c r="K10" s="1321">
        <f>[1]!F001P100F2100</f>
        <v>1551990</v>
      </c>
      <c r="L10" s="1321">
        <f>SUM(F10:J10)</f>
        <v>1421618</v>
      </c>
      <c r="M10" s="1322">
        <f>IF(K10=L10,0,IF(K10&gt;0,(L10-K10)/K10,""))</f>
        <v>-8.4000000000000005E-2</v>
      </c>
      <c r="N10" s="207" t="s">
        <v>2</v>
      </c>
    </row>
    <row r="11" spans="1:15" ht="11.25" customHeight="1">
      <c r="A11" s="109" t="s">
        <v>1193</v>
      </c>
      <c r="B11" s="100"/>
      <c r="C11" s="205" t="s">
        <v>14</v>
      </c>
      <c r="D11" s="1323">
        <f>[1]!F001P100F2200Personnel</f>
        <v>17.55</v>
      </c>
      <c r="E11" s="1324">
        <v>18.8</v>
      </c>
      <c r="F11" s="8">
        <f>845895*1.03</f>
        <v>871272</v>
      </c>
      <c r="G11" s="8">
        <v>337723</v>
      </c>
      <c r="H11" s="8">
        <v>153978</v>
      </c>
      <c r="I11" s="8">
        <v>14058</v>
      </c>
      <c r="J11" s="8">
        <v>0</v>
      </c>
      <c r="K11" s="206">
        <f>[1]!F001P100F2200</f>
        <v>1423896</v>
      </c>
      <c r="L11" s="1325">
        <f t="shared" ref="L11:L21" si="0">SUM(F11:J11)</f>
        <v>1377031</v>
      </c>
      <c r="M11" s="1326">
        <f t="shared" ref="M11:M22" si="1">IF(K11=L11,0,IF(K11&gt;0,(L11-K11)/K11,""))</f>
        <v>-3.3000000000000002E-2</v>
      </c>
      <c r="N11" s="207" t="s">
        <v>14</v>
      </c>
    </row>
    <row r="12" spans="1:15" ht="11.25" customHeight="1">
      <c r="A12" s="109" t="s">
        <v>1194</v>
      </c>
      <c r="B12" s="100"/>
      <c r="C12" s="210" t="s">
        <v>33</v>
      </c>
      <c r="D12" s="1323">
        <f>[1]!F001P100F2300Personnel</f>
        <v>5</v>
      </c>
      <c r="E12" s="1324">
        <v>4</v>
      </c>
      <c r="F12" s="8">
        <f>417720*1.03</f>
        <v>430252</v>
      </c>
      <c r="G12" s="8">
        <v>212530</v>
      </c>
      <c r="H12" s="8">
        <v>174773</v>
      </c>
      <c r="I12" s="8">
        <v>4056</v>
      </c>
      <c r="J12" s="8">
        <v>17234</v>
      </c>
      <c r="K12" s="1327">
        <f>[1]!F001P100F2300</f>
        <v>826182</v>
      </c>
      <c r="L12" s="204">
        <f t="shared" si="0"/>
        <v>838845</v>
      </c>
      <c r="M12" s="1328">
        <f t="shared" si="1"/>
        <v>1.4999999999999999E-2</v>
      </c>
      <c r="N12" s="207" t="s">
        <v>33</v>
      </c>
    </row>
    <row r="13" spans="1:15" ht="11.25" customHeight="1">
      <c r="A13" s="109" t="s">
        <v>1195</v>
      </c>
      <c r="B13" s="100"/>
      <c r="C13" s="205" t="s">
        <v>123</v>
      </c>
      <c r="D13" s="1323">
        <f>[1]!F001P100F2400Personnel</f>
        <v>17</v>
      </c>
      <c r="E13" s="1324">
        <v>18.7</v>
      </c>
      <c r="F13" s="8">
        <v>1261895</v>
      </c>
      <c r="G13" s="8">
        <v>433500</v>
      </c>
      <c r="H13" s="8">
        <v>4256</v>
      </c>
      <c r="I13" s="8">
        <v>4079</v>
      </c>
      <c r="J13" s="8">
        <v>537</v>
      </c>
      <c r="K13" s="1327">
        <f>[1]!F001P100F2400</f>
        <v>1704855</v>
      </c>
      <c r="L13" s="204">
        <f t="shared" si="0"/>
        <v>1704267</v>
      </c>
      <c r="M13" s="1328">
        <f t="shared" si="1"/>
        <v>0</v>
      </c>
      <c r="N13" s="207" t="s">
        <v>123</v>
      </c>
    </row>
    <row r="14" spans="1:15" ht="11.25" customHeight="1">
      <c r="A14" s="109" t="s">
        <v>1196</v>
      </c>
      <c r="B14" s="100"/>
      <c r="C14" s="205" t="s">
        <v>124</v>
      </c>
      <c r="D14" s="1323">
        <f>[1]!F001P100F2500Personnel</f>
        <v>9.9</v>
      </c>
      <c r="E14" s="1324">
        <v>9.75</v>
      </c>
      <c r="F14" s="8">
        <f>546728*1.03</f>
        <v>563130</v>
      </c>
      <c r="G14" s="8">
        <v>184131</v>
      </c>
      <c r="H14" s="8">
        <v>179420</v>
      </c>
      <c r="I14" s="8">
        <v>91948</v>
      </c>
      <c r="J14" s="8">
        <v>38225</v>
      </c>
      <c r="K14" s="1327">
        <f>[1]!F001P100F2500</f>
        <v>1090379</v>
      </c>
      <c r="L14" s="204">
        <f t="shared" si="0"/>
        <v>1056854</v>
      </c>
      <c r="M14" s="1328">
        <f t="shared" si="1"/>
        <v>-3.1E-2</v>
      </c>
      <c r="N14" s="207" t="s">
        <v>124</v>
      </c>
    </row>
    <row r="15" spans="1:15" ht="11.25" customHeight="1">
      <c r="A15" s="109" t="s">
        <v>1197</v>
      </c>
      <c r="B15" s="100"/>
      <c r="C15" s="205" t="s">
        <v>125</v>
      </c>
      <c r="D15" s="1323">
        <f>[1]!F001P100F2600Personnel</f>
        <v>15.5</v>
      </c>
      <c r="E15" s="1324">
        <v>15.5</v>
      </c>
      <c r="F15" s="8">
        <f>579557*1.03</f>
        <v>596944</v>
      </c>
      <c r="G15" s="8">
        <v>237756</v>
      </c>
      <c r="H15" s="8">
        <v>2879542</v>
      </c>
      <c r="I15" s="8">
        <v>1146212</v>
      </c>
      <c r="J15" s="8">
        <v>1083</v>
      </c>
      <c r="K15" s="1327">
        <f>[1]!F001P100F2600</f>
        <v>4923229</v>
      </c>
      <c r="L15" s="204">
        <f t="shared" si="0"/>
        <v>4861537</v>
      </c>
      <c r="M15" s="1328">
        <f t="shared" si="1"/>
        <v>-1.2999999999999999E-2</v>
      </c>
      <c r="N15" s="207" t="s">
        <v>125</v>
      </c>
    </row>
    <row r="16" spans="1:15" ht="11.25" customHeight="1">
      <c r="A16" s="109" t="s">
        <v>126</v>
      </c>
      <c r="B16" s="100"/>
      <c r="C16" s="205" t="s">
        <v>127</v>
      </c>
      <c r="D16" s="1323">
        <f>[1]!F001P100F2900Personnel</f>
        <v>0</v>
      </c>
      <c r="E16" s="1324">
        <v>0</v>
      </c>
      <c r="F16" s="8">
        <v>0</v>
      </c>
      <c r="G16" s="8">
        <v>0</v>
      </c>
      <c r="H16" s="8">
        <v>0</v>
      </c>
      <c r="I16" s="8">
        <v>0</v>
      </c>
      <c r="J16" s="8">
        <v>0</v>
      </c>
      <c r="K16" s="1327">
        <f>[1]!F001P100F2900</f>
        <v>0</v>
      </c>
      <c r="L16" s="204">
        <f t="shared" si="0"/>
        <v>0</v>
      </c>
      <c r="M16" s="1328">
        <f t="shared" si="1"/>
        <v>0</v>
      </c>
      <c r="N16" s="207" t="s">
        <v>127</v>
      </c>
    </row>
    <row r="17" spans="1:14" ht="11.25" customHeight="1">
      <c r="A17" s="109" t="s">
        <v>1198</v>
      </c>
      <c r="B17" s="100"/>
      <c r="C17" s="210" t="s">
        <v>128</v>
      </c>
      <c r="D17" s="1323">
        <f>[1]!F001P100F3000Personnel</f>
        <v>2</v>
      </c>
      <c r="E17" s="1324">
        <v>3.79</v>
      </c>
      <c r="F17" s="8">
        <f>60767*1.03</f>
        <v>62590</v>
      </c>
      <c r="G17" s="8">
        <v>23523</v>
      </c>
      <c r="H17" s="8">
        <v>32</v>
      </c>
      <c r="I17" s="8">
        <v>6091</v>
      </c>
      <c r="J17" s="8">
        <v>0</v>
      </c>
      <c r="K17" s="1327">
        <f>[1]!F001P100F3000</f>
        <v>102915</v>
      </c>
      <c r="L17" s="204">
        <f t="shared" si="0"/>
        <v>92236</v>
      </c>
      <c r="M17" s="1328">
        <f t="shared" si="1"/>
        <v>-0.104</v>
      </c>
      <c r="N17" s="207" t="s">
        <v>128</v>
      </c>
    </row>
    <row r="18" spans="1:14" ht="11.25" customHeight="1">
      <c r="A18" s="1486" t="s">
        <v>1199</v>
      </c>
      <c r="B18" s="100"/>
      <c r="C18" s="211" t="s">
        <v>129</v>
      </c>
      <c r="D18" s="1323">
        <f>[1]!F001P610Personnel</f>
        <v>0</v>
      </c>
      <c r="E18" s="1324">
        <v>0</v>
      </c>
      <c r="F18" s="7">
        <v>9672</v>
      </c>
      <c r="G18" s="7">
        <v>1969</v>
      </c>
      <c r="H18" s="8">
        <v>0</v>
      </c>
      <c r="I18" s="8">
        <v>0</v>
      </c>
      <c r="J18" s="8">
        <v>0</v>
      </c>
      <c r="K18" s="206">
        <f>[1]!F001P610</f>
        <v>20474</v>
      </c>
      <c r="L18" s="204">
        <f t="shared" si="0"/>
        <v>11641</v>
      </c>
      <c r="M18" s="1326">
        <f t="shared" si="1"/>
        <v>-0.43099999999999999</v>
      </c>
      <c r="N18" s="207" t="s">
        <v>129</v>
      </c>
    </row>
    <row r="19" spans="1:14" ht="11.25" customHeight="1">
      <c r="A19" s="1486" t="s">
        <v>1200</v>
      </c>
      <c r="B19" s="100"/>
      <c r="C19" s="212" t="s">
        <v>130</v>
      </c>
      <c r="D19" s="1323">
        <f>[1]!F001P620Personnel</f>
        <v>1</v>
      </c>
      <c r="E19" s="1324">
        <v>1</v>
      </c>
      <c r="F19" s="7">
        <f>204950*1.03</f>
        <v>211099</v>
      </c>
      <c r="G19" s="1329">
        <v>127123</v>
      </c>
      <c r="H19" s="8">
        <v>0</v>
      </c>
      <c r="I19" s="8">
        <v>0</v>
      </c>
      <c r="J19" s="8">
        <v>0</v>
      </c>
      <c r="K19" s="206">
        <f>[1]!F001P620</f>
        <v>351475</v>
      </c>
      <c r="L19" s="204">
        <f t="shared" si="0"/>
        <v>338222</v>
      </c>
      <c r="M19" s="1326">
        <f t="shared" si="1"/>
        <v>-3.7999999999999999E-2</v>
      </c>
      <c r="N19" s="207" t="s">
        <v>130</v>
      </c>
    </row>
    <row r="20" spans="1:14" ht="11.25" customHeight="1">
      <c r="A20" s="1486" t="s">
        <v>1201</v>
      </c>
      <c r="B20" s="100"/>
      <c r="C20" s="214" t="s">
        <v>131</v>
      </c>
      <c r="D20" s="1323">
        <f>[1]!F001P630Personnel</f>
        <v>0</v>
      </c>
      <c r="E20" s="1324">
        <v>0</v>
      </c>
      <c r="F20" s="8">
        <v>0</v>
      </c>
      <c r="G20" s="8">
        <v>0</v>
      </c>
      <c r="H20" s="8">
        <v>0</v>
      </c>
      <c r="I20" s="8">
        <v>0</v>
      </c>
      <c r="J20" s="8">
        <v>0</v>
      </c>
      <c r="K20" s="206">
        <f>[1]!F001P630</f>
        <v>0</v>
      </c>
      <c r="L20" s="204">
        <f t="shared" si="0"/>
        <v>0</v>
      </c>
      <c r="M20" s="1326">
        <f t="shared" si="1"/>
        <v>0</v>
      </c>
      <c r="N20" s="215" t="s">
        <v>131</v>
      </c>
    </row>
    <row r="21" spans="1:14" ht="11.25" customHeight="1">
      <c r="A21" s="1487" t="s">
        <v>1202</v>
      </c>
      <c r="B21" s="216"/>
      <c r="C21" s="217" t="s">
        <v>132</v>
      </c>
      <c r="D21" s="218">
        <f>[1]!F001P700800900Personnel</f>
        <v>0</v>
      </c>
      <c r="E21" s="12">
        <v>0</v>
      </c>
      <c r="F21" s="8">
        <v>0</v>
      </c>
      <c r="G21" s="8">
        <v>0</v>
      </c>
      <c r="H21" s="8">
        <v>113286</v>
      </c>
      <c r="I21" s="8">
        <v>0</v>
      </c>
      <c r="J21" s="8">
        <v>0</v>
      </c>
      <c r="K21" s="1327">
        <f>[1]!F001P700800900</f>
        <v>119905</v>
      </c>
      <c r="L21" s="204">
        <f t="shared" si="0"/>
        <v>113286</v>
      </c>
      <c r="M21" s="1328">
        <f t="shared" si="1"/>
        <v>-5.5E-2</v>
      </c>
      <c r="N21" s="207" t="s">
        <v>132</v>
      </c>
    </row>
    <row r="22" spans="1:14" ht="11.25" customHeight="1">
      <c r="A22" s="219" t="s">
        <v>1203</v>
      </c>
      <c r="B22" s="199"/>
      <c r="C22" s="220" t="s">
        <v>133</v>
      </c>
      <c r="D22" s="1330">
        <f>SUM(D8:D21)</f>
        <v>251.05</v>
      </c>
      <c r="E22" s="218">
        <f t="shared" ref="E22:J22" si="2">E8+SUM(E10:E21)</f>
        <v>257.64</v>
      </c>
      <c r="F22" s="222">
        <f t="shared" si="2"/>
        <v>13657294</v>
      </c>
      <c r="G22" s="222">
        <f t="shared" si="2"/>
        <v>5436385</v>
      </c>
      <c r="H22" s="222">
        <f t="shared" si="2"/>
        <v>4095437</v>
      </c>
      <c r="I22" s="222">
        <f t="shared" si="2"/>
        <v>1428910</v>
      </c>
      <c r="J22" s="222">
        <f t="shared" si="2"/>
        <v>102872</v>
      </c>
      <c r="K22" s="1331">
        <f>SUM(K8:K21)</f>
        <v>25265445</v>
      </c>
      <c r="L22" s="1331">
        <f>SUM(L8:L21)</f>
        <v>24720898</v>
      </c>
      <c r="M22" s="1332">
        <f t="shared" si="1"/>
        <v>-2.1999999999999999E-2</v>
      </c>
      <c r="N22" s="207" t="s">
        <v>133</v>
      </c>
    </row>
    <row r="23" spans="1:14" ht="11.25" customHeight="1">
      <c r="A23" s="1486" t="s">
        <v>1204</v>
      </c>
      <c r="B23" s="100"/>
      <c r="C23" s="205"/>
      <c r="D23" s="1249"/>
      <c r="E23" s="1248"/>
      <c r="F23" s="204"/>
      <c r="G23" s="204"/>
      <c r="H23" s="204"/>
      <c r="I23" s="204"/>
      <c r="J23" s="204"/>
      <c r="K23" s="1249"/>
      <c r="L23" s="1249"/>
      <c r="M23" s="1249"/>
      <c r="N23" s="207"/>
    </row>
    <row r="24" spans="1:14" ht="11.25" customHeight="1">
      <c r="A24" s="109" t="s">
        <v>120</v>
      </c>
      <c r="B24" s="100"/>
      <c r="C24" s="223" t="s">
        <v>134</v>
      </c>
      <c r="D24" s="1319">
        <f>[1]!F001P200F1000Personnel</f>
        <v>50.87</v>
      </c>
      <c r="E24" s="1320">
        <v>67</v>
      </c>
      <c r="F24" s="7">
        <f>2353814*1.015</f>
        <v>2389121</v>
      </c>
      <c r="G24" s="7">
        <v>977249</v>
      </c>
      <c r="H24" s="7">
        <v>0</v>
      </c>
      <c r="I24" s="7">
        <v>2116</v>
      </c>
      <c r="J24" s="7">
        <v>0</v>
      </c>
      <c r="K24" s="1321">
        <f>[1]!F001P200F1000</f>
        <v>3258371</v>
      </c>
      <c r="L24" s="1321">
        <f>SUM(F24:J24)</f>
        <v>3368486</v>
      </c>
      <c r="M24" s="1322">
        <f>IF(K24=L24,0,IF(K24&gt;0,(L24-K24)/K24,""))</f>
        <v>3.4000000000000002E-2</v>
      </c>
      <c r="N24" s="207" t="s">
        <v>134</v>
      </c>
    </row>
    <row r="25" spans="1:14" ht="11.25" customHeight="1">
      <c r="A25" s="109" t="s">
        <v>1192</v>
      </c>
      <c r="B25" s="100"/>
      <c r="C25" s="205"/>
      <c r="D25" s="1249"/>
      <c r="E25" s="1248"/>
      <c r="F25" s="204"/>
      <c r="G25" s="204"/>
      <c r="H25" s="204"/>
      <c r="I25" s="204"/>
      <c r="J25" s="204"/>
      <c r="K25" s="1249"/>
      <c r="L25" s="1249"/>
      <c r="M25" s="1249"/>
      <c r="N25" s="207" t="s">
        <v>34</v>
      </c>
    </row>
    <row r="26" spans="1:14" ht="11.25" customHeight="1">
      <c r="A26" s="109" t="s">
        <v>122</v>
      </c>
      <c r="B26" s="100"/>
      <c r="C26" s="205" t="s">
        <v>135</v>
      </c>
      <c r="D26" s="1319">
        <f>[1]!F001P200F2100Personnel</f>
        <v>25.46</v>
      </c>
      <c r="E26" s="1320">
        <v>26</v>
      </c>
      <c r="F26" s="7">
        <f>1438751*1.03</f>
        <v>1481914</v>
      </c>
      <c r="G26" s="7">
        <v>506805</v>
      </c>
      <c r="H26" s="7">
        <v>220620</v>
      </c>
      <c r="I26" s="7">
        <v>3297</v>
      </c>
      <c r="J26" s="7">
        <v>2015</v>
      </c>
      <c r="K26" s="1321">
        <f>[1]!F001P200F2100</f>
        <v>2318819</v>
      </c>
      <c r="L26" s="1321">
        <f>SUM(F26:J26)</f>
        <v>2214651</v>
      </c>
      <c r="M26" s="1322">
        <f>IF(K26=L26,0,IF(K26&gt;0,(L26-K26)/K26,""))</f>
        <v>-4.4999999999999998E-2</v>
      </c>
      <c r="N26" s="207" t="s">
        <v>135</v>
      </c>
    </row>
    <row r="27" spans="1:14" ht="11.25" customHeight="1">
      <c r="A27" s="109" t="s">
        <v>1193</v>
      </c>
      <c r="B27" s="100"/>
      <c r="C27" s="205" t="s">
        <v>136</v>
      </c>
      <c r="D27" s="1323">
        <f>[1]!F001P200F2200Personnel</f>
        <v>3.5</v>
      </c>
      <c r="E27" s="1324">
        <v>4.9000000000000004</v>
      </c>
      <c r="F27" s="8">
        <f>239434*1.03</f>
        <v>246617</v>
      </c>
      <c r="G27" s="8">
        <v>71379</v>
      </c>
      <c r="H27" s="8">
        <v>3579</v>
      </c>
      <c r="I27" s="8">
        <v>3768</v>
      </c>
      <c r="J27" s="8">
        <v>275</v>
      </c>
      <c r="K27" s="206">
        <f>[1]!F001P200F2200</f>
        <v>335431</v>
      </c>
      <c r="L27" s="1325">
        <f t="shared" ref="L27:L33" si="3">SUM(F27:J27)</f>
        <v>325618</v>
      </c>
      <c r="M27" s="1326">
        <f t="shared" ref="M27:M35" si="4">IF(K27=L27,0,IF(K27&gt;0,(L27-K27)/K27,""))</f>
        <v>-2.9000000000000001E-2</v>
      </c>
      <c r="N27" s="207" t="s">
        <v>136</v>
      </c>
    </row>
    <row r="28" spans="1:14" ht="11.25" customHeight="1">
      <c r="A28" s="109" t="s">
        <v>1194</v>
      </c>
      <c r="B28" s="100"/>
      <c r="C28" s="205" t="s">
        <v>137</v>
      </c>
      <c r="D28" s="1323">
        <f>[1]!F001P200F2300Personnel</f>
        <v>0</v>
      </c>
      <c r="E28" s="1324">
        <v>0</v>
      </c>
      <c r="F28" s="8">
        <v>0</v>
      </c>
      <c r="G28" s="8">
        <v>0</v>
      </c>
      <c r="H28" s="8">
        <v>0</v>
      </c>
      <c r="I28" s="8">
        <v>0</v>
      </c>
      <c r="J28" s="8">
        <v>0</v>
      </c>
      <c r="K28" s="1327">
        <f>[1]!F001P200F2300</f>
        <v>0</v>
      </c>
      <c r="L28" s="204">
        <f t="shared" si="3"/>
        <v>0</v>
      </c>
      <c r="M28" s="1328">
        <f t="shared" si="4"/>
        <v>0</v>
      </c>
      <c r="N28" s="207" t="s">
        <v>137</v>
      </c>
    </row>
    <row r="29" spans="1:14" ht="11.25" customHeight="1">
      <c r="A29" s="109" t="s">
        <v>1195</v>
      </c>
      <c r="B29" s="100"/>
      <c r="C29" s="205" t="s">
        <v>138</v>
      </c>
      <c r="D29" s="1323">
        <f>[1]!F001P200F2400Personnel</f>
        <v>0</v>
      </c>
      <c r="E29" s="1324">
        <v>0</v>
      </c>
      <c r="F29" s="8">
        <v>600</v>
      </c>
      <c r="G29" s="8">
        <v>117</v>
      </c>
      <c r="H29" s="8">
        <v>0</v>
      </c>
      <c r="I29" s="8">
        <v>0</v>
      </c>
      <c r="J29" s="8">
        <v>0</v>
      </c>
      <c r="K29" s="1327">
        <f>[1]!F001P200F2400</f>
        <v>759</v>
      </c>
      <c r="L29" s="204">
        <f t="shared" si="3"/>
        <v>717</v>
      </c>
      <c r="M29" s="1328">
        <f t="shared" si="4"/>
        <v>-5.5E-2</v>
      </c>
      <c r="N29" s="207" t="s">
        <v>138</v>
      </c>
    </row>
    <row r="30" spans="1:14" ht="11.25" customHeight="1">
      <c r="A30" s="109" t="s">
        <v>1196</v>
      </c>
      <c r="B30" s="100"/>
      <c r="C30" s="205" t="s">
        <v>139</v>
      </c>
      <c r="D30" s="1323">
        <f>[1]!F001P200F2500Personnel</f>
        <v>0</v>
      </c>
      <c r="E30" s="1324">
        <v>0</v>
      </c>
      <c r="F30" s="8">
        <v>0</v>
      </c>
      <c r="G30" s="8">
        <v>0</v>
      </c>
      <c r="H30" s="8">
        <v>1909</v>
      </c>
      <c r="I30" s="8">
        <v>1391</v>
      </c>
      <c r="J30" s="8">
        <v>0</v>
      </c>
      <c r="K30" s="1327">
        <f>[1]!F001P200F2500</f>
        <v>3493</v>
      </c>
      <c r="L30" s="204">
        <f>SUM(F30:J30)</f>
        <v>3300</v>
      </c>
      <c r="M30" s="1328">
        <f t="shared" si="4"/>
        <v>-5.5E-2</v>
      </c>
      <c r="N30" s="207" t="s">
        <v>139</v>
      </c>
    </row>
    <row r="31" spans="1:14" ht="11.25" customHeight="1">
      <c r="A31" s="109" t="s">
        <v>1197</v>
      </c>
      <c r="B31" s="100"/>
      <c r="C31" s="205" t="s">
        <v>140</v>
      </c>
      <c r="D31" s="1323">
        <f>[1]!F001P200F2600Personnel</f>
        <v>0</v>
      </c>
      <c r="E31" s="1324">
        <v>0</v>
      </c>
      <c r="F31" s="8">
        <v>0</v>
      </c>
      <c r="G31" s="8">
        <v>0</v>
      </c>
      <c r="H31" s="8">
        <v>285</v>
      </c>
      <c r="I31" s="8">
        <v>0</v>
      </c>
      <c r="J31" s="8">
        <v>0</v>
      </c>
      <c r="K31" s="1327">
        <f>[1]!F001P200F2600</f>
        <v>302</v>
      </c>
      <c r="L31" s="204">
        <f t="shared" si="3"/>
        <v>285</v>
      </c>
      <c r="M31" s="1328">
        <f t="shared" si="4"/>
        <v>-5.6000000000000001E-2</v>
      </c>
      <c r="N31" s="207" t="s">
        <v>140</v>
      </c>
    </row>
    <row r="32" spans="1:14" ht="11.25" customHeight="1">
      <c r="A32" s="109" t="s">
        <v>126</v>
      </c>
      <c r="B32" s="100"/>
      <c r="C32" s="205" t="s">
        <v>141</v>
      </c>
      <c r="D32" s="1323">
        <f>[1]!F001P200F2900Personnel</f>
        <v>0</v>
      </c>
      <c r="E32" s="1324">
        <v>0</v>
      </c>
      <c r="F32" s="8">
        <v>0</v>
      </c>
      <c r="G32" s="8">
        <v>0</v>
      </c>
      <c r="H32" s="8">
        <v>0</v>
      </c>
      <c r="I32" s="8">
        <v>0</v>
      </c>
      <c r="J32" s="8">
        <v>0</v>
      </c>
      <c r="K32" s="1327">
        <f>[1]!F001P200F2900</f>
        <v>0</v>
      </c>
      <c r="L32" s="204">
        <f t="shared" si="3"/>
        <v>0</v>
      </c>
      <c r="M32" s="1328">
        <f t="shared" si="4"/>
        <v>0</v>
      </c>
      <c r="N32" s="207" t="s">
        <v>141</v>
      </c>
    </row>
    <row r="33" spans="1:14" ht="11.25" customHeight="1">
      <c r="A33" s="109" t="s">
        <v>1198</v>
      </c>
      <c r="B33" s="100"/>
      <c r="C33" s="205" t="s">
        <v>142</v>
      </c>
      <c r="D33" s="1323">
        <f>[1]!F001P200F3000Personnel</f>
        <v>0</v>
      </c>
      <c r="E33" s="1324">
        <v>0</v>
      </c>
      <c r="F33" s="8">
        <v>0</v>
      </c>
      <c r="G33" s="8">
        <v>0</v>
      </c>
      <c r="H33" s="8">
        <v>0</v>
      </c>
      <c r="I33" s="8">
        <v>0</v>
      </c>
      <c r="J33" s="8">
        <v>0</v>
      </c>
      <c r="K33" s="1327">
        <f>[1]!F001P200F3000</f>
        <v>0</v>
      </c>
      <c r="L33" s="204">
        <f t="shared" si="3"/>
        <v>0</v>
      </c>
      <c r="M33" s="1328">
        <f t="shared" si="4"/>
        <v>0</v>
      </c>
      <c r="N33" s="207" t="s">
        <v>142</v>
      </c>
    </row>
    <row r="34" spans="1:14" ht="11.25" customHeight="1">
      <c r="A34" s="219" t="s">
        <v>143</v>
      </c>
      <c r="B34" s="199"/>
      <c r="C34" s="220" t="s">
        <v>144</v>
      </c>
      <c r="D34" s="218">
        <f>SUM(D24:D33)</f>
        <v>79.83</v>
      </c>
      <c r="E34" s="218">
        <f t="shared" ref="E34:J34" si="5">E24+SUM(E26:E33)</f>
        <v>97.9</v>
      </c>
      <c r="F34" s="222">
        <f t="shared" si="5"/>
        <v>4118252</v>
      </c>
      <c r="G34" s="222">
        <f t="shared" si="5"/>
        <v>1555550</v>
      </c>
      <c r="H34" s="222">
        <f t="shared" si="5"/>
        <v>226393</v>
      </c>
      <c r="I34" s="222">
        <f t="shared" si="5"/>
        <v>10572</v>
      </c>
      <c r="J34" s="222">
        <f t="shared" si="5"/>
        <v>2290</v>
      </c>
      <c r="K34" s="1327">
        <f>SUM(K24:K33)</f>
        <v>5917175</v>
      </c>
      <c r="L34" s="222">
        <f>SUM(L24:L33)</f>
        <v>5913057</v>
      </c>
      <c r="M34" s="1328">
        <f t="shared" si="4"/>
        <v>-1E-3</v>
      </c>
      <c r="N34" s="207" t="s">
        <v>144</v>
      </c>
    </row>
    <row r="35" spans="1:14" ht="11.25" customHeight="1">
      <c r="A35" s="1486" t="s">
        <v>1205</v>
      </c>
      <c r="B35" s="100"/>
      <c r="C35" s="205" t="s">
        <v>145</v>
      </c>
      <c r="D35" s="1330">
        <f>[1]!F001P400Personnel</f>
        <v>0</v>
      </c>
      <c r="E35" s="1333">
        <v>0</v>
      </c>
      <c r="F35" s="1334">
        <f>813528*1.03</f>
        <v>837934</v>
      </c>
      <c r="G35" s="1334">
        <v>400007</v>
      </c>
      <c r="H35" s="1334">
        <v>281444</v>
      </c>
      <c r="I35" s="1334">
        <v>389462</v>
      </c>
      <c r="J35" s="1334">
        <v>0</v>
      </c>
      <c r="K35" s="1331">
        <f>[1]!F001P400</f>
        <v>1915996</v>
      </c>
      <c r="L35" s="204">
        <f>SUM(F35:J35)</f>
        <v>1908847</v>
      </c>
      <c r="M35" s="1332">
        <f t="shared" si="4"/>
        <v>-4.0000000000000001E-3</v>
      </c>
      <c r="N35" s="207" t="s">
        <v>145</v>
      </c>
    </row>
    <row r="36" spans="1:14" ht="11.25" customHeight="1">
      <c r="A36" s="1488" t="s">
        <v>1206</v>
      </c>
      <c r="B36" s="104"/>
      <c r="C36" s="224"/>
      <c r="D36" s="1249"/>
      <c r="E36" s="1249"/>
      <c r="F36" s="1249"/>
      <c r="G36" s="1249"/>
      <c r="H36" s="1249"/>
      <c r="I36" s="1249"/>
      <c r="J36" s="1249"/>
      <c r="K36" s="1249"/>
      <c r="L36" s="1249"/>
      <c r="M36" s="1249"/>
      <c r="N36" s="207"/>
    </row>
    <row r="37" spans="1:14" ht="11.25" customHeight="1">
      <c r="A37" s="219" t="s">
        <v>146</v>
      </c>
      <c r="B37" s="199"/>
      <c r="C37" s="220" t="s">
        <v>147</v>
      </c>
      <c r="D37" s="1319">
        <f>[2]!DesegFTEPY</f>
        <v>0</v>
      </c>
      <c r="E37" s="1319">
        <f>[2]!DesegFTEBY</f>
        <v>0</v>
      </c>
      <c r="F37" s="1321">
        <f>[2]!DesegTotalMOO6100</f>
        <v>0</v>
      </c>
      <c r="G37" s="1321">
        <f>[2]!DesegTotalMOO6200</f>
        <v>0</v>
      </c>
      <c r="H37" s="1321">
        <f>[2]!DesegTotalMOO630064006500</f>
        <v>0</v>
      </c>
      <c r="I37" s="1321">
        <f>[2]!DesegTotalMOO6600</f>
        <v>0</v>
      </c>
      <c r="J37" s="1321">
        <f>[2]!DesegTotalMOO6800</f>
        <v>0</v>
      </c>
      <c r="K37" s="1321">
        <f>[2]!DesegTotalMOPY</f>
        <v>0</v>
      </c>
      <c r="L37" s="1321">
        <f>[2]!DesegTotalMOBY</f>
        <v>0</v>
      </c>
      <c r="M37" s="1322">
        <f>[2]!DesegTotalMOPercent</f>
        <v>0</v>
      </c>
      <c r="N37" s="207" t="s">
        <v>147</v>
      </c>
    </row>
    <row r="38" spans="1:14" ht="11.25" customHeight="1">
      <c r="A38" s="1489" t="s">
        <v>1207</v>
      </c>
      <c r="B38" s="199"/>
      <c r="C38" s="226" t="s">
        <v>148</v>
      </c>
      <c r="D38" s="1335">
        <f>[1]!F001P530Personnel</f>
        <v>0</v>
      </c>
      <c r="E38" s="1336"/>
      <c r="F38" s="1337"/>
      <c r="G38" s="1337"/>
      <c r="H38" s="1337"/>
      <c r="I38" s="1337"/>
      <c r="J38" s="1337"/>
      <c r="K38" s="1325">
        <f>[1]!F001P530</f>
        <v>0</v>
      </c>
      <c r="L38" s="1325">
        <f>SUM(F38:J38)</f>
        <v>0</v>
      </c>
      <c r="M38" s="1338">
        <f>IF(K38=L38,0,IF(K38&gt;0,(L38-K38)/K38,""))</f>
        <v>0</v>
      </c>
      <c r="N38" s="207" t="s">
        <v>148</v>
      </c>
    </row>
    <row r="39" spans="1:14" ht="11.25" customHeight="1">
      <c r="A39" s="1486" t="s">
        <v>1208</v>
      </c>
      <c r="B39" s="100"/>
      <c r="C39" s="224" t="s">
        <v>34</v>
      </c>
      <c r="D39" s="1249"/>
      <c r="E39" s="1249"/>
      <c r="F39" s="1249"/>
      <c r="G39" s="1249"/>
      <c r="H39" s="1249"/>
      <c r="I39" s="1249"/>
      <c r="J39" s="1249"/>
      <c r="K39" s="1249"/>
      <c r="L39" s="1249"/>
      <c r="M39" s="1249"/>
      <c r="N39" s="207" t="s">
        <v>34</v>
      </c>
    </row>
    <row r="40" spans="1:14" ht="11.25" customHeight="1">
      <c r="A40" s="219" t="s">
        <v>1209</v>
      </c>
      <c r="B40" s="199"/>
      <c r="C40" s="227" t="s">
        <v>149</v>
      </c>
      <c r="D40" s="1319">
        <f>[1]!F001P540Personnel</f>
        <v>0</v>
      </c>
      <c r="E40" s="1319">
        <v>0</v>
      </c>
      <c r="F40" s="1321">
        <v>0</v>
      </c>
      <c r="G40" s="1321">
        <v>0</v>
      </c>
      <c r="H40" s="1321">
        <v>0</v>
      </c>
      <c r="I40" s="1321">
        <v>0</v>
      </c>
      <c r="J40" s="1321">
        <v>0</v>
      </c>
      <c r="K40" s="1321">
        <f>[1]!F001P540</f>
        <v>0</v>
      </c>
      <c r="L40" s="1321">
        <f>SUM(F40:J40)</f>
        <v>0</v>
      </c>
      <c r="M40" s="1322">
        <f>IF(K40=L40,0,IF(K40&gt;0,(L40-K40)/K40,""))</f>
        <v>0</v>
      </c>
      <c r="N40" s="207" t="s">
        <v>149</v>
      </c>
    </row>
    <row r="41" spans="1:14" ht="11.25" customHeight="1">
      <c r="A41" s="1486" t="s">
        <v>1210</v>
      </c>
      <c r="B41" s="100"/>
      <c r="C41" s="226" t="s">
        <v>150</v>
      </c>
      <c r="D41" s="1335">
        <f>[1]!F001P550Personnel</f>
        <v>2</v>
      </c>
      <c r="E41" s="1339">
        <v>2</v>
      </c>
      <c r="F41" s="1337">
        <v>93440</v>
      </c>
      <c r="G41" s="1337">
        <v>50131</v>
      </c>
      <c r="H41" s="8">
        <v>0</v>
      </c>
      <c r="I41" s="8">
        <v>0</v>
      </c>
      <c r="J41" s="8">
        <v>0</v>
      </c>
      <c r="K41" s="1325">
        <f>[1]!F001P550</f>
        <v>151956</v>
      </c>
      <c r="L41" s="1340">
        <f>SUM(F41:J41)</f>
        <v>143571</v>
      </c>
      <c r="M41" s="1338">
        <f>IF(K41=L41,0,IF(K41&gt;0,(L41-K41)/K41,""))</f>
        <v>-5.5E-2</v>
      </c>
      <c r="N41" s="207" t="s">
        <v>150</v>
      </c>
    </row>
    <row r="42" spans="1:14" ht="11.25" customHeight="1">
      <c r="A42" s="188" t="s">
        <v>1211</v>
      </c>
      <c r="B42" s="104"/>
      <c r="C42" s="205"/>
      <c r="D42" s="1249"/>
      <c r="E42" s="1249"/>
      <c r="F42" s="1249"/>
      <c r="G42" s="1249"/>
      <c r="H42" s="1249"/>
      <c r="I42" s="1249"/>
      <c r="J42" s="1249"/>
      <c r="K42" s="1249"/>
      <c r="L42" s="1249"/>
      <c r="M42" s="1249"/>
      <c r="N42" s="207"/>
    </row>
    <row r="43" spans="1:14" ht="11.25" customHeight="1">
      <c r="A43" s="219" t="s">
        <v>151</v>
      </c>
      <c r="B43" s="199"/>
      <c r="C43" s="220" t="s">
        <v>152</v>
      </c>
      <c r="D43" s="1319">
        <f t="shared" ref="D43:J43" si="6">SUM(D34:D41)+D22</f>
        <v>332.88</v>
      </c>
      <c r="E43" s="1319">
        <f t="shared" si="6"/>
        <v>357.54</v>
      </c>
      <c r="F43" s="1321">
        <f t="shared" si="6"/>
        <v>18706920</v>
      </c>
      <c r="G43" s="1321">
        <f t="shared" si="6"/>
        <v>7442073</v>
      </c>
      <c r="H43" s="1321">
        <f t="shared" si="6"/>
        <v>4603274</v>
      </c>
      <c r="I43" s="1321">
        <f t="shared" si="6"/>
        <v>1828944</v>
      </c>
      <c r="J43" s="1321">
        <f t="shared" si="6"/>
        <v>105162</v>
      </c>
      <c r="K43" s="1321">
        <f>[1]!F001TotalExp</f>
        <v>33250572</v>
      </c>
      <c r="L43" s="1321">
        <f>SUM(L34:L41)+L22</f>
        <v>32686373</v>
      </c>
      <c r="M43" s="1322">
        <f>IF(K43=L43,0,IF(K43&gt;0,(L43-K43)/K43,""))</f>
        <v>-1.7000000000000001E-2</v>
      </c>
      <c r="N43" s="207" t="s">
        <v>152</v>
      </c>
    </row>
    <row r="44" spans="1:14" ht="11.25" customHeight="1">
      <c r="A44" s="100"/>
      <c r="B44" s="100"/>
    </row>
    <row r="45" spans="1:14" ht="11.25" customHeight="1">
      <c r="A45" s="100"/>
      <c r="G45" s="1587"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587"/>
      <c r="I45" s="1587"/>
      <c r="J45" s="1587"/>
      <c r="K45" s="1587"/>
      <c r="L45" s="1587"/>
      <c r="M45" s="1587"/>
    </row>
    <row r="46" spans="1:14" ht="12.75" customHeight="1">
      <c r="A46" s="100" t="s">
        <v>153</v>
      </c>
      <c r="B46" s="151"/>
      <c r="C46" s="151"/>
      <c r="D46" s="151"/>
      <c r="E46" s="151"/>
      <c r="F46" s="151"/>
      <c r="G46" s="151"/>
      <c r="I46" s="228"/>
      <c r="J46" s="151"/>
      <c r="K46" s="151"/>
      <c r="L46" s="151"/>
      <c r="M46" s="228"/>
      <c r="N46" s="229"/>
    </row>
    <row r="47" spans="1:14" s="100" customFormat="1" ht="12.75" customHeight="1">
      <c r="A47" s="230"/>
      <c r="B47" s="231"/>
      <c r="C47" s="231"/>
      <c r="D47" s="231"/>
      <c r="E47" s="232"/>
      <c r="F47" s="232"/>
      <c r="G47" s="232"/>
      <c r="H47" s="232"/>
      <c r="I47" s="232"/>
      <c r="J47" s="232"/>
      <c r="K47" s="232"/>
      <c r="L47" s="232"/>
      <c r="M47" s="232"/>
      <c r="N47" s="107"/>
    </row>
    <row r="48" spans="1:14" s="100" customFormat="1" ht="11.25" customHeight="1">
      <c r="A48" s="230"/>
      <c r="B48" s="231"/>
      <c r="C48" s="233"/>
      <c r="D48" s="231"/>
      <c r="E48" s="234"/>
      <c r="F48" s="235"/>
      <c r="G48" s="235"/>
      <c r="H48" s="235"/>
      <c r="I48" s="235"/>
      <c r="J48" s="235"/>
      <c r="K48" s="231"/>
      <c r="L48" s="235"/>
      <c r="M48" s="236"/>
      <c r="N48" s="107"/>
    </row>
    <row r="49" spans="1:13" ht="11.25" customHeight="1">
      <c r="A49" s="237"/>
      <c r="B49" s="100"/>
      <c r="C49" s="106"/>
      <c r="D49" s="100"/>
      <c r="E49" s="238"/>
      <c r="F49" s="239"/>
      <c r="G49" s="239"/>
      <c r="H49" s="239"/>
      <c r="I49" s="239"/>
      <c r="J49" s="239"/>
      <c r="K49" s="100"/>
      <c r="L49" s="235"/>
      <c r="M49" s="240"/>
    </row>
  </sheetData>
  <sheetProtection sheet="1"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R19" sqref="R19"/>
    </sheetView>
  </sheetViews>
  <sheetFormatPr defaultColWidth="9.88671875" defaultRowHeight="15.75"/>
  <cols>
    <col min="1" max="1" width="3.88671875" style="102" customWidth="1"/>
    <col min="2" max="2" width="11.88671875" style="102" customWidth="1"/>
    <col min="3" max="3" width="5.88671875" style="102" customWidth="1"/>
    <col min="4" max="4" width="7.88671875" style="102" customWidth="1"/>
    <col min="5" max="8" width="8.88671875" style="102" customWidth="1"/>
    <col min="9" max="9" width="3" style="102" customWidth="1"/>
    <col min="10" max="10" width="9.88671875" style="102" customWidth="1"/>
    <col min="11" max="11" width="2.88671875" style="102" customWidth="1"/>
    <col min="12" max="12" width="8.88671875" style="102" customWidth="1"/>
    <col min="13" max="13" width="10" style="102" customWidth="1"/>
    <col min="14" max="14" width="5" style="102" customWidth="1"/>
    <col min="15" max="15" width="11" style="102" customWidth="1"/>
    <col min="16" max="16" width="4.44140625" style="102" customWidth="1"/>
    <col min="17" max="17" width="3.44140625" style="102" customWidth="1"/>
    <col min="18" max="19" width="10" style="102" customWidth="1"/>
    <col min="20" max="20" width="3" style="102" customWidth="1"/>
    <col min="21" max="24" width="9.88671875" style="102" customWidth="1"/>
    <col min="25" max="16384" width="9.88671875" style="102"/>
  </cols>
  <sheetData>
    <row r="1" spans="1:26" ht="15" customHeight="1">
      <c r="A1" s="1594" t="s">
        <v>911</v>
      </c>
      <c r="B1" s="1595"/>
      <c r="C1" s="1585" t="str">
        <f>DistrictName</f>
        <v xml:space="preserve">Prescott Unified </v>
      </c>
      <c r="D1" s="1586"/>
      <c r="E1" s="1586"/>
      <c r="F1" s="1586"/>
      <c r="H1" s="1285" t="s">
        <v>446</v>
      </c>
      <c r="I1" s="1592" t="str">
        <f>Cover!H1</f>
        <v>Yavapai</v>
      </c>
      <c r="J1" s="1593"/>
      <c r="K1" s="146"/>
      <c r="N1" s="1285" t="s">
        <v>912</v>
      </c>
      <c r="O1" s="162" t="str">
        <f>CTD</f>
        <v>130201000</v>
      </c>
      <c r="Q1" s="1285" t="s">
        <v>9</v>
      </c>
      <c r="R1" s="184" t="str">
        <f>Cover!C8</f>
        <v>Adopted</v>
      </c>
      <c r="T1" s="186"/>
    </row>
    <row r="2" spans="1:26" ht="12" customHeight="1">
      <c r="A2" s="187"/>
      <c r="H2" s="241"/>
      <c r="I2" s="242"/>
      <c r="J2" s="242"/>
      <c r="K2" s="242"/>
      <c r="R2" s="241"/>
    </row>
    <row r="3" spans="1:26" ht="11.25" customHeight="1">
      <c r="M3" s="243"/>
      <c r="N3" s="243"/>
      <c r="O3" s="244"/>
      <c r="T3" s="151"/>
    </row>
    <row r="4" spans="1:26" ht="12" customHeight="1">
      <c r="A4" s="245" t="s">
        <v>925</v>
      </c>
      <c r="B4" s="245"/>
      <c r="C4" s="245"/>
      <c r="D4" s="245"/>
      <c r="E4" s="245"/>
      <c r="F4" s="245"/>
      <c r="G4" s="245"/>
      <c r="I4" s="242" t="s">
        <v>34</v>
      </c>
      <c r="J4" s="242" t="s">
        <v>34</v>
      </c>
      <c r="K4" s="242"/>
      <c r="L4" s="243"/>
      <c r="M4" s="243"/>
      <c r="N4" s="244"/>
      <c r="O4" s="244"/>
      <c r="P4" s="244"/>
      <c r="Q4" s="151"/>
    </row>
    <row r="5" spans="1:26" ht="12" customHeight="1">
      <c r="B5" s="151"/>
      <c r="C5" s="151"/>
      <c r="D5" s="151"/>
      <c r="E5" s="244"/>
      <c r="F5" s="244"/>
      <c r="G5" s="244"/>
      <c r="H5" s="244"/>
      <c r="J5" s="151"/>
      <c r="K5" s="151"/>
      <c r="L5" s="151"/>
      <c r="M5" s="151"/>
      <c r="N5" s="151"/>
      <c r="O5" s="244"/>
      <c r="P5" s="244"/>
      <c r="Q5" s="244"/>
      <c r="R5" s="151"/>
    </row>
    <row r="6" spans="1:26" ht="15" customHeight="1" thickBot="1">
      <c r="A6" s="151" t="s">
        <v>154</v>
      </c>
      <c r="B6" s="151"/>
      <c r="C6" s="151"/>
      <c r="D6" s="151"/>
      <c r="E6" s="244"/>
      <c r="F6" s="244" t="s">
        <v>155</v>
      </c>
      <c r="G6" s="244" t="s">
        <v>156</v>
      </c>
      <c r="L6" s="151"/>
      <c r="M6" s="151"/>
      <c r="N6" s="163"/>
      <c r="O6" s="246"/>
      <c r="P6" s="246"/>
      <c r="Q6" s="246"/>
      <c r="R6" s="247"/>
    </row>
    <row r="7" spans="1:26" ht="12.75" customHeight="1">
      <c r="A7" s="248" t="s">
        <v>1</v>
      </c>
      <c r="B7" s="151" t="s">
        <v>1214</v>
      </c>
      <c r="C7" s="249"/>
      <c r="D7" s="249"/>
      <c r="E7" s="250"/>
      <c r="F7" s="251">
        <f>[1]!F001P200Subtotal</f>
        <v>5330000</v>
      </c>
      <c r="G7" s="49">
        <v>5330000</v>
      </c>
      <c r="H7" s="252" t="s">
        <v>1</v>
      </c>
      <c r="J7" s="253"/>
      <c r="K7" s="254" t="s">
        <v>926</v>
      </c>
      <c r="L7" s="255"/>
      <c r="M7" s="255"/>
      <c r="N7" s="255"/>
      <c r="O7" s="256"/>
      <c r="Y7" s="257"/>
      <c r="Z7" s="257"/>
    </row>
    <row r="8" spans="1:26" ht="12.75" customHeight="1">
      <c r="A8" s="258" t="s">
        <v>2</v>
      </c>
      <c r="B8" s="151" t="s">
        <v>1215</v>
      </c>
      <c r="C8" s="151"/>
      <c r="D8" s="151"/>
      <c r="E8" s="259"/>
      <c r="F8" s="260">
        <f>[1]!SPEDGiftedEdBudgFY</f>
        <v>45000</v>
      </c>
      <c r="G8" s="50">
        <v>45000</v>
      </c>
      <c r="H8" s="252" t="s">
        <v>2</v>
      </c>
      <c r="J8" s="253"/>
      <c r="K8" s="151" t="s">
        <v>159</v>
      </c>
      <c r="N8" s="261">
        <v>6350</v>
      </c>
      <c r="O8" s="1523">
        <v>55000</v>
      </c>
      <c r="Y8" s="257"/>
      <c r="Z8" s="257"/>
    </row>
    <row r="9" spans="1:26" ht="12.75" customHeight="1">
      <c r="A9" s="258" t="s">
        <v>14</v>
      </c>
      <c r="B9" s="151" t="s">
        <v>1216</v>
      </c>
      <c r="C9" s="151"/>
      <c r="D9" s="151"/>
      <c r="E9" s="259"/>
      <c r="F9" s="260">
        <f>[1]!SPEDRemedialEdBudgFY</f>
        <v>0</v>
      </c>
      <c r="G9" s="50"/>
      <c r="H9" s="252" t="s">
        <v>14</v>
      </c>
      <c r="J9" s="253"/>
      <c r="K9" s="151" t="s">
        <v>1212</v>
      </c>
      <c r="N9" s="262">
        <v>6330</v>
      </c>
      <c r="O9" s="41"/>
      <c r="Y9" s="257"/>
      <c r="Z9" s="257"/>
    </row>
    <row r="10" spans="1:26" ht="12.75" customHeight="1">
      <c r="A10" s="263" t="s">
        <v>33</v>
      </c>
      <c r="B10" s="151" t="s">
        <v>1217</v>
      </c>
      <c r="C10" s="151"/>
      <c r="D10" s="151"/>
      <c r="E10" s="259"/>
      <c r="F10" s="260">
        <f>[1]!SPEDELLIncCostBudgFY</f>
        <v>50000</v>
      </c>
      <c r="G10" s="50">
        <v>50000</v>
      </c>
      <c r="H10" s="252" t="s">
        <v>33</v>
      </c>
      <c r="J10" s="253"/>
      <c r="K10" s="151"/>
      <c r="Y10" s="257"/>
      <c r="Z10" s="257"/>
    </row>
    <row r="11" spans="1:26" ht="12.75" customHeight="1">
      <c r="A11" s="248" t="s">
        <v>123</v>
      </c>
      <c r="B11" s="151" t="s">
        <v>1218</v>
      </c>
      <c r="C11" s="151"/>
      <c r="D11" s="151"/>
      <c r="E11" s="259"/>
      <c r="F11" s="260">
        <f>[1]!SPEDELLCompInstrBudgFY</f>
        <v>0</v>
      </c>
      <c r="G11" s="50"/>
      <c r="H11" s="264" t="s">
        <v>123</v>
      </c>
      <c r="J11" s="253"/>
      <c r="L11" s="151"/>
      <c r="M11" s="265"/>
      <c r="N11" s="246"/>
      <c r="O11" s="151"/>
      <c r="P11" s="151"/>
      <c r="Q11" s="151"/>
      <c r="R11" s="151"/>
      <c r="Y11" s="257"/>
      <c r="Z11" s="257"/>
    </row>
    <row r="12" spans="1:26" ht="12.75" customHeight="1">
      <c r="A12" s="266" t="s">
        <v>124</v>
      </c>
      <c r="B12" s="151" t="s">
        <v>1219</v>
      </c>
      <c r="E12" s="259"/>
      <c r="F12" s="260">
        <f>[1]!SPEDVocTechEdBudgFY</f>
        <v>5000</v>
      </c>
      <c r="G12" s="50">
        <v>5000</v>
      </c>
      <c r="H12" s="252" t="s">
        <v>124</v>
      </c>
      <c r="J12" s="253"/>
      <c r="K12" s="243" t="str">
        <f>_xlfn.CONCAT("FY ",Cover!E3," performance pay (A.R.S. Section 15-920)")</f>
        <v>FY 2025 performance pay (A.R.S. Section 15-920)</v>
      </c>
      <c r="N12" s="151"/>
      <c r="O12" s="265"/>
      <c r="P12" s="246"/>
      <c r="Q12" s="151"/>
      <c r="R12" s="151"/>
      <c r="Y12" s="257"/>
      <c r="Z12" s="257"/>
    </row>
    <row r="13" spans="1:26" ht="12.75" customHeight="1">
      <c r="A13" s="266" t="s">
        <v>125</v>
      </c>
      <c r="B13" s="151" t="s">
        <v>1220</v>
      </c>
      <c r="C13" s="151"/>
      <c r="D13" s="151"/>
      <c r="E13" s="259"/>
      <c r="F13" s="267">
        <f>[1]!SPEDCareerEdBudgFY</f>
        <v>0</v>
      </c>
      <c r="G13" s="51"/>
      <c r="H13" s="268" t="s">
        <v>125</v>
      </c>
      <c r="J13" s="253"/>
      <c r="K13" s="151" t="s">
        <v>1213</v>
      </c>
      <c r="Q13" s="265"/>
      <c r="R13" s="27">
        <v>15000</v>
      </c>
      <c r="Y13" s="257"/>
      <c r="Z13" s="257"/>
    </row>
    <row r="14" spans="1:26" ht="12.75" customHeight="1" thickBot="1">
      <c r="A14" s="266" t="s">
        <v>127</v>
      </c>
      <c r="B14" s="151" t="s">
        <v>1221</v>
      </c>
      <c r="C14" s="269"/>
      <c r="D14" s="269"/>
      <c r="E14" s="270"/>
      <c r="F14" s="1252">
        <f>[1]!JTEDBudgFY</f>
        <v>487175</v>
      </c>
      <c r="G14" s="1253">
        <f>518364-35307</f>
        <v>483057</v>
      </c>
      <c r="H14" s="268" t="s">
        <v>127</v>
      </c>
      <c r="I14" s="1596" t="str">
        <f>IF(SUM(G7:G14)=SUM('Page 1'!L34:L34),"","Invalid. The amount should equal the total budgeted amount reported on line 24, page 1.")</f>
        <v/>
      </c>
      <c r="J14" s="1596"/>
      <c r="K14" s="151"/>
      <c r="Q14" s="265"/>
      <c r="R14" s="271"/>
      <c r="Y14" s="257"/>
      <c r="Z14" s="257"/>
    </row>
    <row r="15" spans="1:26" ht="12.75" customHeight="1">
      <c r="A15" s="272" t="s">
        <v>128</v>
      </c>
      <c r="B15" s="151" t="s">
        <v>166</v>
      </c>
      <c r="C15" s="151"/>
      <c r="D15" s="151"/>
      <c r="E15" s="1590"/>
      <c r="F15" s="1250"/>
      <c r="G15" s="1251"/>
      <c r="H15" s="252"/>
      <c r="I15" s="1596"/>
      <c r="J15" s="1596"/>
      <c r="K15" s="273" t="s">
        <v>167</v>
      </c>
      <c r="Q15" s="274"/>
      <c r="R15" s="151"/>
      <c r="Y15" s="257"/>
      <c r="Z15" s="257"/>
    </row>
    <row r="16" spans="1:26" ht="12.75" customHeight="1" thickBot="1">
      <c r="A16" s="275"/>
      <c r="B16" s="151" t="s">
        <v>168</v>
      </c>
      <c r="C16" s="151"/>
      <c r="D16" s="151"/>
      <c r="E16" s="1591"/>
      <c r="F16" s="1370">
        <f>SUM(F7:F14)</f>
        <v>5917175</v>
      </c>
      <c r="G16" s="1370">
        <f>SUM(G7:G14)</f>
        <v>5913057</v>
      </c>
      <c r="H16" s="276" t="s">
        <v>128</v>
      </c>
      <c r="I16" s="1596"/>
      <c r="J16" s="1596"/>
      <c r="Y16" s="257"/>
      <c r="Z16" s="257"/>
    </row>
    <row r="17" spans="1:26" ht="12.75" customHeight="1" thickTop="1">
      <c r="A17" s="275"/>
      <c r="B17" s="151"/>
      <c r="C17" s="151"/>
      <c r="D17" s="151"/>
      <c r="E17" s="151"/>
      <c r="F17" s="151"/>
      <c r="G17" s="151"/>
      <c r="H17" s="229"/>
      <c r="I17" s="1596"/>
      <c r="J17" s="1596"/>
      <c r="L17" s="151"/>
      <c r="N17" s="265"/>
      <c r="O17" s="106"/>
      <c r="P17" s="246"/>
      <c r="Q17" s="151"/>
      <c r="Y17" s="257"/>
      <c r="Z17" s="257"/>
    </row>
    <row r="18" spans="1:26" ht="12.75" customHeight="1">
      <c r="A18" s="272" t="s">
        <v>129</v>
      </c>
      <c r="B18" s="277" t="s">
        <v>169</v>
      </c>
      <c r="C18" s="277"/>
      <c r="D18" s="277"/>
      <c r="E18" s="277"/>
      <c r="F18" s="277"/>
      <c r="G18" s="277"/>
      <c r="H18" s="278"/>
      <c r="I18" s="1596"/>
      <c r="J18" s="1596"/>
      <c r="K18" s="254" t="s">
        <v>993</v>
      </c>
      <c r="L18" s="254"/>
      <c r="M18" s="255"/>
      <c r="N18" s="255"/>
      <c r="O18" s="255"/>
      <c r="P18" s="279"/>
      <c r="Q18" s="279"/>
      <c r="R18" s="279"/>
      <c r="Y18" s="257"/>
      <c r="Z18" s="257"/>
    </row>
    <row r="19" spans="1:26" ht="12.75" customHeight="1">
      <c r="A19" s="278"/>
      <c r="B19" s="277" t="s">
        <v>170</v>
      </c>
      <c r="C19" s="277"/>
      <c r="D19" s="277"/>
      <c r="E19" s="278"/>
      <c r="F19" s="280">
        <f t="array" ref="F19">[1]!IEPTransportCosts</f>
        <v>320000</v>
      </c>
      <c r="G19" s="77">
        <v>320000</v>
      </c>
      <c r="H19" s="281" t="s">
        <v>129</v>
      </c>
      <c r="J19" s="253"/>
      <c r="K19" s="282" t="s">
        <v>171</v>
      </c>
      <c r="L19" s="147"/>
      <c r="M19" s="147"/>
      <c r="N19" s="147"/>
      <c r="O19" s="147"/>
      <c r="P19" s="147"/>
      <c r="Q19" s="283"/>
      <c r="R19" s="28">
        <v>50000</v>
      </c>
      <c r="Y19" s="257"/>
      <c r="Z19" s="257"/>
    </row>
    <row r="20" spans="1:26" ht="12.75" customHeight="1">
      <c r="E20" s="284"/>
      <c r="K20" s="147" t="s">
        <v>172</v>
      </c>
      <c r="L20" s="147"/>
      <c r="M20" s="147"/>
      <c r="N20" s="147"/>
      <c r="O20" s="147"/>
      <c r="P20" s="147"/>
      <c r="Q20" s="279"/>
      <c r="R20" s="279"/>
      <c r="Y20" s="257"/>
      <c r="Z20" s="257"/>
    </row>
    <row r="21" spans="1:26" ht="12.75" customHeight="1">
      <c r="K21" s="147" t="s">
        <v>173</v>
      </c>
      <c r="L21" s="147"/>
      <c r="M21" s="147"/>
      <c r="N21" s="147"/>
      <c r="O21" s="147"/>
      <c r="P21" s="147"/>
      <c r="Q21" s="279"/>
      <c r="R21" s="279"/>
      <c r="Y21" s="257"/>
      <c r="Z21" s="257"/>
    </row>
    <row r="22" spans="1:26" ht="12" customHeight="1">
      <c r="A22" s="1288" t="s">
        <v>927</v>
      </c>
      <c r="C22" s="228"/>
      <c r="D22" s="228"/>
      <c r="E22" s="228"/>
      <c r="F22" s="285"/>
      <c r="G22" s="151"/>
      <c r="H22" s="151"/>
      <c r="I22" s="126"/>
      <c r="O22" s="151"/>
      <c r="P22" s="151"/>
      <c r="Q22" s="151"/>
      <c r="Y22" s="257"/>
      <c r="Z22" s="257"/>
    </row>
    <row r="23" spans="1:26" ht="12.75" customHeight="1">
      <c r="A23" s="286" t="s">
        <v>174</v>
      </c>
      <c r="C23" s="228"/>
      <c r="D23" s="228"/>
      <c r="F23" s="265" t="s">
        <v>175</v>
      </c>
      <c r="G23" s="287">
        <f>SPEDTeacher</f>
        <v>111</v>
      </c>
      <c r="H23" s="151"/>
      <c r="K23" s="243"/>
      <c r="O23" s="151"/>
      <c r="P23" s="288"/>
      <c r="Q23" s="274"/>
      <c r="R23" s="151"/>
      <c r="S23" s="151"/>
      <c r="Y23" s="257"/>
      <c r="Z23" s="257"/>
    </row>
    <row r="24" spans="1:26" ht="12.75" customHeight="1">
      <c r="F24" s="265" t="s">
        <v>176</v>
      </c>
      <c r="G24" s="287">
        <f>SPEDStaff</f>
        <v>85</v>
      </c>
      <c r="H24" s="151"/>
      <c r="K24" s="1598"/>
      <c r="L24" s="1598"/>
      <c r="M24" s="1598"/>
      <c r="N24" s="1598"/>
      <c r="O24" s="1598"/>
      <c r="P24" s="1598"/>
      <c r="Q24" s="289"/>
      <c r="R24" s="290"/>
      <c r="Y24" s="257"/>
      <c r="Z24" s="257"/>
    </row>
    <row r="25" spans="1:26" ht="12.75" customHeight="1">
      <c r="F25" s="151"/>
      <c r="G25" s="151"/>
      <c r="H25" s="151"/>
      <c r="K25" s="1597"/>
      <c r="L25" s="1597"/>
      <c r="M25" s="1597"/>
      <c r="N25" s="1597"/>
      <c r="O25" s="1597"/>
      <c r="P25" s="291"/>
      <c r="Q25" s="292"/>
      <c r="R25" s="292"/>
      <c r="Y25" s="257"/>
      <c r="Z25" s="257"/>
    </row>
    <row r="26" spans="1:26" ht="13.5" customHeight="1">
      <c r="A26" s="1589"/>
      <c r="B26" s="1589"/>
      <c r="C26" s="1589"/>
      <c r="D26" s="1589"/>
      <c r="G26" s="151"/>
      <c r="H26" s="151"/>
      <c r="J26" s="293"/>
      <c r="K26" s="294"/>
      <c r="L26" s="269"/>
      <c r="M26" s="269"/>
      <c r="N26" s="269"/>
      <c r="O26" s="269"/>
      <c r="P26" s="292"/>
      <c r="Q26" s="292"/>
      <c r="R26" s="295"/>
      <c r="Y26" s="257"/>
      <c r="Z26" s="257"/>
    </row>
    <row r="27" spans="1:26" ht="12.75" customHeight="1">
      <c r="A27" s="1432"/>
      <c r="C27" s="242"/>
      <c r="F27" s="151"/>
      <c r="K27" s="294"/>
      <c r="L27" s="269"/>
      <c r="M27" s="269"/>
      <c r="N27" s="269"/>
      <c r="O27" s="269"/>
      <c r="P27" s="292"/>
      <c r="Q27" s="292"/>
      <c r="R27" s="295"/>
      <c r="S27" s="229"/>
      <c r="Y27" s="257"/>
      <c r="Z27" s="257"/>
    </row>
    <row r="28" spans="1:26" ht="13.5" customHeight="1">
      <c r="C28" s="242"/>
      <c r="E28" s="1433"/>
      <c r="F28" s="301"/>
      <c r="K28" s="294"/>
      <c r="L28" s="296"/>
      <c r="M28" s="297"/>
      <c r="N28" s="297"/>
      <c r="O28" s="298"/>
      <c r="P28" s="292"/>
      <c r="Q28" s="292"/>
      <c r="R28" s="299"/>
      <c r="S28" s="229"/>
      <c r="Y28" s="257"/>
      <c r="Z28" s="257"/>
    </row>
    <row r="29" spans="1:26" ht="15" customHeight="1">
      <c r="E29" s="1433"/>
      <c r="F29" s="304"/>
      <c r="G29" s="305"/>
      <c r="K29" s="294"/>
      <c r="L29" s="296"/>
      <c r="M29" s="297"/>
      <c r="N29" s="297"/>
      <c r="O29" s="298"/>
      <c r="P29" s="292"/>
      <c r="Q29" s="292"/>
      <c r="R29" s="299"/>
      <c r="S29" s="229"/>
      <c r="Y29" s="1588"/>
      <c r="Z29" s="1588"/>
    </row>
    <row r="30" spans="1:26" ht="13.5" customHeight="1">
      <c r="B30" s="151"/>
      <c r="D30" s="151"/>
      <c r="E30" s="265"/>
      <c r="F30" s="306"/>
      <c r="G30" s="1392"/>
      <c r="K30" s="294"/>
      <c r="L30" s="296"/>
      <c r="M30" s="269"/>
      <c r="N30" s="269"/>
      <c r="O30" s="300"/>
      <c r="P30" s="292"/>
      <c r="Q30" s="292"/>
      <c r="R30" s="299"/>
      <c r="S30" s="229"/>
      <c r="Y30" s="1588"/>
      <c r="Z30" s="1588"/>
    </row>
    <row r="31" spans="1:26" ht="12.75" customHeight="1">
      <c r="A31" s="243"/>
      <c r="C31" s="228"/>
      <c r="D31" s="228"/>
      <c r="I31" s="151"/>
      <c r="K31" s="302"/>
      <c r="L31" s="269"/>
      <c r="M31" s="269"/>
      <c r="N31" s="269"/>
      <c r="O31" s="300"/>
      <c r="P31" s="292"/>
      <c r="Q31" s="292"/>
      <c r="R31" s="299"/>
      <c r="S31" s="229"/>
    </row>
    <row r="32" spans="1:26" ht="12.75" customHeight="1">
      <c r="A32" s="229"/>
      <c r="B32" s="303"/>
      <c r="C32" s="303"/>
      <c r="D32" s="303"/>
      <c r="E32" s="303"/>
      <c r="I32" s="243"/>
      <c r="K32" s="294"/>
      <c r="L32" s="269"/>
      <c r="M32" s="269"/>
      <c r="N32" s="269"/>
      <c r="O32" s="300"/>
      <c r="P32" s="292"/>
      <c r="Q32" s="292"/>
      <c r="R32" s="299"/>
      <c r="S32" s="229"/>
    </row>
    <row r="33" spans="1:19" ht="13.5" customHeight="1">
      <c r="A33" s="1391"/>
      <c r="B33" s="306"/>
      <c r="C33" s="306"/>
      <c r="D33" s="306"/>
      <c r="E33" s="306"/>
      <c r="I33" s="151"/>
      <c r="K33" s="294"/>
      <c r="L33" s="269"/>
      <c r="M33" s="269"/>
      <c r="N33" s="269"/>
      <c r="O33" s="300"/>
      <c r="P33" s="292"/>
      <c r="Q33" s="292"/>
      <c r="R33" s="299"/>
      <c r="S33" s="229"/>
    </row>
    <row r="34" spans="1:19" ht="12.75" customHeight="1">
      <c r="E34" s="307"/>
      <c r="I34" s="151"/>
      <c r="K34" s="302"/>
      <c r="L34" s="296"/>
      <c r="M34" s="269"/>
      <c r="N34" s="269"/>
      <c r="O34" s="300"/>
      <c r="P34" s="292"/>
      <c r="Q34" s="292"/>
      <c r="R34" s="299"/>
      <c r="S34" s="229"/>
    </row>
    <row r="35" spans="1:19" ht="12.75" customHeight="1">
      <c r="I35" s="151"/>
      <c r="K35" s="292"/>
      <c r="L35" s="269"/>
      <c r="M35" s="269"/>
      <c r="N35" s="269"/>
      <c r="O35" s="269"/>
      <c r="P35" s="269"/>
      <c r="Q35" s="292"/>
      <c r="R35" s="269"/>
      <c r="S35" s="229"/>
    </row>
    <row r="36" spans="1:19" ht="12.75" customHeight="1">
      <c r="I36" s="151"/>
      <c r="L36" s="151"/>
      <c r="M36" s="151"/>
      <c r="N36" s="151"/>
      <c r="O36" s="151"/>
      <c r="P36" s="151"/>
      <c r="R36" s="151"/>
      <c r="S36" s="229"/>
    </row>
    <row r="37" spans="1:19" ht="12.75" customHeight="1">
      <c r="L37" s="264"/>
      <c r="M37" s="151"/>
      <c r="N37" s="151"/>
      <c r="O37" s="151"/>
      <c r="P37" s="151"/>
      <c r="R37" s="308"/>
    </row>
    <row r="38" spans="1:19" ht="12.75" customHeight="1">
      <c r="L38" s="264"/>
      <c r="M38" s="151"/>
      <c r="N38" s="151"/>
      <c r="O38" s="151"/>
      <c r="P38" s="151"/>
      <c r="R38" s="308"/>
    </row>
    <row r="39" spans="1:19" ht="12.75" customHeight="1">
      <c r="K39" s="151"/>
      <c r="L39" s="151"/>
      <c r="M39" s="151"/>
      <c r="N39" s="151"/>
      <c r="O39" s="151"/>
      <c r="P39" s="151"/>
    </row>
    <row r="40" spans="1:19" ht="12.75" customHeight="1">
      <c r="K40" s="151"/>
      <c r="L40" s="151"/>
      <c r="M40" s="151"/>
      <c r="N40" s="151"/>
      <c r="O40" s="151"/>
      <c r="P40" s="151"/>
    </row>
    <row r="41" spans="1:19" ht="13.5" customHeight="1">
      <c r="K41" s="151"/>
    </row>
    <row r="42" spans="1:19" ht="12.75" customHeight="1">
      <c r="I42" s="151"/>
      <c r="J42" s="309"/>
      <c r="S42" s="151"/>
    </row>
    <row r="43" spans="1:19" ht="13.5" hidden="1" customHeight="1"/>
    <row r="44" spans="1:19" ht="13.5" customHeight="1"/>
    <row r="45" spans="1:19" ht="13.5" customHeight="1">
      <c r="I45" s="151"/>
    </row>
    <row r="46" spans="1:19" ht="13.5" customHeight="1">
      <c r="I46" s="243"/>
    </row>
    <row r="47" spans="1:19" ht="6" customHeight="1">
      <c r="I47" s="151"/>
      <c r="J47" s="151"/>
    </row>
    <row r="48" spans="1:19" ht="12" customHeight="1">
      <c r="J48" s="151"/>
    </row>
    <row r="49" spans="19:20" ht="12.75" customHeight="1">
      <c r="S49" s="151"/>
      <c r="T49" s="265"/>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2"/>
  <sheetViews>
    <sheetView showGridLines="0" workbookViewId="0">
      <selection activeCell="D37" sqref="D37"/>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85" t="s">
        <v>928</v>
      </c>
      <c r="B1" s="1585" t="str">
        <f>DistrictName</f>
        <v xml:space="preserve">Prescott Unified </v>
      </c>
      <c r="C1" s="1609"/>
      <c r="D1" s="1609"/>
      <c r="E1" s="1609"/>
      <c r="F1" s="1285" t="s">
        <v>446</v>
      </c>
      <c r="G1" s="310" t="str">
        <f>Cover!H1</f>
        <v>Yavapai</v>
      </c>
      <c r="J1" s="261" t="s">
        <v>912</v>
      </c>
      <c r="K1" s="103" t="str">
        <f>Cover!S1</f>
        <v>130201000</v>
      </c>
      <c r="M1" s="1285" t="s">
        <v>9</v>
      </c>
      <c r="N1" s="311" t="str">
        <f>Cover!C8</f>
        <v>Adopted</v>
      </c>
      <c r="O1" s="312"/>
    </row>
    <row r="2" spans="1:25" ht="22.5" customHeight="1">
      <c r="A2" s="1289" t="s">
        <v>929</v>
      </c>
      <c r="B2" s="313"/>
      <c r="C2" s="313"/>
      <c r="D2" s="1610" t="s">
        <v>930</v>
      </c>
      <c r="E2" s="1610"/>
      <c r="F2" s="1610"/>
      <c r="G2" s="1610"/>
      <c r="H2" s="1610"/>
      <c r="I2" s="1610"/>
      <c r="J2" s="1610"/>
      <c r="K2" s="1610"/>
      <c r="L2" s="1610"/>
      <c r="M2" s="100"/>
      <c r="N2" s="100"/>
    </row>
    <row r="3" spans="1:25" ht="11.25" customHeight="1">
      <c r="A3" s="314"/>
      <c r="B3" s="315"/>
      <c r="C3" s="316"/>
      <c r="D3" s="317"/>
      <c r="E3" s="318"/>
      <c r="F3" s="319"/>
      <c r="G3" s="320"/>
      <c r="H3" s="321"/>
      <c r="I3" s="1290" t="s">
        <v>942</v>
      </c>
      <c r="J3" s="1611" t="s">
        <v>102</v>
      </c>
      <c r="K3" s="1612"/>
      <c r="L3" s="321" t="s">
        <v>111</v>
      </c>
      <c r="M3" s="107"/>
      <c r="N3" s="107"/>
    </row>
    <row r="4" spans="1:25" ht="11.25" customHeight="1">
      <c r="A4" s="322" t="s">
        <v>112</v>
      </c>
      <c r="B4" s="323"/>
      <c r="C4" s="324"/>
      <c r="D4" s="325" t="s">
        <v>104</v>
      </c>
      <c r="E4" s="326" t="s">
        <v>940</v>
      </c>
      <c r="F4" s="327" t="s">
        <v>941</v>
      </c>
      <c r="G4" s="328" t="s">
        <v>107</v>
      </c>
      <c r="H4" s="327" t="s">
        <v>178</v>
      </c>
      <c r="I4" s="327" t="s">
        <v>943</v>
      </c>
      <c r="J4" s="321" t="s">
        <v>155</v>
      </c>
      <c r="K4" s="321" t="s">
        <v>156</v>
      </c>
      <c r="L4" s="326" t="s">
        <v>114</v>
      </c>
      <c r="M4" s="107"/>
      <c r="N4" s="107"/>
    </row>
    <row r="5" spans="1:25" ht="11.25" customHeight="1">
      <c r="A5" s="329"/>
      <c r="B5" s="330"/>
      <c r="C5" s="331"/>
      <c r="D5" s="332" t="s">
        <v>115</v>
      </c>
      <c r="E5" s="333" t="s">
        <v>116</v>
      </c>
      <c r="F5" s="334" t="s">
        <v>179</v>
      </c>
      <c r="G5" s="335">
        <v>6600</v>
      </c>
      <c r="H5" s="327">
        <v>6700</v>
      </c>
      <c r="I5" s="327">
        <v>6800</v>
      </c>
      <c r="J5" s="336">
        <f>PriorFiscalYear</f>
        <v>2024</v>
      </c>
      <c r="K5" s="336">
        <f>Cover!E3</f>
        <v>2025</v>
      </c>
      <c r="L5" s="336" t="s">
        <v>119</v>
      </c>
      <c r="M5" s="107"/>
      <c r="N5" s="107"/>
    </row>
    <row r="6" spans="1:25" ht="10.5" customHeight="1">
      <c r="A6" s="337" t="s">
        <v>180</v>
      </c>
      <c r="B6" s="307"/>
      <c r="C6" s="338" t="s">
        <v>1</v>
      </c>
      <c r="D6" s="34">
        <v>3233050</v>
      </c>
      <c r="E6" s="34">
        <f>+D6*0.2068+1</f>
        <v>668596</v>
      </c>
      <c r="F6" s="76">
        <v>0</v>
      </c>
      <c r="G6" s="76">
        <v>0</v>
      </c>
      <c r="H6" s="76">
        <v>0</v>
      </c>
      <c r="I6" s="76">
        <v>0</v>
      </c>
      <c r="J6" s="341">
        <f t="array" ref="J6">[1]!F010F1000</f>
        <v>3744008</v>
      </c>
      <c r="K6" s="342">
        <f t="shared" ref="K6:K13" si="0">SUM(D6:I6)</f>
        <v>3901646</v>
      </c>
      <c r="L6" s="343">
        <f t="shared" ref="L6:L11" si="1">IF(J6=K6,0,IF(J6&gt;0,(K6-J6)/J6,""))</f>
        <v>4.2000000000000003E-2</v>
      </c>
      <c r="M6" s="344" t="s">
        <v>1</v>
      </c>
      <c r="N6" s="207"/>
    </row>
    <row r="7" spans="1:25" ht="10.5" customHeight="1">
      <c r="A7" s="337" t="s">
        <v>961</v>
      </c>
      <c r="B7" s="307"/>
      <c r="C7" s="338" t="s">
        <v>2</v>
      </c>
      <c r="D7" s="20">
        <v>105916</v>
      </c>
      <c r="E7" s="34">
        <f>+D7*0.2068</f>
        <v>21903</v>
      </c>
      <c r="F7" s="76">
        <v>0</v>
      </c>
      <c r="G7" s="76">
        <v>0</v>
      </c>
      <c r="H7" s="76">
        <v>0</v>
      </c>
      <c r="I7" s="76">
        <v>0</v>
      </c>
      <c r="J7" s="341">
        <f t="array" ref="J7">[1]!F010F2100</f>
        <v>134223</v>
      </c>
      <c r="K7" s="342">
        <f t="shared" si="0"/>
        <v>127819</v>
      </c>
      <c r="L7" s="343">
        <f t="shared" si="1"/>
        <v>-4.8000000000000001E-2</v>
      </c>
      <c r="M7" s="345" t="s">
        <v>2</v>
      </c>
      <c r="N7" s="346"/>
      <c r="O7" s="307"/>
      <c r="P7" s="307"/>
      <c r="Q7" s="309"/>
      <c r="R7" s="307"/>
      <c r="S7" s="347"/>
      <c r="T7" s="348"/>
      <c r="U7" s="348"/>
      <c r="V7" s="348"/>
      <c r="W7" s="348"/>
      <c r="X7" s="348"/>
      <c r="Y7" s="348"/>
    </row>
    <row r="8" spans="1:25" ht="10.5" customHeight="1">
      <c r="A8" s="337" t="s">
        <v>962</v>
      </c>
      <c r="B8" s="307"/>
      <c r="C8" s="338" t="s">
        <v>14</v>
      </c>
      <c r="D8" s="21">
        <v>131480</v>
      </c>
      <c r="E8" s="34">
        <f>+D8*0.2068</f>
        <v>27190</v>
      </c>
      <c r="F8" s="76">
        <v>0</v>
      </c>
      <c r="G8" s="76">
        <v>0</v>
      </c>
      <c r="H8" s="350"/>
      <c r="I8" s="76">
        <v>0</v>
      </c>
      <c r="J8" s="341">
        <f t="array" ref="J8">[1]!F010F2200</f>
        <v>131771</v>
      </c>
      <c r="K8" s="342">
        <f t="shared" si="0"/>
        <v>158670</v>
      </c>
      <c r="L8" s="343">
        <f t="shared" si="1"/>
        <v>0.20399999999999999</v>
      </c>
      <c r="M8" s="345" t="s">
        <v>14</v>
      </c>
      <c r="N8" s="207"/>
      <c r="O8" s="307"/>
    </row>
    <row r="9" spans="1:25" s="174" customFormat="1" ht="10.5" customHeight="1">
      <c r="A9" s="351" t="s">
        <v>963</v>
      </c>
      <c r="B9" s="352"/>
      <c r="C9" s="353" t="s">
        <v>33</v>
      </c>
      <c r="D9" s="354"/>
      <c r="E9" s="354"/>
      <c r="F9" s="76">
        <v>0</v>
      </c>
      <c r="G9" s="354"/>
      <c r="H9" s="354"/>
      <c r="I9" s="354"/>
      <c r="J9" s="355">
        <f t="array" ref="J9">[1]!F010F2310</f>
        <v>0</v>
      </c>
      <c r="K9" s="342">
        <f t="shared" si="0"/>
        <v>0</v>
      </c>
      <c r="L9" s="356">
        <f t="shared" si="1"/>
        <v>0</v>
      </c>
      <c r="M9" s="344" t="s">
        <v>33</v>
      </c>
      <c r="N9" s="357"/>
    </row>
    <row r="10" spans="1:25" ht="10.5" customHeight="1">
      <c r="A10" s="351" t="s">
        <v>964</v>
      </c>
      <c r="B10" s="307"/>
      <c r="C10" s="338" t="s">
        <v>123</v>
      </c>
      <c r="D10" s="358"/>
      <c r="E10" s="358"/>
      <c r="F10" s="358"/>
      <c r="G10" s="359"/>
      <c r="H10" s="360"/>
      <c r="I10" s="76">
        <v>0</v>
      </c>
      <c r="J10" s="355">
        <f t="array" ref="J10">[1]!F010F2510</f>
        <v>0</v>
      </c>
      <c r="K10" s="342">
        <f t="shared" si="0"/>
        <v>0</v>
      </c>
      <c r="L10" s="361">
        <f t="shared" si="1"/>
        <v>0</v>
      </c>
      <c r="M10" s="344" t="s">
        <v>123</v>
      </c>
      <c r="N10" s="207"/>
    </row>
    <row r="11" spans="1:25" ht="10.5" customHeight="1">
      <c r="A11" s="1291" t="s">
        <v>965</v>
      </c>
      <c r="B11" s="307"/>
      <c r="C11" s="338" t="s">
        <v>124</v>
      </c>
      <c r="D11" s="76">
        <v>0</v>
      </c>
      <c r="E11" s="76">
        <v>0</v>
      </c>
      <c r="F11" s="76">
        <v>0</v>
      </c>
      <c r="G11" s="358"/>
      <c r="H11" s="359"/>
      <c r="I11" s="360"/>
      <c r="J11" s="362">
        <f t="array" ref="J11">[1]!F010F3300</f>
        <v>0</v>
      </c>
      <c r="K11" s="362">
        <f t="shared" si="0"/>
        <v>0</v>
      </c>
      <c r="L11" s="363">
        <f t="shared" si="1"/>
        <v>0</v>
      </c>
      <c r="M11" s="344" t="s">
        <v>124</v>
      </c>
      <c r="N11" s="207"/>
    </row>
    <row r="12" spans="1:25" ht="10.5" customHeight="1">
      <c r="A12" s="1291" t="s">
        <v>966</v>
      </c>
      <c r="C12" s="338" t="s">
        <v>125</v>
      </c>
      <c r="D12" s="364"/>
      <c r="E12" s="364"/>
      <c r="F12" s="364"/>
      <c r="G12" s="364"/>
      <c r="H12" s="76">
        <v>0</v>
      </c>
      <c r="I12" s="364"/>
      <c r="J12" s="340">
        <f t="array" ref="J12">[1]!F010F4000</f>
        <v>0</v>
      </c>
      <c r="K12" s="340">
        <f t="shared" si="0"/>
        <v>0</v>
      </c>
      <c r="L12" s="364"/>
      <c r="M12" s="344" t="s">
        <v>125</v>
      </c>
    </row>
    <row r="13" spans="1:25" ht="10.5" customHeight="1">
      <c r="A13" s="1291" t="s">
        <v>967</v>
      </c>
      <c r="C13" s="338" t="s">
        <v>127</v>
      </c>
      <c r="D13" s="364"/>
      <c r="E13" s="364"/>
      <c r="F13" s="364"/>
      <c r="G13" s="364"/>
      <c r="H13" s="364"/>
      <c r="I13" s="78"/>
      <c r="J13" s="340">
        <f t="array" ref="J13">[1]!F010F5000</f>
        <v>0</v>
      </c>
      <c r="K13" s="340">
        <f t="shared" si="0"/>
        <v>0</v>
      </c>
      <c r="L13" s="364"/>
      <c r="M13" s="344" t="s">
        <v>127</v>
      </c>
    </row>
    <row r="14" spans="1:25" ht="11.25" customHeight="1">
      <c r="A14" s="365" t="s">
        <v>181</v>
      </c>
      <c r="B14" s="366"/>
      <c r="C14" s="367" t="s">
        <v>128</v>
      </c>
      <c r="D14" s="368">
        <f t="shared" ref="D14:I14" si="2">SUM(D6:D13)</f>
        <v>3470446</v>
      </c>
      <c r="E14" s="368">
        <f t="shared" si="2"/>
        <v>717689</v>
      </c>
      <c r="F14" s="368">
        <f t="shared" si="2"/>
        <v>0</v>
      </c>
      <c r="G14" s="368">
        <f t="shared" si="2"/>
        <v>0</v>
      </c>
      <c r="H14" s="368">
        <f t="shared" si="2"/>
        <v>0</v>
      </c>
      <c r="I14" s="368">
        <f t="shared" si="2"/>
        <v>0</v>
      </c>
      <c r="J14" s="369">
        <f t="array" ref="J14">[1]!F010TotalExp</f>
        <v>4010002</v>
      </c>
      <c r="K14" s="370">
        <f>SUM(D14:I14)</f>
        <v>4188135</v>
      </c>
      <c r="L14" s="343">
        <f>IF(J14=K14,0,IF(J14&gt;0,(K14-J14)/J14,""))</f>
        <v>4.3999999999999997E-2</v>
      </c>
      <c r="M14" s="344" t="s">
        <v>128</v>
      </c>
      <c r="O14" s="371"/>
      <c r="P14" s="371"/>
      <c r="Q14" s="371"/>
      <c r="R14" s="371"/>
      <c r="S14" s="129"/>
      <c r="T14" s="129"/>
      <c r="U14" s="129"/>
      <c r="V14" s="129"/>
      <c r="W14" s="129"/>
      <c r="X14" s="129"/>
    </row>
    <row r="16" spans="1:25">
      <c r="L16" s="372"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46" customFormat="1">
      <c r="A30" s="1613" t="s">
        <v>182</v>
      </c>
      <c r="B30" s="1613"/>
      <c r="C30" s="1613"/>
      <c r="D30" s="1613"/>
      <c r="F30" s="151"/>
      <c r="H30"/>
      <c r="K30"/>
      <c r="N30" s="100"/>
      <c r="O30" s="100"/>
      <c r="P30" s="100"/>
      <c r="Q30" s="100"/>
      <c r="R30" s="100"/>
      <c r="S30" s="100"/>
      <c r="T30" s="1614"/>
      <c r="U30" s="373"/>
      <c r="V30" s="374"/>
    </row>
    <row r="31" spans="1:22" s="146" customFormat="1" ht="25.5" customHeight="1">
      <c r="A31" s="1615" t="str">
        <f>_xlfn.CONCAT("FY ",PriorFiscalYear," Classroom Site Fund Budget Limit (from FY ",PriorFiscalYear," latest revised Budget, page 3, line 16)")</f>
        <v>FY 2024 Classroom Site Fund Budget Limit (from FY 2024 latest revised Budget, page 3, line 16)</v>
      </c>
      <c r="B31" s="1616"/>
      <c r="C31" s="375" t="s">
        <v>129</v>
      </c>
      <c r="D31" s="376">
        <f t="array" ref="D31">'[1]Page 3'!CSFBLBudgFY</f>
        <v>4010002</v>
      </c>
      <c r="E31"/>
      <c r="F31"/>
      <c r="G31"/>
      <c r="H31"/>
      <c r="K31"/>
      <c r="L31"/>
      <c r="N31" s="100"/>
      <c r="O31" s="1547"/>
      <c r="P31" s="1547"/>
      <c r="Q31" s="1547"/>
      <c r="R31" s="1547"/>
      <c r="S31" s="100"/>
      <c r="T31" s="1614"/>
      <c r="U31" s="377"/>
      <c r="V31" s="374"/>
    </row>
    <row r="32" spans="1:22" s="146" customFormat="1" ht="36" customHeight="1">
      <c r="A32" s="1599"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00"/>
      <c r="C32" s="379" t="s">
        <v>130</v>
      </c>
      <c r="D32" s="1524">
        <v>3425997</v>
      </c>
      <c r="E32" s="380" t="str">
        <f>IF(AND(CSFBLCurrFY&lt;&gt;0,CSFActualCurrFY=""),"Please enter prior year CSF actual expenditures on line 11.","")</f>
        <v/>
      </c>
      <c r="F32"/>
      <c r="G32"/>
      <c r="H32"/>
      <c r="K32"/>
      <c r="L32"/>
      <c r="N32" s="100"/>
      <c r="O32" s="100"/>
      <c r="P32" s="100"/>
      <c r="Q32" s="100"/>
      <c r="R32" s="100"/>
      <c r="S32" s="100"/>
      <c r="T32" s="100"/>
      <c r="U32" s="100"/>
      <c r="V32" s="374"/>
    </row>
    <row r="33" spans="1:22" s="146" customFormat="1" ht="24" customHeight="1">
      <c r="A33" s="1604" t="s">
        <v>183</v>
      </c>
      <c r="B33" s="1605"/>
      <c r="C33" s="381" t="s">
        <v>131</v>
      </c>
      <c r="D33" s="382">
        <f>D31-D32</f>
        <v>584005</v>
      </c>
      <c r="E33"/>
      <c r="F33"/>
      <c r="G33"/>
      <c r="H33"/>
      <c r="K33"/>
      <c r="L33"/>
      <c r="N33" s="128"/>
      <c r="O33" s="240"/>
      <c r="P33" s="240"/>
      <c r="Q33" s="240"/>
      <c r="R33" s="100"/>
      <c r="S33" s="100"/>
      <c r="T33" s="106"/>
      <c r="U33" s="100"/>
      <c r="V33" s="374"/>
    </row>
    <row r="34" spans="1:22" s="146" customFormat="1" ht="22.5" customHeight="1">
      <c r="A34" s="1599" t="str">
        <f>_xlfn.CONCAT("Interest earned in the Classroom Site Fund in FY ",PriorFiscalYear)</f>
        <v>Interest earned in the Classroom Site Fund in FY 2024</v>
      </c>
      <c r="B34" s="1600"/>
      <c r="C34" s="379" t="s">
        <v>132</v>
      </c>
      <c r="D34" s="1525">
        <v>44882</v>
      </c>
      <c r="E34"/>
      <c r="F34"/>
      <c r="G34"/>
      <c r="H34"/>
      <c r="K34"/>
      <c r="L34"/>
      <c r="N34" s="100"/>
      <c r="O34" s="1547"/>
      <c r="P34" s="1547"/>
      <c r="Q34" s="1547"/>
      <c r="R34" s="1547"/>
      <c r="S34" s="100"/>
      <c r="T34" s="100"/>
      <c r="U34" s="100"/>
      <c r="V34" s="374"/>
    </row>
    <row r="35" spans="1:22" s="383" customFormat="1" ht="25.5" customHeight="1">
      <c r="A35" s="1606" t="str">
        <f>_xlfn.CONCAT("FY ",Cover!E3," Classroom Site Fund allocation (provided by ADE, based on $792)")</f>
        <v>FY 2025 Classroom Site Fund allocation (provided by ADE, based on $792)</v>
      </c>
      <c r="B35" s="1607"/>
      <c r="C35" s="379" t="s">
        <v>133</v>
      </c>
      <c r="D35" s="1525">
        <f>4494*792</f>
        <v>3559248</v>
      </c>
      <c r="E35" s="380"/>
      <c r="F35"/>
      <c r="G35"/>
      <c r="H35"/>
      <c r="K35"/>
      <c r="L35"/>
      <c r="N35" s="384"/>
      <c r="O35" s="1608"/>
      <c r="P35" s="1608"/>
      <c r="Q35" s="1608"/>
      <c r="R35" s="1608"/>
      <c r="S35" s="384"/>
      <c r="T35" s="385"/>
      <c r="U35" s="386"/>
      <c r="V35" s="387"/>
    </row>
    <row r="36" spans="1:22" s="146" customFormat="1" ht="22.5" customHeight="1">
      <c r="A36" s="1599" t="str">
        <f>_xlfn.CONCAT("Adjustments to FY ",Cover!E3," Classroom Site Fund Budget Limit (1)")</f>
        <v>Adjustments to FY 2025 Classroom Site Fund Budget Limit (1)</v>
      </c>
      <c r="B36" s="1600"/>
      <c r="C36" s="379" t="s">
        <v>134</v>
      </c>
      <c r="D36" s="1525">
        <v>0</v>
      </c>
      <c r="E36"/>
      <c r="F36"/>
      <c r="G36"/>
      <c r="H36"/>
      <c r="K36"/>
      <c r="L36"/>
      <c r="N36" s="128"/>
      <c r="O36" s="107"/>
      <c r="P36" s="100"/>
      <c r="Q36" s="100"/>
      <c r="R36" s="100"/>
      <c r="S36" s="100"/>
      <c r="T36" s="106"/>
      <c r="U36" s="377"/>
      <c r="V36" s="374"/>
    </row>
    <row r="37" spans="1:22" s="146" customFormat="1" ht="9.75" customHeight="1">
      <c r="A37" s="388"/>
      <c r="B37" s="389"/>
      <c r="C37" s="389"/>
      <c r="D37" s="390"/>
      <c r="E37"/>
      <c r="F37"/>
      <c r="G37"/>
      <c r="H37"/>
      <c r="K37"/>
      <c r="L37"/>
      <c r="N37" s="128"/>
      <c r="O37" s="100"/>
      <c r="P37" s="1547"/>
      <c r="Q37" s="1547"/>
      <c r="R37" s="1547"/>
      <c r="S37" s="100"/>
      <c r="T37" s="106"/>
      <c r="U37" s="377"/>
      <c r="V37" s="374"/>
    </row>
    <row r="38" spans="1:22" s="146" customFormat="1" ht="26.25" customHeight="1" thickBot="1">
      <c r="A38" s="1601" t="str">
        <f>_xlfn.CONCAT("FY ",Cover!E3," Classroom Site Fund Budget Limit (Sum of lines 10 through 15) (2)")</f>
        <v>FY 2025 Classroom Site Fund Budget Limit (Sum of lines 10 through 15) (2)</v>
      </c>
      <c r="B38" s="1602"/>
      <c r="C38" s="391" t="s">
        <v>135</v>
      </c>
      <c r="D38" s="1514">
        <f>SUM(D33:D36)</f>
        <v>4188135</v>
      </c>
      <c r="E38"/>
      <c r="F38"/>
      <c r="G38"/>
      <c r="H38"/>
      <c r="K38"/>
      <c r="L38"/>
      <c r="N38" s="124"/>
      <c r="P38" s="124"/>
      <c r="Q38" s="124"/>
      <c r="R38" s="100"/>
      <c r="S38" s="100"/>
      <c r="T38" s="106"/>
      <c r="U38" s="377"/>
      <c r="V38" s="374"/>
    </row>
    <row r="39" spans="1:22" s="146" customFormat="1" ht="8.25" customHeight="1" thickTop="1">
      <c r="A39" s="151"/>
      <c r="K39" s="305"/>
      <c r="N39" s="240"/>
      <c r="O39" s="100"/>
      <c r="P39" s="100"/>
      <c r="Q39" s="100"/>
      <c r="R39" s="106"/>
      <c r="S39" s="377"/>
      <c r="T39" s="1603"/>
      <c r="U39" s="1603"/>
      <c r="V39" s="392"/>
    </row>
    <row r="40" spans="1:22" s="146" customFormat="1" ht="12.75">
      <c r="A40" s="393" t="s">
        <v>184</v>
      </c>
      <c r="C40" s="249"/>
      <c r="N40" s="100"/>
      <c r="O40" s="394"/>
      <c r="P40" s="394"/>
      <c r="Q40" s="394"/>
      <c r="R40" s="100"/>
      <c r="S40" s="100"/>
      <c r="T40" s="100"/>
      <c r="U40" s="100"/>
      <c r="V40" s="392"/>
    </row>
    <row r="41" spans="1:22" s="146" customFormat="1" ht="12.75">
      <c r="A41" s="395" t="s">
        <v>185</v>
      </c>
      <c r="N41" s="100"/>
      <c r="O41" s="100"/>
      <c r="P41" s="100"/>
      <c r="Q41" s="100"/>
      <c r="R41" s="100"/>
      <c r="S41" s="100"/>
      <c r="T41" s="100"/>
      <c r="U41" s="100"/>
      <c r="V41" s="392"/>
    </row>
    <row r="42" spans="1:22" s="146" customFormat="1" ht="15.75">
      <c r="A42" s="396"/>
      <c r="B42" s="303"/>
      <c r="C42" s="303"/>
      <c r="D42" s="303"/>
      <c r="E42" s="303"/>
      <c r="F42" s="303"/>
      <c r="G42" s="303"/>
      <c r="H42" s="303"/>
      <c r="I42" s="303"/>
      <c r="J42" s="303"/>
      <c r="K42" s="303"/>
      <c r="L42" s="303"/>
    </row>
  </sheetData>
  <sheetProtection sheet="1" formatCells="0" formatColumns="0" formatRows="0"/>
  <mergeCells count="17">
    <mergeCell ref="B1:E1"/>
    <mergeCell ref="D2:L2"/>
    <mergeCell ref="J3:K3"/>
    <mergeCell ref="A30:D30"/>
    <mergeCell ref="T30:T31"/>
    <mergeCell ref="A31:B31"/>
    <mergeCell ref="O31:R31"/>
    <mergeCell ref="A36:B36"/>
    <mergeCell ref="P37:R37"/>
    <mergeCell ref="A38:B38"/>
    <mergeCell ref="T39:U39"/>
    <mergeCell ref="A32:B32"/>
    <mergeCell ref="A33:B33"/>
    <mergeCell ref="A34:B34"/>
    <mergeCell ref="O34:R34"/>
    <mergeCell ref="A35:B35"/>
    <mergeCell ref="O35:R35"/>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
  <sheetViews>
    <sheetView showGridLines="0" workbookViewId="0">
      <selection activeCell="F21" sqref="F21:M21"/>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48" customWidth="1"/>
    <col min="16" max="16" width="3" customWidth="1"/>
    <col min="17" max="18" width="8.88671875" customWidth="1"/>
  </cols>
  <sheetData>
    <row r="1" spans="1:16">
      <c r="A1" s="1285" t="s">
        <v>911</v>
      </c>
      <c r="B1" s="1585" t="str">
        <f>DistrictName</f>
        <v xml:space="preserve">Prescott Unified </v>
      </c>
      <c r="C1" s="1609"/>
      <c r="D1" s="1609"/>
      <c r="E1" s="1609"/>
      <c r="F1" s="397"/>
      <c r="G1" s="1285" t="s">
        <v>446</v>
      </c>
      <c r="H1" s="310" t="str">
        <f>Cover!H1</f>
        <v>Yavapai</v>
      </c>
      <c r="K1" s="261" t="s">
        <v>912</v>
      </c>
      <c r="L1" s="103" t="str">
        <f>Cover!S1</f>
        <v>130201000</v>
      </c>
      <c r="M1" s="1285" t="s">
        <v>9</v>
      </c>
      <c r="N1" s="398" t="str">
        <f>Cover!C8</f>
        <v>Adopted</v>
      </c>
      <c r="O1" s="163"/>
      <c r="P1" s="163"/>
    </row>
    <row r="2" spans="1:16">
      <c r="A2" s="265"/>
      <c r="B2" s="151"/>
      <c r="C2" s="151"/>
      <c r="D2" s="151"/>
      <c r="E2" s="151"/>
      <c r="F2" s="151"/>
      <c r="G2" s="151"/>
      <c r="H2" s="265"/>
      <c r="I2" s="151"/>
      <c r="J2" s="151"/>
      <c r="K2" s="151"/>
      <c r="L2" s="151"/>
      <c r="M2" s="265"/>
      <c r="N2" s="151"/>
      <c r="O2" s="229"/>
      <c r="P2" s="151"/>
    </row>
    <row r="3" spans="1:16" ht="15.75">
      <c r="A3" s="399" t="s">
        <v>931</v>
      </c>
      <c r="B3" s="400"/>
      <c r="C3" s="102"/>
      <c r="D3" s="1628" t="s">
        <v>932</v>
      </c>
      <c r="E3" s="1628"/>
      <c r="F3" s="1628"/>
      <c r="G3" s="1628"/>
      <c r="H3" s="1628"/>
      <c r="I3" s="1628"/>
      <c r="J3" s="1628"/>
      <c r="K3" s="1628"/>
      <c r="L3" s="1628"/>
      <c r="M3" s="1628"/>
      <c r="N3" s="186"/>
      <c r="O3" s="187"/>
      <c r="P3" s="102"/>
    </row>
    <row r="4" spans="1:16" ht="24.75">
      <c r="A4" s="188"/>
      <c r="B4" s="104"/>
      <c r="C4" s="104"/>
      <c r="D4" s="1623" t="s">
        <v>186</v>
      </c>
      <c r="E4" s="1292" t="s">
        <v>933</v>
      </c>
      <c r="F4" s="1625" t="s">
        <v>936</v>
      </c>
      <c r="G4" s="1625" t="s">
        <v>187</v>
      </c>
      <c r="H4" s="1625" t="s">
        <v>937</v>
      </c>
      <c r="I4" s="1625" t="s">
        <v>188</v>
      </c>
      <c r="J4" s="402"/>
      <c r="K4" s="403" t="s">
        <v>102</v>
      </c>
      <c r="L4" s="404"/>
      <c r="M4" s="405"/>
      <c r="N4" s="187"/>
      <c r="O4"/>
    </row>
    <row r="5" spans="1:16" ht="12" customHeight="1">
      <c r="A5" s="109"/>
      <c r="B5" s="100"/>
      <c r="C5" s="100"/>
      <c r="D5" s="1624"/>
      <c r="E5" s="1293" t="s">
        <v>934</v>
      </c>
      <c r="F5" s="1627"/>
      <c r="G5" s="1626"/>
      <c r="H5" s="1627"/>
      <c r="I5" s="1627"/>
      <c r="J5" s="1294" t="s">
        <v>938</v>
      </c>
      <c r="K5" s="3" t="s">
        <v>109</v>
      </c>
      <c r="L5" s="190" t="s">
        <v>110</v>
      </c>
      <c r="M5" s="190" t="s">
        <v>111</v>
      </c>
      <c r="N5" s="187"/>
      <c r="O5"/>
    </row>
    <row r="6" spans="1:16" ht="12" customHeight="1">
      <c r="A6" s="195" t="s">
        <v>112</v>
      </c>
      <c r="B6" s="102"/>
      <c r="C6" s="100"/>
      <c r="D6" s="1624"/>
      <c r="E6" s="1293" t="s">
        <v>935</v>
      </c>
      <c r="F6" s="1627"/>
      <c r="G6" s="1626"/>
      <c r="H6" s="1627"/>
      <c r="I6" s="1627"/>
      <c r="J6" s="1294" t="s">
        <v>939</v>
      </c>
      <c r="K6" s="3" t="s">
        <v>0</v>
      </c>
      <c r="L6" s="190" t="s">
        <v>0</v>
      </c>
      <c r="M6" s="190" t="s">
        <v>114</v>
      </c>
      <c r="N6" s="187"/>
      <c r="O6"/>
    </row>
    <row r="7" spans="1:16" ht="24.75">
      <c r="A7" s="197"/>
      <c r="B7" s="198"/>
      <c r="C7" s="199"/>
      <c r="D7" s="200">
        <v>6440</v>
      </c>
      <c r="E7" s="200" t="s">
        <v>189</v>
      </c>
      <c r="F7" s="3">
        <v>6655</v>
      </c>
      <c r="G7" s="200">
        <v>6700</v>
      </c>
      <c r="H7" s="200" t="s">
        <v>190</v>
      </c>
      <c r="I7" s="406" t="s">
        <v>191</v>
      </c>
      <c r="J7" s="407" t="s">
        <v>192</v>
      </c>
      <c r="K7" s="201">
        <f>PriorFiscalYear</f>
        <v>2024</v>
      </c>
      <c r="L7" s="190">
        <f>Cover!E3</f>
        <v>2025</v>
      </c>
      <c r="M7" s="200" t="s">
        <v>119</v>
      </c>
      <c r="N7" s="187"/>
      <c r="O7"/>
    </row>
    <row r="8" spans="1:16" ht="13.5" customHeight="1">
      <c r="A8" s="408" t="s">
        <v>193</v>
      </c>
      <c r="B8" s="409"/>
      <c r="C8" s="410" t="s">
        <v>1</v>
      </c>
      <c r="D8" s="4">
        <v>0</v>
      </c>
      <c r="E8" s="4">
        <v>0</v>
      </c>
      <c r="F8" s="4">
        <v>0</v>
      </c>
      <c r="G8" s="4">
        <v>0</v>
      </c>
      <c r="H8" s="4">
        <v>0</v>
      </c>
      <c r="I8" s="4">
        <v>0</v>
      </c>
      <c r="J8" s="4">
        <v>0</v>
      </c>
      <c r="K8" s="1258">
        <f>[1]!F610Override</f>
        <v>0</v>
      </c>
      <c r="L8" s="1266">
        <f>SUM(D8:J8)</f>
        <v>0</v>
      </c>
      <c r="M8" s="1261">
        <f>IF(K8=L8,0,IF(K8&gt;0,(L8-K8)/K8,""))</f>
        <v>0</v>
      </c>
      <c r="N8" s="413" t="s">
        <v>1</v>
      </c>
      <c r="O8"/>
    </row>
    <row r="9" spans="1:16" ht="12" customHeight="1">
      <c r="A9" s="414" t="s">
        <v>194</v>
      </c>
      <c r="B9" s="243"/>
      <c r="C9" s="415"/>
      <c r="D9" s="416"/>
      <c r="E9" s="416"/>
      <c r="F9" s="1254"/>
      <c r="G9" s="417"/>
      <c r="H9" s="1254"/>
      <c r="I9" s="1255"/>
      <c r="J9" s="1258"/>
      <c r="K9" s="1265"/>
      <c r="L9" s="1265"/>
      <c r="M9" s="1265"/>
      <c r="N9" s="1247"/>
      <c r="O9"/>
    </row>
    <row r="10" spans="1:16" ht="12" customHeight="1">
      <c r="A10" s="109" t="s">
        <v>195</v>
      </c>
      <c r="B10" s="100"/>
      <c r="C10" s="419" t="s">
        <v>2</v>
      </c>
      <c r="D10" s="36">
        <v>0</v>
      </c>
      <c r="E10" s="36">
        <v>500000</v>
      </c>
      <c r="F10" s="1256"/>
      <c r="G10" s="37">
        <f>450000-35000</f>
        <v>415000</v>
      </c>
      <c r="H10" s="1256"/>
      <c r="I10" s="1257"/>
      <c r="J10" s="1259">
        <v>0</v>
      </c>
      <c r="K10" s="1341">
        <f>[1]!F610F1000</f>
        <v>1150000</v>
      </c>
      <c r="L10" s="1341">
        <f>SUM(D10:J10)</f>
        <v>915000</v>
      </c>
      <c r="M10" s="1342">
        <f>IF(K10=L10,0,IF(K10&gt;0,(L10-K10)/K10,""))</f>
        <v>-0.20399999999999999</v>
      </c>
      <c r="N10" s="1260" t="s">
        <v>2</v>
      </c>
      <c r="O10"/>
    </row>
    <row r="11" spans="1:16" ht="12" customHeight="1">
      <c r="A11" s="109" t="s">
        <v>1222</v>
      </c>
      <c r="B11" s="100"/>
      <c r="D11" s="416"/>
      <c r="E11" s="416"/>
      <c r="F11" s="420"/>
      <c r="G11" s="421"/>
      <c r="H11" s="1254"/>
      <c r="I11" s="1255"/>
      <c r="J11" s="1258"/>
      <c r="K11" s="1265"/>
      <c r="L11" s="1265"/>
      <c r="M11" s="1265"/>
      <c r="N11" s="397"/>
      <c r="O11"/>
    </row>
    <row r="12" spans="1:16" ht="12" customHeight="1">
      <c r="A12" s="109" t="s">
        <v>1223</v>
      </c>
      <c r="B12" s="100"/>
      <c r="C12" s="419" t="s">
        <v>14</v>
      </c>
      <c r="D12" s="11">
        <v>0</v>
      </c>
      <c r="E12" s="11">
        <v>50000</v>
      </c>
      <c r="F12" s="91">
        <v>300000</v>
      </c>
      <c r="G12" s="38">
        <v>100000</v>
      </c>
      <c r="H12" s="1256"/>
      <c r="I12" s="1257"/>
      <c r="J12" s="1259">
        <v>0</v>
      </c>
      <c r="K12" s="1341">
        <f>[1]!F610F21002200</f>
        <v>450000</v>
      </c>
      <c r="L12" s="1341">
        <f>SUM(D12:J12)</f>
        <v>450000</v>
      </c>
      <c r="M12" s="1342">
        <f>IF(K12=L12,0,IF(K12&gt;0,(L12-K12)/K12,""))</f>
        <v>0</v>
      </c>
      <c r="N12" s="1260" t="s">
        <v>14</v>
      </c>
      <c r="O12"/>
    </row>
    <row r="13" spans="1:16" ht="12" customHeight="1">
      <c r="A13" s="109" t="s">
        <v>196</v>
      </c>
      <c r="B13" s="100"/>
      <c r="C13" s="419" t="s">
        <v>33</v>
      </c>
      <c r="D13" s="4">
        <v>0</v>
      </c>
      <c r="E13" s="423"/>
      <c r="F13" s="91">
        <v>40000</v>
      </c>
      <c r="G13" s="4">
        <v>100000</v>
      </c>
      <c r="H13" s="423"/>
      <c r="I13" s="4">
        <v>0</v>
      </c>
      <c r="J13" s="4">
        <v>0</v>
      </c>
      <c r="K13" s="1262">
        <f>[1]!F610F2300240025002900</f>
        <v>135000</v>
      </c>
      <c r="L13" s="1263">
        <f t="shared" ref="L13:L18" si="0">SUM(D13:J13)</f>
        <v>140000</v>
      </c>
      <c r="M13" s="1264">
        <f t="shared" ref="M13:M19" si="1">IF(K13=L13,0,IF(K13&gt;0,(L13-K13)/K13,""))</f>
        <v>3.6999999999999998E-2</v>
      </c>
      <c r="N13" s="413" t="s">
        <v>33</v>
      </c>
      <c r="O13"/>
    </row>
    <row r="14" spans="1:16" ht="12" customHeight="1">
      <c r="A14" s="109" t="s">
        <v>1224</v>
      </c>
      <c r="B14" s="100"/>
      <c r="C14" s="419" t="s">
        <v>123</v>
      </c>
      <c r="D14" s="4">
        <v>0</v>
      </c>
      <c r="E14" s="423"/>
      <c r="F14" s="91">
        <v>40000</v>
      </c>
      <c r="G14" s="4">
        <v>350000</v>
      </c>
      <c r="H14" s="423"/>
      <c r="I14" s="423"/>
      <c r="J14" s="4">
        <v>0</v>
      </c>
      <c r="K14" s="411">
        <f>[1]!F610F2600</f>
        <v>425000</v>
      </c>
      <c r="L14" s="412">
        <f t="shared" si="0"/>
        <v>390000</v>
      </c>
      <c r="M14" s="225">
        <f t="shared" si="1"/>
        <v>-8.2000000000000003E-2</v>
      </c>
      <c r="N14" s="413" t="s">
        <v>123</v>
      </c>
      <c r="O14"/>
    </row>
    <row r="15" spans="1:16" ht="12" customHeight="1">
      <c r="A15" s="109" t="s">
        <v>1225</v>
      </c>
      <c r="B15" s="100"/>
      <c r="C15" s="419" t="s">
        <v>124</v>
      </c>
      <c r="D15" s="4">
        <v>0</v>
      </c>
      <c r="E15" s="423"/>
      <c r="F15" s="91">
        <v>20000</v>
      </c>
      <c r="G15" s="4">
        <v>20000</v>
      </c>
      <c r="H15" s="423"/>
      <c r="I15" s="423"/>
      <c r="J15" s="4">
        <v>0</v>
      </c>
      <c r="K15" s="424">
        <f>[1]!F610F2700</f>
        <v>265000</v>
      </c>
      <c r="L15" s="412">
        <f t="shared" si="0"/>
        <v>40000</v>
      </c>
      <c r="M15" s="225">
        <f t="shared" si="1"/>
        <v>-0.84899999999999998</v>
      </c>
      <c r="N15" s="413" t="s">
        <v>124</v>
      </c>
      <c r="O15"/>
    </row>
    <row r="16" spans="1:16" ht="12" customHeight="1">
      <c r="A16" s="109" t="s">
        <v>1226</v>
      </c>
      <c r="B16" s="100"/>
      <c r="C16" s="419" t="s">
        <v>125</v>
      </c>
      <c r="D16" s="4">
        <v>0</v>
      </c>
      <c r="E16" s="423"/>
      <c r="F16" s="91">
        <v>0</v>
      </c>
      <c r="G16" s="4"/>
      <c r="H16" s="423"/>
      <c r="I16" s="423"/>
      <c r="J16" s="4">
        <v>0</v>
      </c>
      <c r="K16" s="424">
        <f>[1]!F610F3000</f>
        <v>0</v>
      </c>
      <c r="L16" s="412">
        <f t="shared" si="0"/>
        <v>0</v>
      </c>
      <c r="M16" s="225">
        <f t="shared" si="1"/>
        <v>0</v>
      </c>
      <c r="N16" s="413" t="s">
        <v>125</v>
      </c>
      <c r="O16"/>
    </row>
    <row r="17" spans="1:16" ht="12" customHeight="1">
      <c r="A17" s="109" t="s">
        <v>1227</v>
      </c>
      <c r="B17" s="100"/>
      <c r="C17" s="419" t="s">
        <v>127</v>
      </c>
      <c r="D17" s="4">
        <v>0</v>
      </c>
      <c r="E17" s="423"/>
      <c r="F17" s="91">
        <v>0</v>
      </c>
      <c r="G17" s="4">
        <v>300000</v>
      </c>
      <c r="H17" s="423"/>
      <c r="I17" s="423"/>
      <c r="J17" s="4">
        <v>0</v>
      </c>
      <c r="K17" s="424">
        <f>[1]!F610F4000</f>
        <v>470442</v>
      </c>
      <c r="L17" s="412">
        <f t="shared" si="0"/>
        <v>300000</v>
      </c>
      <c r="M17" s="225">
        <f t="shared" si="1"/>
        <v>-0.36199999999999999</v>
      </c>
      <c r="N17" s="413" t="s">
        <v>127</v>
      </c>
      <c r="O17"/>
    </row>
    <row r="18" spans="1:16" ht="12" customHeight="1">
      <c r="A18" s="109" t="s">
        <v>1228</v>
      </c>
      <c r="B18" s="100"/>
      <c r="C18" s="419" t="s">
        <v>128</v>
      </c>
      <c r="D18" s="423"/>
      <c r="E18" s="423"/>
      <c r="F18" s="423"/>
      <c r="G18" s="423"/>
      <c r="H18" s="4">
        <v>214329</v>
      </c>
      <c r="I18" s="4">
        <v>0</v>
      </c>
      <c r="J18" s="423"/>
      <c r="K18" s="424">
        <f>[1]!F610F5000</f>
        <v>270000</v>
      </c>
      <c r="L18" s="412">
        <f t="shared" si="0"/>
        <v>214329</v>
      </c>
      <c r="M18" s="225">
        <f t="shared" si="1"/>
        <v>-0.20599999999999999</v>
      </c>
      <c r="N18" s="413" t="s">
        <v>128</v>
      </c>
      <c r="O18"/>
    </row>
    <row r="19" spans="1:16" ht="12" customHeight="1">
      <c r="A19" s="219" t="s">
        <v>1229</v>
      </c>
      <c r="B19" s="425"/>
      <c r="C19" s="426" t="s">
        <v>129</v>
      </c>
      <c r="D19" s="427">
        <f t="shared" ref="D19:J19" si="2">D10+SUM(D12:D18)</f>
        <v>0</v>
      </c>
      <c r="E19" s="427">
        <f>E10+SUM(E12:E18)</f>
        <v>550000</v>
      </c>
      <c r="F19" s="427">
        <f>F10+SUM(F12:F18)</f>
        <v>400000</v>
      </c>
      <c r="G19" s="427">
        <f t="shared" si="2"/>
        <v>1285000</v>
      </c>
      <c r="H19" s="427">
        <f t="shared" si="2"/>
        <v>214329</v>
      </c>
      <c r="I19" s="427">
        <f t="shared" si="2"/>
        <v>0</v>
      </c>
      <c r="J19" s="427">
        <f t="shared" si="2"/>
        <v>0</v>
      </c>
      <c r="K19" s="427">
        <f>SUM(K10:K18)</f>
        <v>3165442</v>
      </c>
      <c r="L19" s="427">
        <f>SUM(L10:L18)</f>
        <v>2449329</v>
      </c>
      <c r="M19" s="428">
        <f t="shared" si="1"/>
        <v>-0.22600000000000001</v>
      </c>
      <c r="N19" s="413" t="s">
        <v>129</v>
      </c>
      <c r="O19"/>
    </row>
    <row r="20" spans="1:16" ht="12" customHeight="1">
      <c r="A20" s="100"/>
      <c r="B20" s="100"/>
      <c r="C20" s="429"/>
      <c r="D20" s="377"/>
      <c r="E20" s="377"/>
      <c r="F20" s="377"/>
      <c r="G20" s="377"/>
      <c r="H20" s="377"/>
      <c r="I20" s="377"/>
      <c r="J20" s="377"/>
      <c r="K20" s="377"/>
      <c r="L20" s="377"/>
      <c r="M20" s="430"/>
      <c r="N20" s="215"/>
      <c r="O20" s="431"/>
    </row>
    <row r="21" spans="1:16" ht="12" customHeight="1">
      <c r="A21" s="100"/>
      <c r="B21" s="100"/>
      <c r="C21" s="429"/>
      <c r="D21" s="377"/>
      <c r="F21" s="1617"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17"/>
      <c r="H21" s="1617"/>
      <c r="I21" s="1617"/>
      <c r="J21" s="1617"/>
      <c r="K21" s="1617"/>
      <c r="L21" s="1617"/>
      <c r="M21" s="1617"/>
      <c r="N21" s="432"/>
      <c r="O21" s="432"/>
      <c r="P21" s="432"/>
    </row>
    <row r="22" spans="1:16" ht="12" customHeight="1">
      <c r="O22" s="215"/>
      <c r="P22" s="419"/>
    </row>
    <row r="23" spans="1:16" ht="11.25" customHeight="1">
      <c r="A23" s="1621" t="s">
        <v>995</v>
      </c>
      <c r="B23" s="1622"/>
      <c r="C23" s="1622"/>
      <c r="D23" s="1622"/>
      <c r="E23" s="210" t="s">
        <v>197</v>
      </c>
      <c r="F23" s="127" t="s">
        <v>994</v>
      </c>
      <c r="G23" s="127"/>
      <c r="H23" s="127"/>
      <c r="I23" s="127"/>
      <c r="J23" s="127"/>
      <c r="K23" s="129"/>
      <c r="L23" s="3"/>
      <c r="M23" s="100"/>
      <c r="N23" s="3"/>
    </row>
    <row r="24" spans="1:16" ht="11.25" customHeight="1">
      <c r="A24" s="1622"/>
      <c r="B24" s="1622"/>
      <c r="C24" s="1622"/>
      <c r="D24" s="1622"/>
      <c r="G24" s="303"/>
      <c r="H24" s="303"/>
      <c r="I24" s="303"/>
      <c r="J24" s="303"/>
      <c r="K24" s="303"/>
      <c r="L24" s="3"/>
      <c r="M24" s="100"/>
      <c r="N24" s="3"/>
    </row>
    <row r="25" spans="1:16" ht="12.75" customHeight="1">
      <c r="A25" s="1622"/>
      <c r="B25" s="1622"/>
      <c r="C25" s="1622"/>
      <c r="D25" s="1622"/>
      <c r="F25" s="100" t="s">
        <v>996</v>
      </c>
      <c r="G25" s="100"/>
      <c r="H25" s="100"/>
      <c r="I25" s="100"/>
      <c r="J25" s="100"/>
      <c r="L25" s="100"/>
      <c r="M25" s="100"/>
      <c r="N25" s="100"/>
    </row>
    <row r="26" spans="1:16" ht="12" customHeight="1">
      <c r="A26" s="303"/>
      <c r="B26" s="303"/>
      <c r="C26" s="303"/>
      <c r="D26" s="303"/>
      <c r="F26" s="100" t="s">
        <v>198</v>
      </c>
      <c r="G26" s="100"/>
      <c r="H26" s="100"/>
      <c r="I26" s="100"/>
      <c r="J26" s="100"/>
      <c r="K26" s="26">
        <v>0</v>
      </c>
      <c r="M26" s="100"/>
      <c r="N26" s="434"/>
    </row>
    <row r="27" spans="1:16" ht="11.25" customHeight="1">
      <c r="A27" s="100" t="s">
        <v>199</v>
      </c>
      <c r="B27" s="100"/>
      <c r="C27" s="100"/>
      <c r="D27" s="100"/>
      <c r="E27" s="100"/>
      <c r="G27" s="100"/>
      <c r="H27" s="100"/>
      <c r="I27" s="100"/>
      <c r="J27" s="100"/>
      <c r="K27" s="100"/>
      <c r="L27" s="149"/>
      <c r="M27" s="149"/>
      <c r="N27" s="149"/>
    </row>
    <row r="28" spans="1:16" ht="11.25" customHeight="1">
      <c r="A28" s="100"/>
      <c r="B28" s="1619" t="s">
        <v>200</v>
      </c>
      <c r="C28" s="100"/>
      <c r="D28" s="1619"/>
      <c r="G28" s="432"/>
      <c r="H28" s="432"/>
      <c r="I28" s="432"/>
      <c r="J28" s="432"/>
      <c r="K28" s="432"/>
      <c r="L28" s="100"/>
    </row>
    <row r="29" spans="1:16" ht="11.25" customHeight="1">
      <c r="A29" s="100"/>
      <c r="B29" s="1620"/>
      <c r="C29" s="100"/>
      <c r="D29" s="1619"/>
      <c r="H29" s="432"/>
      <c r="I29" s="432"/>
      <c r="J29" s="432"/>
      <c r="K29" s="432"/>
    </row>
    <row r="30" spans="1:16" ht="11.25" customHeight="1">
      <c r="A30" s="100" t="s">
        <v>201</v>
      </c>
      <c r="B30" s="25">
        <v>0</v>
      </c>
      <c r="C30" s="205"/>
      <c r="D30" s="373"/>
      <c r="E30" s="210" t="s">
        <v>202</v>
      </c>
      <c r="F30" s="1618" t="s">
        <v>203</v>
      </c>
      <c r="G30" s="1618"/>
      <c r="H30" s="1618"/>
      <c r="I30" s="1618"/>
      <c r="J30" s="1618"/>
      <c r="K30" s="432"/>
      <c r="L30" s="435"/>
      <c r="M30" s="432"/>
      <c r="N30" s="432"/>
      <c r="O30" s="107"/>
    </row>
    <row r="31" spans="1:16" ht="11.25" customHeight="1">
      <c r="A31" s="100" t="s">
        <v>204</v>
      </c>
      <c r="B31" s="17">
        <v>500000</v>
      </c>
      <c r="C31" s="205"/>
      <c r="D31" s="373"/>
      <c r="F31" s="1618"/>
      <c r="G31" s="1618"/>
      <c r="H31" s="1618"/>
      <c r="I31" s="1618"/>
      <c r="J31" s="1618"/>
      <c r="K31" s="26">
        <v>0</v>
      </c>
      <c r="M31" s="432"/>
      <c r="N31" s="432"/>
    </row>
    <row r="32" spans="1:16" ht="11.25" customHeight="1">
      <c r="A32" s="100" t="s">
        <v>205</v>
      </c>
      <c r="B32" s="17">
        <v>150000</v>
      </c>
      <c r="C32" s="205"/>
      <c r="D32" s="373"/>
      <c r="G32" s="432"/>
      <c r="H32" s="432"/>
      <c r="I32" s="432"/>
      <c r="J32" s="432"/>
      <c r="K32" s="432"/>
      <c r="L32" s="432"/>
      <c r="M32" s="432"/>
      <c r="N32" s="432"/>
    </row>
    <row r="33" spans="1:16" ht="11.25" customHeight="1">
      <c r="A33" s="100" t="s">
        <v>206</v>
      </c>
      <c r="B33" s="23">
        <v>400000</v>
      </c>
      <c r="C33" s="205"/>
      <c r="D33" s="373"/>
      <c r="G33" s="437"/>
      <c r="H33" s="437"/>
      <c r="I33" s="437"/>
      <c r="J33" s="437"/>
      <c r="K33" s="437"/>
      <c r="L33" s="438"/>
      <c r="M33" s="432"/>
      <c r="N33" s="432"/>
    </row>
    <row r="34" spans="1:16" ht="12" customHeight="1">
      <c r="A34" s="100" t="s">
        <v>207</v>
      </c>
      <c r="B34" s="17">
        <v>100000</v>
      </c>
      <c r="C34" s="205"/>
      <c r="D34" s="373"/>
      <c r="E34" s="100"/>
      <c r="G34" s="437"/>
      <c r="H34" s="437"/>
      <c r="I34" s="437"/>
      <c r="J34" s="437"/>
      <c r="K34" s="437"/>
      <c r="M34" s="432"/>
      <c r="N34" s="432"/>
    </row>
    <row r="35" spans="1:16" s="442" customFormat="1" ht="10.5" customHeight="1">
      <c r="A35" s="100" t="s">
        <v>208</v>
      </c>
      <c r="B35" s="1515">
        <v>450000</v>
      </c>
      <c r="C35" s="439"/>
      <c r="D35" s="440"/>
      <c r="E35" s="441"/>
      <c r="F35"/>
      <c r="G35" s="439"/>
      <c r="H35" s="441"/>
      <c r="I35" s="441"/>
      <c r="J35" s="441"/>
      <c r="K35" s="441"/>
      <c r="L35" s="441"/>
    </row>
    <row r="36" spans="1:16" ht="10.5" customHeight="1">
      <c r="A36" s="100"/>
      <c r="B36" s="100"/>
      <c r="C36" s="205"/>
      <c r="D36" s="100"/>
      <c r="E36" s="100"/>
      <c r="G36" s="207"/>
      <c r="H36" s="100"/>
      <c r="I36" s="100"/>
      <c r="J36" s="100"/>
      <c r="K36" s="100"/>
      <c r="L36" s="100"/>
    </row>
    <row r="37" spans="1:16" ht="11.25" customHeight="1">
      <c r="A37" s="100" t="s">
        <v>209</v>
      </c>
      <c r="B37" s="100"/>
      <c r="C37" s="207"/>
      <c r="D37" s="31">
        <v>0</v>
      </c>
      <c r="E37" s="100" t="s">
        <v>210</v>
      </c>
      <c r="G37" s="31">
        <v>0</v>
      </c>
      <c r="H37" s="100" t="s">
        <v>211</v>
      </c>
      <c r="I37" s="100"/>
      <c r="J37" s="31">
        <v>0</v>
      </c>
      <c r="K37" t="s">
        <v>36</v>
      </c>
    </row>
    <row r="38" spans="1:16" ht="6" customHeight="1">
      <c r="A38" s="100"/>
      <c r="B38" s="100"/>
      <c r="C38" s="205"/>
      <c r="D38" s="100"/>
      <c r="E38" s="100"/>
      <c r="G38" s="100"/>
      <c r="H38" s="100"/>
      <c r="I38" s="100"/>
      <c r="J38" s="443"/>
    </row>
    <row r="39" spans="1:16" ht="11.25" customHeight="1">
      <c r="A39" s="100" t="s">
        <v>212</v>
      </c>
      <c r="B39" s="100"/>
      <c r="C39" s="207"/>
      <c r="D39" s="31">
        <v>0</v>
      </c>
      <c r="E39" s="100" t="s">
        <v>213</v>
      </c>
      <c r="G39" s="31">
        <v>0</v>
      </c>
      <c r="H39" s="100" t="s">
        <v>214</v>
      </c>
      <c r="I39" s="100"/>
      <c r="J39" s="31">
        <v>0</v>
      </c>
      <c r="K39" t="s">
        <v>36</v>
      </c>
    </row>
    <row r="40" spans="1:16" ht="11.25" customHeight="1">
      <c r="A40" s="100"/>
      <c r="B40" s="100"/>
      <c r="C40" s="205"/>
      <c r="G40" s="207"/>
    </row>
    <row r="41" spans="1:16" ht="11.25" customHeight="1">
      <c r="A41" s="100"/>
      <c r="B41" s="100"/>
      <c r="C41" s="205"/>
      <c r="G41" s="207"/>
    </row>
    <row r="42" spans="1:16" ht="11.25" customHeight="1">
      <c r="A42" s="100"/>
      <c r="B42" s="100"/>
      <c r="C42" s="205"/>
      <c r="G42" s="207"/>
      <c r="P42" s="419"/>
    </row>
  </sheetData>
  <sheetProtection sheet="1" formatCells="0" formatColumns="0" formatRows="0"/>
  <mergeCells count="12">
    <mergeCell ref="B1:E1"/>
    <mergeCell ref="D4:D6"/>
    <mergeCell ref="G4:G6"/>
    <mergeCell ref="H4:H6"/>
    <mergeCell ref="I4:I6"/>
    <mergeCell ref="D3:M3"/>
    <mergeCell ref="F4:F6"/>
    <mergeCell ref="F21:M21"/>
    <mergeCell ref="F30:J31"/>
    <mergeCell ref="B28:B29"/>
    <mergeCell ref="D28:D29"/>
    <mergeCell ref="A23:D25"/>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8"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0"/>
  <sheetViews>
    <sheetView showGridLines="0" workbookViewId="0">
      <selection activeCell="I17" sqref="I17"/>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85" t="s">
        <v>928</v>
      </c>
      <c r="B1" s="1585" t="str">
        <f>DistrictName</f>
        <v xml:space="preserve">Prescott Unified </v>
      </c>
      <c r="C1" s="1593"/>
      <c r="D1" s="1593"/>
      <c r="E1" s="1593"/>
      <c r="F1" s="151"/>
      <c r="G1" s="1285" t="s">
        <v>446</v>
      </c>
      <c r="H1" s="101" t="str">
        <f>Cover!H1</f>
        <v>Yavapai</v>
      </c>
      <c r="I1" s="229"/>
      <c r="J1" s="1285" t="s">
        <v>912</v>
      </c>
      <c r="K1" s="103" t="str">
        <f>Cover!S1</f>
        <v>130201000</v>
      </c>
      <c r="L1" s="163"/>
      <c r="M1" s="1285" t="s">
        <v>9</v>
      </c>
      <c r="N1" s="184" t="str">
        <f>Cover!C8</f>
        <v>Adopted</v>
      </c>
    </row>
    <row r="2" spans="1:15" ht="15.75">
      <c r="A2" s="265"/>
      <c r="B2" s="151"/>
      <c r="C2" s="151"/>
      <c r="D2" s="151"/>
      <c r="E2" s="151"/>
      <c r="F2" s="151"/>
      <c r="G2" s="265"/>
      <c r="H2" s="151"/>
      <c r="I2" s="151"/>
      <c r="J2" s="151"/>
      <c r="K2" s="265"/>
      <c r="L2" s="151"/>
      <c r="O2" s="102"/>
    </row>
    <row r="3" spans="1:15" ht="15.75">
      <c r="A3" s="444" t="s">
        <v>997</v>
      </c>
      <c r="B3" s="444"/>
      <c r="C3" s="444"/>
      <c r="D3" s="444"/>
      <c r="E3" s="444"/>
      <c r="F3" s="444"/>
      <c r="G3" s="444"/>
      <c r="H3" s="444"/>
      <c r="I3" s="444"/>
      <c r="J3" s="323"/>
      <c r="K3" s="323"/>
      <c r="L3" s="3"/>
      <c r="M3" s="3"/>
      <c r="N3" s="3"/>
      <c r="O3" s="102"/>
    </row>
    <row r="4" spans="1:15" ht="15.75">
      <c r="A4" s="307"/>
      <c r="B4" s="307"/>
      <c r="C4" s="307"/>
      <c r="D4" s="323"/>
      <c r="E4" s="445"/>
      <c r="F4" s="446"/>
      <c r="G4" s="446"/>
      <c r="H4" s="446"/>
      <c r="I4" s="446"/>
      <c r="J4" s="446"/>
      <c r="K4" s="446"/>
      <c r="L4" s="3"/>
      <c r="M4" s="447"/>
      <c r="N4" s="447"/>
      <c r="O4" s="102"/>
    </row>
    <row r="5" spans="1:15">
      <c r="A5" s="448"/>
      <c r="B5" s="449"/>
      <c r="C5" s="450"/>
      <c r="D5" s="1638" t="s">
        <v>200</v>
      </c>
      <c r="E5" s="1639"/>
      <c r="F5" s="1640" t="s">
        <v>403</v>
      </c>
      <c r="G5" s="1640"/>
      <c r="H5" s="1640" t="s">
        <v>399</v>
      </c>
      <c r="I5" s="1640"/>
      <c r="J5" s="1629" t="s">
        <v>400</v>
      </c>
      <c r="K5" s="1630"/>
      <c r="L5" s="451"/>
      <c r="M5" s="205"/>
    </row>
    <row r="6" spans="1:15">
      <c r="A6" s="452" t="s">
        <v>112</v>
      </c>
      <c r="B6" s="453"/>
      <c r="C6" s="454"/>
      <c r="D6" s="1633" t="s">
        <v>215</v>
      </c>
      <c r="E6" s="1634"/>
      <c r="F6" s="1635" t="s">
        <v>216</v>
      </c>
      <c r="G6" s="1635"/>
      <c r="H6" s="1635" t="s">
        <v>217</v>
      </c>
      <c r="I6" s="1635"/>
      <c r="J6" s="1631" t="s">
        <v>218</v>
      </c>
      <c r="K6" s="1632"/>
      <c r="L6" s="373"/>
    </row>
    <row r="7" spans="1:15">
      <c r="A7" s="455"/>
      <c r="B7" s="456"/>
      <c r="C7" s="457"/>
      <c r="D7" s="332" t="s">
        <v>155</v>
      </c>
      <c r="E7" s="458" t="s">
        <v>156</v>
      </c>
      <c r="F7" s="332" t="s">
        <v>155</v>
      </c>
      <c r="G7" s="458" t="s">
        <v>156</v>
      </c>
      <c r="H7" s="332" t="s">
        <v>155</v>
      </c>
      <c r="I7" s="458" t="s">
        <v>156</v>
      </c>
      <c r="J7" s="459" t="s">
        <v>155</v>
      </c>
      <c r="K7" s="460" t="s">
        <v>156</v>
      </c>
      <c r="L7" s="100"/>
      <c r="M7" s="207"/>
    </row>
    <row r="8" spans="1:15" ht="13.5" customHeight="1">
      <c r="A8" s="461" t="s">
        <v>219</v>
      </c>
      <c r="B8" s="462"/>
      <c r="C8" s="463" t="s">
        <v>1</v>
      </c>
      <c r="D8" s="464">
        <f>F610TotalCurrFY</f>
        <v>3165442</v>
      </c>
      <c r="E8" s="465">
        <f>F610TotalBudgFY</f>
        <v>2449329</v>
      </c>
      <c r="F8" s="465">
        <f>[1]!F630TotalBudgFY</f>
        <v>0</v>
      </c>
      <c r="G8" s="39">
        <f>[1]!F695BudgFYO6150</f>
        <v>0</v>
      </c>
      <c r="H8" s="465">
        <f>[1]!F695TotalBudgFY</f>
        <v>0</v>
      </c>
      <c r="I8" s="39">
        <f>[1]!F695BudgFYO6150</f>
        <v>0</v>
      </c>
      <c r="J8" s="466">
        <f>[1]!F620TotalBudgFY</f>
        <v>42000</v>
      </c>
      <c r="K8" s="52">
        <v>42000</v>
      </c>
      <c r="L8" s="467" t="s">
        <v>1</v>
      </c>
      <c r="M8" s="205"/>
    </row>
    <row r="9" spans="1:15" ht="13.5" customHeight="1">
      <c r="A9" s="468" t="s">
        <v>220</v>
      </c>
      <c r="B9" s="449"/>
      <c r="C9" s="463"/>
      <c r="D9" s="339"/>
      <c r="E9" s="469"/>
      <c r="F9" s="469"/>
      <c r="G9" s="470"/>
      <c r="H9" s="469"/>
      <c r="I9" s="470"/>
      <c r="J9" s="471"/>
      <c r="K9" s="472"/>
      <c r="L9" s="467"/>
      <c r="M9" s="207"/>
    </row>
    <row r="10" spans="1:15" ht="13.5" customHeight="1">
      <c r="A10" s="473" t="s">
        <v>221</v>
      </c>
      <c r="B10" s="309"/>
      <c r="C10" s="474" t="s">
        <v>2</v>
      </c>
      <c r="D10" s="465">
        <f>[1]!F610BudgFYO6150</f>
        <v>0</v>
      </c>
      <c r="E10" s="39">
        <v>0</v>
      </c>
      <c r="F10" s="465">
        <f>[1]!F630BudgFYO6150</f>
        <v>0</v>
      </c>
      <c r="G10" s="39">
        <f>[1]!F695BudgFYO6150</f>
        <v>0</v>
      </c>
      <c r="H10" s="465">
        <f>[1]!F695BudgFYO6150</f>
        <v>0</v>
      </c>
      <c r="I10" s="39">
        <f>[1]!F695BudgFYO6150</f>
        <v>0</v>
      </c>
      <c r="J10" s="465">
        <f>[1]!F620BudgFYO6150</f>
        <v>0</v>
      </c>
      <c r="K10" s="39">
        <f>[1]!F695BudgFYO6150</f>
        <v>0</v>
      </c>
      <c r="L10" s="395" t="s">
        <v>2</v>
      </c>
      <c r="M10" s="207"/>
    </row>
    <row r="11" spans="1:15" ht="13.5" customHeight="1">
      <c r="A11" s="473" t="s">
        <v>222</v>
      </c>
      <c r="B11" s="309"/>
      <c r="C11" s="474" t="s">
        <v>14</v>
      </c>
      <c r="D11" s="475">
        <f>[1]!F610BudgFYO6200</f>
        <v>0</v>
      </c>
      <c r="E11" s="40">
        <v>0</v>
      </c>
      <c r="F11" s="349">
        <f>[1]!F630BudgFYO6200</f>
        <v>0</v>
      </c>
      <c r="G11" s="39">
        <f>[1]!F695BudgFYO6150</f>
        <v>0</v>
      </c>
      <c r="H11" s="349">
        <f>[1]!F695BudgFYO6200</f>
        <v>0</v>
      </c>
      <c r="I11" s="39">
        <f>[1]!F695BudgFYO6150</f>
        <v>0</v>
      </c>
      <c r="J11" s="349">
        <f>[1]!F620BudgFYO6200</f>
        <v>0</v>
      </c>
      <c r="K11" s="39">
        <f>[1]!F695BudgFYO6150</f>
        <v>0</v>
      </c>
      <c r="L11" s="395" t="s">
        <v>14</v>
      </c>
      <c r="M11" s="215"/>
    </row>
    <row r="12" spans="1:15" ht="13.5" customHeight="1">
      <c r="A12" s="473" t="s">
        <v>223</v>
      </c>
      <c r="B12" s="309"/>
      <c r="C12" s="474" t="s">
        <v>33</v>
      </c>
      <c r="D12" s="475">
        <f>[1]!F610BudgFYO6450</f>
        <v>300000</v>
      </c>
      <c r="E12" s="40">
        <v>300000</v>
      </c>
      <c r="F12" s="349">
        <f>[1]!F630BudgFYO6450</f>
        <v>0</v>
      </c>
      <c r="G12" s="39">
        <f>[1]!F695BudgFYO6150</f>
        <v>0</v>
      </c>
      <c r="H12" s="349">
        <f>[1]!F695BudgFYO6450</f>
        <v>0</v>
      </c>
      <c r="I12" s="39">
        <f>[1]!F695BudgFYO6150</f>
        <v>0</v>
      </c>
      <c r="J12" s="349">
        <f>[1]!F620BudgFYO6450</f>
        <v>0</v>
      </c>
      <c r="K12" s="39">
        <f>[1]!F695BudgFYO6150</f>
        <v>0</v>
      </c>
      <c r="L12" s="395" t="s">
        <v>33</v>
      </c>
      <c r="M12" s="215"/>
    </row>
    <row r="13" spans="1:15" ht="13.5" customHeight="1">
      <c r="A13" s="473" t="s">
        <v>224</v>
      </c>
      <c r="B13" s="309"/>
      <c r="C13" s="474" t="s">
        <v>123</v>
      </c>
      <c r="D13" s="475">
        <f>[1]!F610BudgFYO6710</f>
        <v>0</v>
      </c>
      <c r="E13" s="40">
        <v>0</v>
      </c>
      <c r="F13" s="349">
        <f>[1]!F630BudgFYO6710</f>
        <v>0</v>
      </c>
      <c r="G13" s="39">
        <f>[1]!F695BudgFYO6150</f>
        <v>0</v>
      </c>
      <c r="H13" s="349">
        <f>[1]!F695BudgFYO6710</f>
        <v>0</v>
      </c>
      <c r="I13" s="39">
        <f>[1]!F695BudgFYO6150</f>
        <v>0</v>
      </c>
      <c r="J13" s="349">
        <f>[1]!F620BudgFYO6710</f>
        <v>0</v>
      </c>
      <c r="K13" s="39">
        <f>[1]!F695BudgFYO6150</f>
        <v>0</v>
      </c>
      <c r="L13" s="395" t="s">
        <v>123</v>
      </c>
      <c r="M13" s="215"/>
    </row>
    <row r="14" spans="1:15" ht="13.5" customHeight="1">
      <c r="A14" s="473" t="s">
        <v>225</v>
      </c>
      <c r="B14" s="309"/>
      <c r="C14" s="474" t="s">
        <v>124</v>
      </c>
      <c r="D14" s="475">
        <f>[1]!F610BudgFYO6720</f>
        <v>0</v>
      </c>
      <c r="E14" s="40">
        <v>0</v>
      </c>
      <c r="F14" s="349">
        <f>[1]!F630BudgFYO6720</f>
        <v>0</v>
      </c>
      <c r="G14" s="39">
        <f>[1]!F695BudgFYO6150</f>
        <v>0</v>
      </c>
      <c r="H14" s="349">
        <f>[1]!F695BudgFYO6720</f>
        <v>0</v>
      </c>
      <c r="I14" s="39">
        <f>[1]!F695BudgFYO6150</f>
        <v>0</v>
      </c>
      <c r="J14" s="349">
        <f>[1]!F620BudgFYO6720</f>
        <v>0</v>
      </c>
      <c r="K14" s="39">
        <f>[1]!F695BudgFYO6150</f>
        <v>0</v>
      </c>
      <c r="L14" s="395" t="s">
        <v>124</v>
      </c>
      <c r="M14" s="207"/>
    </row>
    <row r="15" spans="1:15" ht="13.5" customHeight="1">
      <c r="A15" s="473" t="s">
        <v>226</v>
      </c>
      <c r="B15" s="309"/>
      <c r="C15" s="474" t="s">
        <v>125</v>
      </c>
      <c r="D15" s="475">
        <f>[1]!F610BudgFYO6731</f>
        <v>435000</v>
      </c>
      <c r="E15" s="349">
        <f>F610O6731</f>
        <v>400000</v>
      </c>
      <c r="F15" s="349">
        <f>[1]!F630BudgFYO6731</f>
        <v>0</v>
      </c>
      <c r="G15" s="39">
        <f>[1]!F695BudgFYO6150</f>
        <v>0</v>
      </c>
      <c r="H15" s="349">
        <f>[1]!F695BudgFYO6731</f>
        <v>0</v>
      </c>
      <c r="I15" s="39">
        <f>[1]!F695BudgFYO6150</f>
        <v>0</v>
      </c>
      <c r="J15" s="349">
        <f>[1]!F620BudgFYO6731</f>
        <v>0</v>
      </c>
      <c r="K15" s="39">
        <f>[1]!F695BudgFYO6150</f>
        <v>0</v>
      </c>
      <c r="L15" s="395" t="s">
        <v>125</v>
      </c>
      <c r="M15" s="207"/>
    </row>
    <row r="16" spans="1:15" ht="13.5" customHeight="1">
      <c r="A16" s="473" t="s">
        <v>227</v>
      </c>
      <c r="B16" s="309"/>
      <c r="C16" s="474" t="s">
        <v>127</v>
      </c>
      <c r="D16" s="475">
        <f>[1]!F610BudgFYO6734</f>
        <v>100000</v>
      </c>
      <c r="E16" s="349">
        <f>F610O6734</f>
        <v>100000</v>
      </c>
      <c r="F16" s="349">
        <f>[1]!F630BudgFYO6734</f>
        <v>0</v>
      </c>
      <c r="G16" s="39">
        <f>[1]!F695BudgFYO6150</f>
        <v>0</v>
      </c>
      <c r="H16" s="349">
        <f>[1]!F695BudgFYO6734</f>
        <v>0</v>
      </c>
      <c r="I16" s="39">
        <f>[1]!F695BudgFYO6150</f>
        <v>0</v>
      </c>
      <c r="J16" s="349">
        <f>[1]!F620BudgFYO6734</f>
        <v>0</v>
      </c>
      <c r="K16" s="39">
        <f>[1]!F695BudgFYO6150</f>
        <v>0</v>
      </c>
      <c r="L16" s="395" t="s">
        <v>127</v>
      </c>
      <c r="M16" s="207"/>
    </row>
    <row r="17" spans="1:15" ht="13.5" customHeight="1">
      <c r="A17" s="473" t="s">
        <v>228</v>
      </c>
      <c r="B17" s="309"/>
      <c r="C17" s="474" t="s">
        <v>128</v>
      </c>
      <c r="D17" s="475">
        <f>[1]!F610BudgFYO6737</f>
        <v>300000</v>
      </c>
      <c r="E17" s="349">
        <f>F610O6737</f>
        <v>450000</v>
      </c>
      <c r="F17" s="349">
        <f>[1]!F630BudgFYO6737</f>
        <v>0</v>
      </c>
      <c r="G17" s="39">
        <f>[1]!F695BudgFYO6150</f>
        <v>0</v>
      </c>
      <c r="H17" s="349">
        <f>[1]!F695BudgFYO6737</f>
        <v>0</v>
      </c>
      <c r="I17" s="39">
        <f>[1]!F695BudgFYO6150</f>
        <v>0</v>
      </c>
      <c r="J17" s="349">
        <f>[1]!F620BudgFYO6737</f>
        <v>0</v>
      </c>
      <c r="K17" s="39">
        <f>[1]!F695BudgFYO6150</f>
        <v>0</v>
      </c>
      <c r="L17" s="476" t="s">
        <v>128</v>
      </c>
      <c r="M17" s="207"/>
    </row>
    <row r="18" spans="1:15" ht="13.5" customHeight="1">
      <c r="A18" s="473" t="s">
        <v>229</v>
      </c>
      <c r="B18" s="309"/>
      <c r="C18" s="474" t="s">
        <v>129</v>
      </c>
      <c r="D18" s="475">
        <f>[1]!F610BudgFYO6831</f>
        <v>270000</v>
      </c>
      <c r="E18" s="40">
        <v>145000</v>
      </c>
      <c r="F18" s="349">
        <f>[1]!F630BudgFYO6831</f>
        <v>0</v>
      </c>
      <c r="G18" s="39">
        <f>[1]!F695BudgFYO6150</f>
        <v>0</v>
      </c>
      <c r="H18" s="349">
        <f>[1]!F695BudgFYO6831</f>
        <v>0</v>
      </c>
      <c r="I18" s="39">
        <f>[1]!F695BudgFYO6150</f>
        <v>0</v>
      </c>
      <c r="J18" s="349">
        <f>[1]!F620BudgFYO6831</f>
        <v>0</v>
      </c>
      <c r="K18" s="39">
        <f>[1]!F695BudgFYO6150</f>
        <v>0</v>
      </c>
      <c r="L18" s="476" t="s">
        <v>129</v>
      </c>
      <c r="M18" s="207"/>
    </row>
    <row r="19" spans="1:15" ht="13.5" customHeight="1">
      <c r="A19" s="477" t="s">
        <v>230</v>
      </c>
      <c r="B19" s="478"/>
      <c r="C19" s="474" t="s">
        <v>130</v>
      </c>
      <c r="D19" s="463">
        <f>[1]!F610BudgFYO6841</f>
        <v>0</v>
      </c>
      <c r="E19" s="43">
        <v>0</v>
      </c>
      <c r="F19" s="479">
        <f>[1]!F630BudgFYO6841</f>
        <v>0</v>
      </c>
      <c r="G19" s="39">
        <f>[1]!F695BudgFYO6150</f>
        <v>0</v>
      </c>
      <c r="H19" s="479">
        <f>[1]!F695BudgFYO6841</f>
        <v>0</v>
      </c>
      <c r="I19" s="39">
        <f>[1]!F695BudgFYO6150</f>
        <v>0</v>
      </c>
      <c r="J19" s="349">
        <f>[1]!F620BudgFYO6841</f>
        <v>0</v>
      </c>
      <c r="K19" s="39">
        <f>[1]!F695BudgFYO6150</f>
        <v>0</v>
      </c>
      <c r="L19" s="476" t="s">
        <v>130</v>
      </c>
      <c r="M19" s="207"/>
    </row>
    <row r="20" spans="1:15" ht="13.5" customHeight="1">
      <c r="A20" s="473" t="s">
        <v>231</v>
      </c>
      <c r="B20" s="309"/>
      <c r="C20" s="480" t="s">
        <v>131</v>
      </c>
      <c r="D20" s="340">
        <f t="shared" ref="D20:K20" si="0">SUM(D10:D19)</f>
        <v>1405000</v>
      </c>
      <c r="E20" s="340">
        <f t="shared" si="0"/>
        <v>1395000</v>
      </c>
      <c r="F20" s="340">
        <f t="shared" si="0"/>
        <v>0</v>
      </c>
      <c r="G20" s="340">
        <f t="shared" si="0"/>
        <v>0</v>
      </c>
      <c r="H20" s="340">
        <f t="shared" si="0"/>
        <v>0</v>
      </c>
      <c r="I20" s="340">
        <f t="shared" si="0"/>
        <v>0</v>
      </c>
      <c r="J20" s="340">
        <f t="shared" si="0"/>
        <v>0</v>
      </c>
      <c r="K20" s="340">
        <f t="shared" si="0"/>
        <v>0</v>
      </c>
      <c r="L20" s="395" t="s">
        <v>131</v>
      </c>
      <c r="M20" s="207"/>
    </row>
    <row r="21" spans="1:15" ht="13.5" customHeight="1">
      <c r="A21" s="351" t="s">
        <v>232</v>
      </c>
      <c r="C21" s="339"/>
      <c r="D21" s="481"/>
      <c r="E21" s="482"/>
      <c r="F21" s="481"/>
      <c r="G21" s="481"/>
      <c r="H21" s="481"/>
      <c r="I21" s="483"/>
      <c r="J21" s="366"/>
      <c r="K21" s="484"/>
      <c r="L21" s="307"/>
      <c r="M21" s="207"/>
    </row>
    <row r="22" spans="1:15" ht="13.5" customHeight="1">
      <c r="A22" s="473" t="s">
        <v>233</v>
      </c>
      <c r="B22" s="309"/>
      <c r="C22" s="474" t="s">
        <v>132</v>
      </c>
      <c r="D22" s="475">
        <f>[1]!F610BudgFYRenovation</f>
        <v>435000</v>
      </c>
      <c r="E22" s="40">
        <v>300000</v>
      </c>
      <c r="F22" s="349">
        <f>[1]!F630BudgFYRenovation</f>
        <v>0</v>
      </c>
      <c r="G22" s="76">
        <f>[1]!F630BudgFYO6737</f>
        <v>0</v>
      </c>
      <c r="H22" s="485"/>
      <c r="I22" s="485"/>
      <c r="J22" s="349">
        <f>[1]!F620BudgFYRenovation</f>
        <v>0</v>
      </c>
      <c r="K22" s="76">
        <f>[1]!F630BudgFYO6737</f>
        <v>0</v>
      </c>
      <c r="L22" s="476" t="s">
        <v>132</v>
      </c>
      <c r="M22" s="207"/>
    </row>
    <row r="23" spans="1:15" ht="13.5" customHeight="1">
      <c r="A23" s="473" t="s">
        <v>234</v>
      </c>
      <c r="B23" s="309"/>
      <c r="C23" s="474" t="s">
        <v>133</v>
      </c>
      <c r="D23" s="475">
        <f>[1]!F610BudgFYNewConstruction</f>
        <v>0</v>
      </c>
      <c r="E23" s="40">
        <v>0</v>
      </c>
      <c r="F23" s="349">
        <f>[1]!F630BudgFYNewConstruction</f>
        <v>0</v>
      </c>
      <c r="G23" s="76">
        <f>[1]!F630BudgFYO6737</f>
        <v>0</v>
      </c>
      <c r="H23" s="349">
        <f>[1]!F695BudgFYNewConstruction</f>
        <v>0</v>
      </c>
      <c r="I23" s="76">
        <f>[1]!F630BudgFYO6737</f>
        <v>0</v>
      </c>
      <c r="J23" s="349">
        <f>[1]!F620BudgFYNewConstruction</f>
        <v>0</v>
      </c>
      <c r="K23" s="76">
        <f>[1]!F630BudgFYO6737</f>
        <v>0</v>
      </c>
      <c r="L23" s="476" t="s">
        <v>133</v>
      </c>
      <c r="M23" s="207"/>
    </row>
    <row r="24" spans="1:15" ht="13.5" customHeight="1">
      <c r="A24" s="473" t="s">
        <v>235</v>
      </c>
      <c r="B24" s="309"/>
      <c r="C24" s="474" t="s">
        <v>134</v>
      </c>
      <c r="D24" s="475">
        <f>[1]!F610BudgFYOther</f>
        <v>970000</v>
      </c>
      <c r="E24" s="40">
        <v>1095000</v>
      </c>
      <c r="F24" s="349">
        <f>[1]!F630BudgFYOther</f>
        <v>0</v>
      </c>
      <c r="G24" s="76">
        <f>[1]!F630BudgFYO6737</f>
        <v>0</v>
      </c>
      <c r="H24" s="349">
        <f>[1]!F695BudgFYOther</f>
        <v>0</v>
      </c>
      <c r="I24" s="76">
        <f>[1]!F630BudgFYO6737</f>
        <v>0</v>
      </c>
      <c r="J24" s="349">
        <f>[1]!F620BudgFYOther</f>
        <v>0</v>
      </c>
      <c r="K24" s="76">
        <f>[1]!F630BudgFYO6737</f>
        <v>0</v>
      </c>
      <c r="L24" s="476" t="s">
        <v>134</v>
      </c>
      <c r="M24" s="207"/>
    </row>
    <row r="25" spans="1:15" ht="13.5" customHeight="1">
      <c r="A25" s="455" t="s">
        <v>236</v>
      </c>
      <c r="B25" s="456"/>
      <c r="C25" s="486" t="s">
        <v>135</v>
      </c>
      <c r="D25" s="475">
        <f>SUM(D22:D24)</f>
        <v>1405000</v>
      </c>
      <c r="E25" s="349">
        <f>SUM(E22:E24)</f>
        <v>1395000</v>
      </c>
      <c r="F25" s="349">
        <f>SUM(F22:F24)</f>
        <v>0</v>
      </c>
      <c r="G25" s="349">
        <f>SUM(G22:G24)</f>
        <v>0</v>
      </c>
      <c r="H25" s="349">
        <f>SUM(H23:H24)</f>
        <v>0</v>
      </c>
      <c r="I25" s="349">
        <f>SUM(I23:I24)</f>
        <v>0</v>
      </c>
      <c r="J25" s="349">
        <f>SUM(J22:J24)</f>
        <v>0</v>
      </c>
      <c r="K25" s="349">
        <f>SUM(K22:K24)</f>
        <v>0</v>
      </c>
      <c r="L25" s="395" t="s">
        <v>135</v>
      </c>
      <c r="M25" s="207"/>
    </row>
    <row r="26" spans="1:15">
      <c r="A26" s="100"/>
      <c r="B26" s="100"/>
      <c r="C26" s="205"/>
      <c r="D26" s="487"/>
      <c r="E26" s="488" t="str">
        <f>IF(SUM(E22:E24)=E20,"","Check line 12")</f>
        <v/>
      </c>
      <c r="F26" s="487"/>
      <c r="G26" s="488" t="str">
        <f>IF(SUM(G22:G24)=G20,"","Check line 12")</f>
        <v/>
      </c>
      <c r="H26" s="487"/>
      <c r="I26" s="488" t="str">
        <f>IF(SUM(I23:I24)=I20,"","Check line 12")</f>
        <v/>
      </c>
      <c r="J26" s="489"/>
      <c r="K26" s="490" t="str">
        <f>IF(SUM(K22:K24)=K20,"","Check line 12")</f>
        <v/>
      </c>
      <c r="L26" s="491"/>
      <c r="M26" s="106"/>
      <c r="N26" s="106"/>
      <c r="O26" s="207"/>
    </row>
    <row r="27" spans="1:15">
      <c r="A27" s="307" t="s">
        <v>237</v>
      </c>
      <c r="B27" s="100"/>
      <c r="C27" s="205"/>
      <c r="D27" s="487"/>
      <c r="E27" s="487"/>
      <c r="F27" s="487"/>
      <c r="G27" s="487"/>
      <c r="H27" s="487"/>
      <c r="I27" s="487"/>
      <c r="J27" s="489"/>
      <c r="K27" s="489"/>
      <c r="L27" s="491"/>
      <c r="M27" s="377"/>
      <c r="N27" s="377"/>
      <c r="O27" s="207"/>
    </row>
    <row r="28" spans="1:15">
      <c r="A28" s="395" t="str">
        <f>_xlfn.CONCAT("(2) Amount budgeted on line 1 for the Adjacent Ways Fund that will result in a tax levy in FY ",Cover!E3)</f>
        <v>(2) Amount budgeted on line 1 for the Adjacent Ways Fund that will result in a tax levy in FY 2025</v>
      </c>
      <c r="B28" s="100"/>
      <c r="E28" s="53"/>
      <c r="F28" s="489"/>
      <c r="G28" s="489"/>
      <c r="H28" s="489"/>
      <c r="I28" s="489"/>
      <c r="J28" s="489"/>
      <c r="K28" s="489"/>
      <c r="L28" s="491"/>
      <c r="M28" s="377"/>
      <c r="N28" s="377"/>
      <c r="O28" s="207"/>
    </row>
    <row r="29" spans="1:15">
      <c r="A29" s="492" t="str">
        <f>IF((E28&gt;0),"Districts that are levying any amount for adjacent ways must fill in the Truth in Taxation Worksheet and follow the requirements of A.R.S. Sec. 15-905.01. The amount reported in footnote 2 above pulls to the Truth in Taxation Worksheet, Line 12.","")</f>
        <v/>
      </c>
      <c r="B29" s="100"/>
      <c r="C29" s="205"/>
      <c r="D29" s="489"/>
      <c r="E29" s="489"/>
      <c r="F29" s="213"/>
      <c r="G29" s="489"/>
      <c r="H29" s="489"/>
      <c r="I29" s="213"/>
      <c r="J29" s="489"/>
      <c r="K29" s="489"/>
      <c r="L29" s="491"/>
      <c r="M29" s="377"/>
      <c r="N29" s="377"/>
      <c r="O29" s="348"/>
    </row>
    <row r="30" spans="1:15">
      <c r="A30" s="100"/>
      <c r="B30" s="100"/>
      <c r="C30" s="205"/>
      <c r="D30" s="489"/>
      <c r="E30" s="489"/>
      <c r="F30" s="213"/>
      <c r="G30" s="489"/>
      <c r="H30" s="489"/>
      <c r="I30" s="213"/>
      <c r="J30" s="489"/>
      <c r="K30" s="213"/>
      <c r="L30" s="491"/>
      <c r="M30" s="106"/>
      <c r="N30" s="106"/>
      <c r="O30" s="207"/>
    </row>
    <row r="31" spans="1:15">
      <c r="A31" s="100"/>
      <c r="B31" s="100"/>
      <c r="D31" s="1637"/>
      <c r="E31" s="1637"/>
      <c r="F31" s="213"/>
      <c r="G31" s="1637"/>
      <c r="H31" s="1637"/>
      <c r="I31" s="213"/>
      <c r="J31" s="1637"/>
      <c r="K31" s="1637"/>
      <c r="L31" s="1641"/>
      <c r="M31" s="1636"/>
      <c r="N31" s="1636"/>
      <c r="O31" s="348"/>
    </row>
    <row r="32" spans="1:15">
      <c r="A32" s="100"/>
      <c r="B32" s="100"/>
      <c r="C32" s="205"/>
      <c r="D32" s="1595"/>
      <c r="E32" s="1595"/>
      <c r="F32" s="213"/>
      <c r="G32" s="1637"/>
      <c r="H32" s="1637"/>
      <c r="I32" s="213"/>
      <c r="J32" s="1595"/>
      <c r="K32" s="1642"/>
      <c r="L32" s="1641"/>
      <c r="M32" s="1614"/>
      <c r="N32" s="1614"/>
      <c r="O32" s="207"/>
    </row>
    <row r="33" spans="1:15">
      <c r="A33" s="100"/>
      <c r="B33" s="243"/>
      <c r="C33" s="205"/>
      <c r="D33" s="489"/>
      <c r="E33" s="489"/>
      <c r="F33" s="489"/>
      <c r="G33" s="489"/>
      <c r="H33" s="489"/>
      <c r="I33" s="489"/>
      <c r="J33" s="489"/>
      <c r="K33" s="489"/>
      <c r="L33" s="491"/>
      <c r="M33" s="106"/>
      <c r="N33" s="106"/>
      <c r="O33" s="207"/>
    </row>
    <row r="34" spans="1:15">
      <c r="A34" s="100"/>
      <c r="B34" s="100"/>
      <c r="C34" s="205"/>
      <c r="D34" s="489"/>
      <c r="E34" s="489"/>
      <c r="F34" s="489"/>
      <c r="G34" s="489"/>
      <c r="H34" s="489"/>
      <c r="I34" s="489"/>
      <c r="J34" s="489"/>
      <c r="K34" s="489"/>
      <c r="L34" s="491"/>
      <c r="M34" s="106"/>
      <c r="N34" s="106"/>
      <c r="O34" s="207"/>
    </row>
    <row r="35" spans="1:15">
      <c r="A35" s="100"/>
      <c r="B35" s="100"/>
      <c r="C35" s="205"/>
      <c r="D35" s="489"/>
      <c r="E35" s="489"/>
      <c r="F35" s="489"/>
      <c r="G35" s="489"/>
      <c r="H35" s="489"/>
      <c r="I35" s="489"/>
      <c r="J35" s="489"/>
      <c r="K35" s="489"/>
      <c r="L35" s="491"/>
      <c r="M35" s="106"/>
      <c r="N35" s="106"/>
      <c r="O35" s="207"/>
    </row>
    <row r="36" spans="1:15">
      <c r="A36" s="100"/>
      <c r="B36" s="100"/>
      <c r="C36" s="205"/>
      <c r="D36" s="489"/>
      <c r="E36" s="489"/>
      <c r="F36" s="489"/>
      <c r="G36" s="489"/>
      <c r="H36" s="489"/>
      <c r="I36" s="489"/>
      <c r="J36" s="489"/>
      <c r="K36" s="489"/>
      <c r="L36" s="491"/>
      <c r="M36" s="106"/>
      <c r="N36" s="106"/>
      <c r="O36" s="207"/>
    </row>
    <row r="37" spans="1:15">
      <c r="A37" s="100"/>
      <c r="B37" s="100"/>
      <c r="C37" s="205"/>
      <c r="D37" s="489"/>
      <c r="E37" s="489"/>
      <c r="F37" s="489"/>
      <c r="G37" s="489"/>
      <c r="H37" s="489"/>
      <c r="I37" s="489"/>
      <c r="J37" s="489"/>
      <c r="K37" s="489"/>
      <c r="L37" s="491"/>
      <c r="M37" s="106"/>
      <c r="N37" s="106"/>
      <c r="O37" s="207"/>
    </row>
    <row r="38" spans="1:15">
      <c r="A38" s="100"/>
      <c r="B38" s="100"/>
      <c r="C38" s="205"/>
      <c r="D38" s="489"/>
      <c r="E38" s="489"/>
      <c r="F38" s="489"/>
      <c r="G38" s="489"/>
      <c r="H38" s="489"/>
      <c r="I38" s="489"/>
      <c r="J38" s="489"/>
      <c r="K38" s="489"/>
      <c r="L38" s="491"/>
      <c r="M38" s="106"/>
      <c r="N38" s="106"/>
      <c r="O38" s="207"/>
    </row>
    <row r="39" spans="1:15">
      <c r="A39" s="100"/>
      <c r="B39" s="100"/>
      <c r="C39" s="205"/>
      <c r="D39" s="489"/>
      <c r="E39" s="489"/>
      <c r="F39" s="489"/>
      <c r="G39" s="489"/>
      <c r="H39" s="489"/>
      <c r="I39" s="489"/>
      <c r="J39" s="489"/>
      <c r="K39" s="489"/>
      <c r="L39" s="491"/>
      <c r="M39" s="377"/>
      <c r="N39" s="377"/>
      <c r="O39" s="207"/>
    </row>
    <row r="40" spans="1:15">
      <c r="B40" s="100"/>
      <c r="C40" s="205"/>
    </row>
  </sheetData>
  <sheetProtection sheet="1" formatCells="0" formatColumns="0" formatRows="0"/>
  <mergeCells count="18">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 ref="E31:E32"/>
    <mergeCell ref="G31:G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5"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topLeftCell="A7" workbookViewId="0">
      <selection activeCell="J40" sqref="J40"/>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51"/>
      <c r="B1" s="151"/>
      <c r="C1" s="1285" t="s">
        <v>928</v>
      </c>
      <c r="D1" s="1585" t="str">
        <f>DistrictName</f>
        <v xml:space="preserve">Prescott Unified </v>
      </c>
      <c r="E1" s="1585"/>
      <c r="F1" s="1585"/>
      <c r="H1" s="151"/>
      <c r="I1" s="1285" t="s">
        <v>446</v>
      </c>
      <c r="J1" s="1592" t="str">
        <f>Cover!H1</f>
        <v>Yavapai</v>
      </c>
      <c r="K1" s="1593"/>
      <c r="L1" s="1593"/>
      <c r="M1" s="151"/>
      <c r="N1" s="151"/>
      <c r="O1" s="1285" t="s">
        <v>944</v>
      </c>
      <c r="P1" s="1651" t="str">
        <f>Cover!S1</f>
        <v>130201000</v>
      </c>
      <c r="Q1" s="1593"/>
      <c r="R1" s="151"/>
      <c r="S1" s="1285" t="s">
        <v>9</v>
      </c>
      <c r="T1" s="184" t="str">
        <f>Cover!C8</f>
        <v>Adopted</v>
      </c>
      <c r="U1" s="151"/>
    </row>
    <row r="2" spans="1:21" ht="8.25" customHeight="1">
      <c r="A2" s="151"/>
      <c r="B2" s="151"/>
      <c r="C2" s="151"/>
      <c r="D2" s="151"/>
      <c r="E2" s="151"/>
      <c r="F2" s="151"/>
      <c r="G2" s="151"/>
      <c r="H2" s="151"/>
      <c r="I2" s="151"/>
      <c r="J2" s="151"/>
      <c r="K2" s="151"/>
      <c r="L2" s="151"/>
      <c r="M2" s="151"/>
      <c r="N2" s="151"/>
      <c r="O2" s="151"/>
      <c r="P2" s="151"/>
      <c r="Q2" s="151"/>
      <c r="R2" s="151"/>
      <c r="S2" s="151"/>
      <c r="T2" s="151"/>
      <c r="U2" s="151"/>
    </row>
    <row r="3" spans="1:21" ht="12" customHeight="1">
      <c r="B3" s="1295" t="s">
        <v>946</v>
      </c>
      <c r="C3" s="493"/>
      <c r="D3" s="494"/>
      <c r="E3" s="493"/>
      <c r="F3" s="495" t="s">
        <v>34</v>
      </c>
      <c r="G3" s="1652"/>
      <c r="H3" s="1653"/>
      <c r="I3" s="496"/>
      <c r="J3" s="497"/>
      <c r="K3" s="498"/>
      <c r="L3" s="498"/>
      <c r="M3" s="124" t="s">
        <v>945</v>
      </c>
      <c r="N3" s="124"/>
      <c r="O3" s="124"/>
      <c r="P3" s="124"/>
      <c r="Q3" s="124"/>
      <c r="R3" s="124"/>
      <c r="U3" s="107"/>
    </row>
    <row r="4" spans="1:21" ht="12" customHeight="1">
      <c r="A4" s="499"/>
      <c r="B4" s="500"/>
      <c r="C4" s="493"/>
      <c r="D4" s="494"/>
      <c r="E4" s="493"/>
      <c r="F4" s="501"/>
      <c r="G4" s="502"/>
      <c r="H4" s="503"/>
      <c r="I4" s="504"/>
      <c r="J4" s="505"/>
      <c r="K4" s="498"/>
      <c r="L4" s="498"/>
      <c r="S4" s="244" t="s">
        <v>155</v>
      </c>
      <c r="T4" s="244" t="s">
        <v>156</v>
      </c>
    </row>
    <row r="5" spans="1:21" ht="12" customHeight="1">
      <c r="A5" s="506"/>
      <c r="B5" s="506"/>
      <c r="C5" s="493"/>
      <c r="D5" s="493"/>
      <c r="E5" s="506"/>
      <c r="F5" s="1654" t="s">
        <v>103</v>
      </c>
      <c r="G5" s="1655"/>
      <c r="H5" s="1656"/>
      <c r="I5" s="1297" t="s">
        <v>947</v>
      </c>
      <c r="J5" s="1298"/>
      <c r="K5" s="498"/>
      <c r="L5" s="498"/>
      <c r="M5" s="507" t="s">
        <v>1</v>
      </c>
      <c r="N5" s="106"/>
      <c r="O5" s="415" t="s">
        <v>238</v>
      </c>
      <c r="Q5" s="124"/>
      <c r="R5" s="100"/>
      <c r="S5" s="508">
        <f>[1]!F050BudgFY</f>
        <v>6600</v>
      </c>
      <c r="T5" s="10">
        <v>6814</v>
      </c>
      <c r="U5" s="510" t="s">
        <v>1</v>
      </c>
    </row>
    <row r="6" spans="1:21" ht="12" customHeight="1">
      <c r="A6" s="1296" t="s">
        <v>948</v>
      </c>
      <c r="B6" s="498"/>
      <c r="C6" s="511"/>
      <c r="D6" s="511"/>
      <c r="E6" s="511"/>
      <c r="F6" s="512" t="s">
        <v>155</v>
      </c>
      <c r="G6" s="1657" t="s">
        <v>156</v>
      </c>
      <c r="H6" s="1658"/>
      <c r="I6" s="513" t="s">
        <v>155</v>
      </c>
      <c r="J6" s="514" t="s">
        <v>156</v>
      </c>
      <c r="K6" s="498"/>
      <c r="L6" s="498"/>
      <c r="M6" s="515" t="s">
        <v>2</v>
      </c>
      <c r="N6" s="106"/>
      <c r="O6" s="415" t="s">
        <v>239</v>
      </c>
      <c r="R6" s="100"/>
      <c r="S6" s="509">
        <f>F071CurrFY</f>
        <v>25100</v>
      </c>
      <c r="T6" s="509">
        <f>F071BudgFY</f>
        <v>16453</v>
      </c>
      <c r="U6" s="510" t="s">
        <v>2</v>
      </c>
    </row>
    <row r="7" spans="1:21" ht="12" customHeight="1">
      <c r="A7" s="507" t="s">
        <v>1</v>
      </c>
      <c r="B7" s="498"/>
      <c r="C7" s="1243" t="s">
        <v>240</v>
      </c>
      <c r="D7" s="506"/>
      <c r="E7" s="507"/>
      <c r="F7" s="516">
        <f>[1]!F100130Personnel</f>
        <v>11.37</v>
      </c>
      <c r="G7" s="1645">
        <v>11.37</v>
      </c>
      <c r="H7" s="1646"/>
      <c r="I7" s="517">
        <f>[1]!F100130BudgFY</f>
        <v>783863</v>
      </c>
      <c r="J7" s="1528">
        <v>617994</v>
      </c>
      <c r="K7" s="510" t="s">
        <v>1</v>
      </c>
      <c r="L7" s="498"/>
      <c r="M7" s="515" t="s">
        <v>14</v>
      </c>
      <c r="N7" s="106"/>
      <c r="O7" s="415" t="s">
        <v>241</v>
      </c>
      <c r="R7" s="100"/>
      <c r="S7" s="509">
        <f>F072CurrFY</f>
        <v>0</v>
      </c>
      <c r="T7" s="509">
        <f>F072BudgFY</f>
        <v>0</v>
      </c>
      <c r="U7" s="510" t="s">
        <v>14</v>
      </c>
    </row>
    <row r="8" spans="1:21" ht="12" customHeight="1">
      <c r="A8" s="507" t="s">
        <v>2</v>
      </c>
      <c r="B8" s="498"/>
      <c r="C8" s="1243" t="s">
        <v>242</v>
      </c>
      <c r="D8" s="506"/>
      <c r="E8" s="507"/>
      <c r="F8" s="516">
        <f>[1]!F140150Personnel</f>
        <v>0.9</v>
      </c>
      <c r="G8" s="1645">
        <v>0.9</v>
      </c>
      <c r="H8" s="1646"/>
      <c r="I8" s="517">
        <f>[1]!F140150BudgFY</f>
        <v>191780</v>
      </c>
      <c r="J8" s="1528">
        <v>192883</v>
      </c>
      <c r="K8" s="510" t="s">
        <v>2</v>
      </c>
      <c r="L8" s="507"/>
      <c r="M8" s="518" t="s">
        <v>33</v>
      </c>
      <c r="N8" s="106"/>
      <c r="O8" s="1244" t="s">
        <v>243</v>
      </c>
      <c r="R8" s="100"/>
      <c r="S8" s="509">
        <f>[1]!F500BudgFY</f>
        <v>1700000</v>
      </c>
      <c r="T8" s="10">
        <v>1383381</v>
      </c>
      <c r="U8" s="519" t="s">
        <v>33</v>
      </c>
    </row>
    <row r="9" spans="1:21" ht="12" customHeight="1">
      <c r="A9" s="507" t="s">
        <v>14</v>
      </c>
      <c r="B9" s="498"/>
      <c r="C9" s="1243" t="s">
        <v>244</v>
      </c>
      <c r="D9" s="506"/>
      <c r="E9" s="507"/>
      <c r="F9" s="516">
        <f>[1]!F160Personnel</f>
        <v>0.68</v>
      </c>
      <c r="G9" s="1645">
        <v>0.68</v>
      </c>
      <c r="H9" s="1646"/>
      <c r="I9" s="517">
        <f>[1]!F160BudgFY</f>
        <v>193000</v>
      </c>
      <c r="J9" s="1528">
        <v>440000</v>
      </c>
      <c r="K9" s="510" t="s">
        <v>14</v>
      </c>
      <c r="L9" s="507"/>
      <c r="M9" s="520" t="s">
        <v>123</v>
      </c>
      <c r="N9" s="100"/>
      <c r="O9" s="415" t="s">
        <v>245</v>
      </c>
      <c r="P9" s="100"/>
      <c r="Q9" s="100"/>
      <c r="R9" s="507"/>
      <c r="S9" s="509">
        <f>[1]!F510BudgFY</f>
        <v>2000000</v>
      </c>
      <c r="T9" s="11">
        <v>1500000</v>
      </c>
      <c r="U9" s="519" t="s">
        <v>123</v>
      </c>
    </row>
    <row r="10" spans="1:21" ht="12" customHeight="1">
      <c r="A10" s="507" t="s">
        <v>33</v>
      </c>
      <c r="B10" s="498"/>
      <c r="C10" s="1243" t="s">
        <v>246</v>
      </c>
      <c r="D10" s="506"/>
      <c r="E10" s="507"/>
      <c r="F10" s="516">
        <f>[1]!F170180Personnel</f>
        <v>0</v>
      </c>
      <c r="G10" s="1643">
        <v>0</v>
      </c>
      <c r="H10" s="1644"/>
      <c r="I10" s="517">
        <f>[1]!F170180BudgFY</f>
        <v>0</v>
      </c>
      <c r="J10" s="1528">
        <v>0</v>
      </c>
      <c r="K10" s="510" t="s">
        <v>33</v>
      </c>
      <c r="L10" s="507"/>
      <c r="M10" s="520" t="s">
        <v>124</v>
      </c>
      <c r="N10" s="106"/>
      <c r="O10" s="415" t="s">
        <v>247</v>
      </c>
      <c r="P10" s="100"/>
      <c r="Q10" s="100"/>
      <c r="R10" s="507"/>
      <c r="S10" s="509">
        <f>[1]!F515BudgFY</f>
        <v>400000</v>
      </c>
      <c r="T10" s="11">
        <v>275000</v>
      </c>
      <c r="U10" s="519" t="s">
        <v>124</v>
      </c>
    </row>
    <row r="11" spans="1:21" ht="12" customHeight="1">
      <c r="A11" s="507" t="s">
        <v>123</v>
      </c>
      <c r="B11" s="498"/>
      <c r="C11" s="1243" t="s">
        <v>248</v>
      </c>
      <c r="D11" s="506"/>
      <c r="E11" s="507"/>
      <c r="F11" s="516">
        <f>[1]!F190Personnel</f>
        <v>0.46</v>
      </c>
      <c r="G11" s="1643">
        <v>0.46</v>
      </c>
      <c r="H11" s="1644"/>
      <c r="I11" s="517">
        <f>[1]!F190BudgFY</f>
        <v>19000</v>
      </c>
      <c r="J11" s="1528">
        <v>15035</v>
      </c>
      <c r="K11" s="510" t="s">
        <v>123</v>
      </c>
      <c r="L11" s="507"/>
      <c r="M11" s="520" t="s">
        <v>125</v>
      </c>
      <c r="N11" s="106"/>
      <c r="O11" s="415" t="s">
        <v>249</v>
      </c>
      <c r="P11" s="100"/>
      <c r="Q11" s="100"/>
      <c r="R11" s="507"/>
      <c r="S11" s="509">
        <f>[1]!F520BudgFY</f>
        <v>0</v>
      </c>
      <c r="T11" s="10"/>
      <c r="U11" s="519" t="s">
        <v>125</v>
      </c>
    </row>
    <row r="12" spans="1:21" ht="12" customHeight="1">
      <c r="A12" s="507" t="s">
        <v>124</v>
      </c>
      <c r="B12" s="498"/>
      <c r="C12" s="1243" t="s">
        <v>250</v>
      </c>
      <c r="D12" s="506"/>
      <c r="E12" s="507"/>
      <c r="F12" s="516">
        <f>[1]!F200Personnel</f>
        <v>0.2</v>
      </c>
      <c r="G12" s="1643">
        <v>0.2</v>
      </c>
      <c r="H12" s="1644"/>
      <c r="I12" s="517">
        <f>[1]!F200BudgFY</f>
        <v>14300</v>
      </c>
      <c r="J12" s="1528">
        <v>14000</v>
      </c>
      <c r="K12" s="510" t="s">
        <v>124</v>
      </c>
      <c r="L12" s="507"/>
      <c r="M12" s="520" t="s">
        <v>127</v>
      </c>
      <c r="N12" s="106"/>
      <c r="O12" s="415" t="s">
        <v>251</v>
      </c>
      <c r="P12" s="100"/>
      <c r="Q12" s="100"/>
      <c r="R12" s="100"/>
      <c r="S12" s="509">
        <f>[1]!F525BudgFY</f>
        <v>1250000</v>
      </c>
      <c r="T12" s="11">
        <v>1488107</v>
      </c>
      <c r="U12" s="519" t="s">
        <v>127</v>
      </c>
    </row>
    <row r="13" spans="1:21" ht="12" customHeight="1">
      <c r="A13" s="507" t="s">
        <v>125</v>
      </c>
      <c r="B13" s="498"/>
      <c r="C13" s="1243" t="s">
        <v>252</v>
      </c>
      <c r="D13" s="506"/>
      <c r="E13" s="507"/>
      <c r="F13" s="516">
        <f>[1]!F210Personnel</f>
        <v>0</v>
      </c>
      <c r="G13" s="1643">
        <v>0</v>
      </c>
      <c r="H13" s="1644"/>
      <c r="I13" s="517">
        <f>[1]!F210BudgFY</f>
        <v>0</v>
      </c>
      <c r="J13" s="1528"/>
      <c r="K13" s="510" t="s">
        <v>125</v>
      </c>
      <c r="L13" s="507"/>
      <c r="M13" s="520" t="s">
        <v>128</v>
      </c>
      <c r="N13" s="106"/>
      <c r="O13" s="415" t="s">
        <v>253</v>
      </c>
      <c r="P13" s="100"/>
      <c r="Q13" s="100"/>
      <c r="R13" s="507"/>
      <c r="S13" s="509">
        <f>[1]!F526BudgFY</f>
        <v>1300000</v>
      </c>
      <c r="T13" s="11">
        <v>1250346</v>
      </c>
      <c r="U13" s="519" t="s">
        <v>128</v>
      </c>
    </row>
    <row r="14" spans="1:21" ht="12" customHeight="1">
      <c r="A14" s="507" t="s">
        <v>127</v>
      </c>
      <c r="B14" s="498"/>
      <c r="C14" s="1243" t="s">
        <v>254</v>
      </c>
      <c r="D14" s="506"/>
      <c r="E14" s="507"/>
      <c r="F14" s="516">
        <f>[1]!F220Personnel</f>
        <v>16.02</v>
      </c>
      <c r="G14" s="1643">
        <v>16.02</v>
      </c>
      <c r="H14" s="1644"/>
      <c r="I14" s="517">
        <f>[1]!F220BudgFY</f>
        <v>1186341</v>
      </c>
      <c r="J14" s="1528">
        <v>1112503</v>
      </c>
      <c r="K14" s="510" t="s">
        <v>127</v>
      </c>
      <c r="L14" s="507"/>
      <c r="M14" s="520" t="s">
        <v>129</v>
      </c>
      <c r="N14" s="106"/>
      <c r="O14" s="415" t="s">
        <v>255</v>
      </c>
      <c r="R14" s="507"/>
      <c r="S14" s="509">
        <f>[1]!F530BudgFY</f>
        <v>1350000</v>
      </c>
      <c r="T14" s="11">
        <v>1496229</v>
      </c>
      <c r="U14" s="519" t="s">
        <v>129</v>
      </c>
    </row>
    <row r="15" spans="1:21" ht="12" customHeight="1">
      <c r="A15" s="507" t="s">
        <v>128</v>
      </c>
      <c r="B15" s="498"/>
      <c r="C15" s="1243" t="s">
        <v>256</v>
      </c>
      <c r="D15" s="506"/>
      <c r="E15" s="507"/>
      <c r="F15" s="516">
        <f>[1]!F230Personnel</f>
        <v>0.14000000000000001</v>
      </c>
      <c r="G15" s="1643">
        <v>0.14000000000000001</v>
      </c>
      <c r="H15" s="1644"/>
      <c r="I15" s="517">
        <f>[1]!F230BudgFY</f>
        <v>19000</v>
      </c>
      <c r="J15" s="1528">
        <v>23624</v>
      </c>
      <c r="K15" s="510" t="s">
        <v>128</v>
      </c>
      <c r="L15" s="507"/>
      <c r="M15" s="520" t="s">
        <v>130</v>
      </c>
      <c r="N15" s="106"/>
      <c r="O15" s="1245" t="s">
        <v>257</v>
      </c>
      <c r="P15" s="100"/>
      <c r="Q15" s="100"/>
      <c r="R15" s="507"/>
      <c r="S15" s="509">
        <f>[1]!F535BudgFY</f>
        <v>0</v>
      </c>
      <c r="T15" s="10">
        <v>0</v>
      </c>
      <c r="U15" s="519" t="s">
        <v>130</v>
      </c>
    </row>
    <row r="16" spans="1:21" ht="12" customHeight="1">
      <c r="A16" s="507" t="s">
        <v>129</v>
      </c>
      <c r="B16" s="498"/>
      <c r="C16" s="1243" t="s">
        <v>258</v>
      </c>
      <c r="D16" s="506"/>
      <c r="E16" s="507"/>
      <c r="F16" s="516">
        <f>[1]!F240Personnel</f>
        <v>0</v>
      </c>
      <c r="G16" s="1643">
        <v>0</v>
      </c>
      <c r="H16" s="1644"/>
      <c r="I16" s="517">
        <f>[1]!F240BudgFY</f>
        <v>0</v>
      </c>
      <c r="J16" s="1528"/>
      <c r="K16" s="510" t="s">
        <v>129</v>
      </c>
      <c r="L16" s="507"/>
      <c r="M16" s="520" t="s">
        <v>131</v>
      </c>
      <c r="N16" s="106"/>
      <c r="O16" s="207" t="s">
        <v>259</v>
      </c>
      <c r="P16" s="100"/>
      <c r="Q16" s="100"/>
      <c r="R16" s="507"/>
      <c r="S16" s="509">
        <f>[1]!F540BudgFY</f>
        <v>20</v>
      </c>
      <c r="T16" s="10">
        <v>20</v>
      </c>
      <c r="U16" s="519" t="s">
        <v>131</v>
      </c>
    </row>
    <row r="17" spans="1:21" ht="12" customHeight="1">
      <c r="A17" s="507" t="s">
        <v>130</v>
      </c>
      <c r="B17" s="498"/>
      <c r="C17" s="1243" t="s">
        <v>260</v>
      </c>
      <c r="D17" s="506"/>
      <c r="E17" s="507"/>
      <c r="F17" s="516">
        <f>[1]!F250Personnel</f>
        <v>0</v>
      </c>
      <c r="G17" s="1643">
        <v>0</v>
      </c>
      <c r="H17" s="1644"/>
      <c r="I17" s="517">
        <f>[1]!F250BudgFY</f>
        <v>0</v>
      </c>
      <c r="J17" s="1528"/>
      <c r="K17" s="510" t="s">
        <v>130</v>
      </c>
      <c r="L17" s="507"/>
      <c r="M17" s="520" t="s">
        <v>132</v>
      </c>
      <c r="N17" s="106"/>
      <c r="O17" s="207" t="s">
        <v>261</v>
      </c>
      <c r="P17" s="100"/>
      <c r="Q17" s="100"/>
      <c r="R17" s="507"/>
      <c r="S17" s="509">
        <f>[1]!F545BudgFY</f>
        <v>0</v>
      </c>
      <c r="T17" s="11">
        <v>0</v>
      </c>
      <c r="U17" s="519" t="s">
        <v>132</v>
      </c>
    </row>
    <row r="18" spans="1:21" ht="12" customHeight="1">
      <c r="A18" s="507" t="s">
        <v>131</v>
      </c>
      <c r="B18" s="498"/>
      <c r="C18" s="1243" t="s">
        <v>262</v>
      </c>
      <c r="D18" s="506"/>
      <c r="E18" s="507"/>
      <c r="F18" s="516">
        <f>[1]!F260270Personnel</f>
        <v>0.5</v>
      </c>
      <c r="G18" s="1643">
        <v>0.5</v>
      </c>
      <c r="H18" s="1644"/>
      <c r="I18" s="517">
        <f>[1]!F260270BudgFY</f>
        <v>165000</v>
      </c>
      <c r="J18" s="1528">
        <v>60000</v>
      </c>
      <c r="K18" s="510" t="s">
        <v>131</v>
      </c>
      <c r="L18" s="507"/>
      <c r="M18" s="520" t="s">
        <v>133</v>
      </c>
      <c r="N18" s="106"/>
      <c r="O18" s="415" t="s">
        <v>263</v>
      </c>
      <c r="P18" s="100"/>
      <c r="Q18" s="100"/>
      <c r="R18" s="507"/>
      <c r="S18" s="509">
        <f>[1]!F550BudgFY</f>
        <v>134000</v>
      </c>
      <c r="T18" s="10">
        <v>138213</v>
      </c>
      <c r="U18" s="519" t="s">
        <v>133</v>
      </c>
    </row>
    <row r="19" spans="1:21" ht="12" customHeight="1">
      <c r="A19" s="507" t="s">
        <v>132</v>
      </c>
      <c r="B19" s="498"/>
      <c r="C19" s="1243" t="s">
        <v>264</v>
      </c>
      <c r="D19" s="506"/>
      <c r="E19" s="507"/>
      <c r="F19" s="516">
        <f>[1]!F280Personnel</f>
        <v>0.23</v>
      </c>
      <c r="G19" s="1643">
        <v>0.23</v>
      </c>
      <c r="H19" s="1644"/>
      <c r="I19" s="517">
        <f>[1]!F280BudgFY</f>
        <v>67000</v>
      </c>
      <c r="J19" s="1528">
        <v>60000</v>
      </c>
      <c r="K19" s="526" t="s">
        <v>132</v>
      </c>
      <c r="L19" s="507"/>
      <c r="M19" s="520" t="s">
        <v>134</v>
      </c>
      <c r="N19" s="106"/>
      <c r="O19" s="415" t="s">
        <v>265</v>
      </c>
      <c r="P19" s="100"/>
      <c r="Q19" s="100"/>
      <c r="R19" s="507"/>
      <c r="S19" s="509">
        <f>[1]!F555BudgFY</f>
        <v>40</v>
      </c>
      <c r="T19" s="11">
        <v>40</v>
      </c>
      <c r="U19" s="519" t="s">
        <v>134</v>
      </c>
    </row>
    <row r="20" spans="1:21" ht="12" customHeight="1">
      <c r="A20" s="507" t="s">
        <v>133</v>
      </c>
      <c r="B20" s="498"/>
      <c r="C20" s="1243" t="s">
        <v>266</v>
      </c>
      <c r="D20" s="506"/>
      <c r="E20" s="507"/>
      <c r="F20" s="1226">
        <f>[1]!F290Personnel</f>
        <v>0</v>
      </c>
      <c r="G20" s="1649">
        <v>0</v>
      </c>
      <c r="H20" s="1650"/>
      <c r="I20" s="1227">
        <f>[1]!F290BudgFY</f>
        <v>731644</v>
      </c>
      <c r="J20" s="1529">
        <v>700000</v>
      </c>
      <c r="K20" s="526" t="s">
        <v>133</v>
      </c>
      <c r="L20" s="507"/>
      <c r="M20" s="520" t="s">
        <v>135</v>
      </c>
      <c r="N20" s="106"/>
      <c r="O20" s="415" t="s">
        <v>267</v>
      </c>
      <c r="P20" s="100"/>
      <c r="Q20" s="100"/>
      <c r="R20" s="507"/>
      <c r="S20" s="509">
        <f>[1]!F565BudgFY</f>
        <v>0</v>
      </c>
      <c r="T20" s="11">
        <v>0</v>
      </c>
      <c r="U20" s="519" t="s">
        <v>135</v>
      </c>
    </row>
    <row r="21" spans="1:21" ht="12" customHeight="1">
      <c r="A21" s="1455" t="s">
        <v>134</v>
      </c>
      <c r="B21" s="498"/>
      <c r="C21" s="1441" t="s">
        <v>890</v>
      </c>
      <c r="D21" s="1225"/>
      <c r="F21" s="1228"/>
      <c r="G21" s="1649">
        <v>1</v>
      </c>
      <c r="H21" s="1650"/>
      <c r="I21" s="1228"/>
      <c r="J21" s="1528">
        <v>580000</v>
      </c>
      <c r="K21" s="536" t="s">
        <v>134</v>
      </c>
      <c r="L21" s="507"/>
      <c r="M21" s="520" t="s">
        <v>136</v>
      </c>
      <c r="N21" s="521"/>
      <c r="O21" s="415" t="s">
        <v>269</v>
      </c>
      <c r="P21" s="100"/>
      <c r="Q21" s="100"/>
      <c r="R21" s="507"/>
      <c r="S21" s="509">
        <f>[1]!F570BudgFY</f>
        <v>650000</v>
      </c>
      <c r="T21" s="11">
        <v>680264</v>
      </c>
      <c r="U21" s="519" t="s">
        <v>136</v>
      </c>
    </row>
    <row r="22" spans="1:21" ht="12" customHeight="1">
      <c r="A22" s="1455" t="s">
        <v>135</v>
      </c>
      <c r="B22" s="498"/>
      <c r="C22" s="1441" t="s">
        <v>891</v>
      </c>
      <c r="D22" s="1225"/>
      <c r="F22" s="1228"/>
      <c r="G22" s="1643">
        <v>0</v>
      </c>
      <c r="H22" s="1644"/>
      <c r="I22" s="1228"/>
      <c r="J22" s="1528">
        <v>0</v>
      </c>
      <c r="K22" s="536" t="s">
        <v>135</v>
      </c>
      <c r="L22" s="507"/>
      <c r="M22" s="520" t="s">
        <v>137</v>
      </c>
      <c r="N22" s="106"/>
      <c r="O22" s="415" t="s">
        <v>271</v>
      </c>
      <c r="P22" s="100"/>
      <c r="Q22" s="100"/>
      <c r="R22" s="507"/>
      <c r="S22" s="509">
        <f>[1]!F575BudgFY</f>
        <v>0</v>
      </c>
      <c r="T22" s="11">
        <v>0</v>
      </c>
      <c r="U22" s="519" t="s">
        <v>137</v>
      </c>
    </row>
    <row r="23" spans="1:21" ht="12" customHeight="1">
      <c r="A23" s="1455" t="s">
        <v>136</v>
      </c>
      <c r="B23" s="498" t="s">
        <v>34</v>
      </c>
      <c r="C23" s="1245" t="s">
        <v>268</v>
      </c>
      <c r="D23" s="506"/>
      <c r="E23" s="507"/>
      <c r="F23" s="524">
        <f>[1]!F374Personnel</f>
        <v>0</v>
      </c>
      <c r="G23" s="1647">
        <v>0</v>
      </c>
      <c r="H23" s="1648"/>
      <c r="I23" s="525">
        <f>[1]!F374BudgFY</f>
        <v>14300</v>
      </c>
      <c r="J23" s="9">
        <v>14500</v>
      </c>
      <c r="K23" s="536" t="s">
        <v>136</v>
      </c>
      <c r="L23" s="507"/>
      <c r="M23" s="128" t="s">
        <v>138</v>
      </c>
      <c r="N23" s="106"/>
      <c r="O23" s="415" t="s">
        <v>272</v>
      </c>
      <c r="P23" s="100"/>
      <c r="Q23" s="100"/>
      <c r="R23" s="507"/>
      <c r="S23" s="509">
        <f>[1]!F580BudgFY</f>
        <v>0</v>
      </c>
      <c r="T23" s="10">
        <v>0</v>
      </c>
      <c r="U23" s="522" t="s">
        <v>138</v>
      </c>
    </row>
    <row r="24" spans="1:21" ht="12" customHeight="1">
      <c r="A24" s="518" t="s">
        <v>137</v>
      </c>
      <c r="B24" s="498"/>
      <c r="C24" s="1245" t="s">
        <v>270</v>
      </c>
      <c r="D24" s="506"/>
      <c r="E24" s="507"/>
      <c r="F24" s="516">
        <f>[1]!F378Personnel</f>
        <v>0</v>
      </c>
      <c r="G24" s="1645">
        <v>0</v>
      </c>
      <c r="H24" s="1646"/>
      <c r="I24" s="517">
        <f>[1]!F378BudgFY</f>
        <v>0</v>
      </c>
      <c r="J24" s="1528">
        <v>0</v>
      </c>
      <c r="K24" s="536" t="s">
        <v>137</v>
      </c>
      <c r="L24" s="106"/>
      <c r="M24" s="106" t="s">
        <v>139</v>
      </c>
      <c r="N24" s="106"/>
      <c r="O24" s="415" t="s">
        <v>273</v>
      </c>
      <c r="P24" s="100"/>
      <c r="Q24" s="100"/>
      <c r="R24" s="507"/>
      <c r="S24" s="509">
        <f>[1]!F585BudgFY</f>
        <v>0</v>
      </c>
      <c r="T24" s="11">
        <v>0</v>
      </c>
      <c r="U24" s="107" t="s">
        <v>139</v>
      </c>
    </row>
    <row r="25" spans="1:21" ht="12" customHeight="1">
      <c r="A25" s="518" t="s">
        <v>138</v>
      </c>
      <c r="B25" s="506"/>
      <c r="C25" s="1442" t="s">
        <v>1170</v>
      </c>
      <c r="D25" s="506"/>
      <c r="E25" s="507"/>
      <c r="F25" s="1226">
        <f>[1]!F300399OtherPersonnel</f>
        <v>17.850000000000001</v>
      </c>
      <c r="G25" s="1649">
        <v>0</v>
      </c>
      <c r="H25" s="1650"/>
      <c r="I25" s="1227">
        <f>[1]!F300399OtherBudgFY</f>
        <v>3527174</v>
      </c>
      <c r="J25" s="1529">
        <v>850000</v>
      </c>
      <c r="K25" s="536" t="s">
        <v>138</v>
      </c>
      <c r="L25" s="106"/>
      <c r="M25" s="106" t="s">
        <v>140</v>
      </c>
      <c r="N25" s="521"/>
      <c r="O25" s="207" t="s">
        <v>274</v>
      </c>
      <c r="P25" s="100"/>
      <c r="Q25" s="100"/>
      <c r="R25" s="507"/>
      <c r="S25" s="509">
        <f>[1]!F590BudgFY</f>
        <v>12000</v>
      </c>
      <c r="T25" s="11">
        <v>11740</v>
      </c>
      <c r="U25" s="107" t="s">
        <v>140</v>
      </c>
    </row>
    <row r="26" spans="1:21" ht="12" customHeight="1" thickBot="1">
      <c r="A26" s="1455" t="s">
        <v>139</v>
      </c>
      <c r="B26" s="498"/>
      <c r="C26" s="1441" t="s">
        <v>892</v>
      </c>
      <c r="D26" s="1225"/>
      <c r="F26" s="1228"/>
      <c r="G26" s="1645">
        <v>0</v>
      </c>
      <c r="H26" s="1646"/>
      <c r="I26" s="1228"/>
      <c r="J26" s="1516"/>
      <c r="K26" s="526" t="s">
        <v>139</v>
      </c>
      <c r="L26" s="507"/>
      <c r="M26" s="106" t="s">
        <v>141</v>
      </c>
      <c r="N26" s="521"/>
      <c r="O26" s="415" t="s">
        <v>276</v>
      </c>
      <c r="R26" s="100"/>
      <c r="S26" s="416">
        <f>[1]!F595BudgFY</f>
        <v>0</v>
      </c>
      <c r="T26" s="73">
        <v>0</v>
      </c>
      <c r="U26" s="107" t="s">
        <v>141</v>
      </c>
    </row>
    <row r="27" spans="1:21" ht="12" customHeight="1" thickBot="1">
      <c r="A27" s="1455" t="s">
        <v>140</v>
      </c>
      <c r="B27" s="498"/>
      <c r="C27" s="1245" t="s">
        <v>1169</v>
      </c>
      <c r="D27" s="506"/>
      <c r="E27" s="506"/>
      <c r="F27" s="1270">
        <f>SUM(F7:F25)</f>
        <v>48.35</v>
      </c>
      <c r="G27" s="1659">
        <f>SUM(G7:H25)</f>
        <v>32</v>
      </c>
      <c r="H27" s="1660"/>
      <c r="I27" s="1271">
        <f>SUM(I7:I25)</f>
        <v>6912402</v>
      </c>
      <c r="J27" s="523">
        <f>SUM(J7:J25)</f>
        <v>4680539</v>
      </c>
      <c r="K27" s="526" t="s">
        <v>140</v>
      </c>
      <c r="L27" s="507"/>
      <c r="M27" s="106" t="s">
        <v>142</v>
      </c>
      <c r="N27" s="521"/>
      <c r="O27" s="415" t="s">
        <v>278</v>
      </c>
      <c r="R27" s="100"/>
      <c r="S27" s="420">
        <f>[1]!F596BudgFY</f>
        <v>750000</v>
      </c>
      <c r="T27" s="10">
        <v>855901</v>
      </c>
      <c r="U27" s="107" t="s">
        <v>142</v>
      </c>
    </row>
    <row r="28" spans="1:21" ht="12" customHeight="1" thickTop="1">
      <c r="A28" s="511" t="s">
        <v>949</v>
      </c>
      <c r="B28" s="498"/>
      <c r="C28" s="1299"/>
      <c r="F28" s="1246"/>
      <c r="G28" s="1267"/>
      <c r="H28" s="1268"/>
      <c r="I28" s="1246"/>
      <c r="J28" s="1269"/>
      <c r="K28" s="1440"/>
      <c r="L28" s="507"/>
      <c r="M28" s="518" t="s">
        <v>144</v>
      </c>
      <c r="N28" s="521"/>
      <c r="O28" s="1245" t="s">
        <v>280</v>
      </c>
      <c r="R28" s="232"/>
      <c r="S28" s="509">
        <f>[1]!F597BudgFY</f>
        <v>0</v>
      </c>
      <c r="T28" s="32">
        <v>0</v>
      </c>
      <c r="U28" s="526">
        <v>24</v>
      </c>
    </row>
    <row r="29" spans="1:21" ht="12" customHeight="1">
      <c r="A29" s="223" t="s">
        <v>141</v>
      </c>
      <c r="B29" s="498"/>
      <c r="C29" s="1243" t="s">
        <v>275</v>
      </c>
      <c r="D29" s="506"/>
      <c r="F29" s="1457">
        <f>[1]!F400Personnel</f>
        <v>0.11</v>
      </c>
      <c r="G29" s="1647">
        <v>0.11</v>
      </c>
      <c r="H29" s="1648"/>
      <c r="I29" s="1456">
        <f>[1]!F400BudgFY</f>
        <v>20000</v>
      </c>
      <c r="J29" s="11">
        <v>12000</v>
      </c>
      <c r="K29" s="526" t="s">
        <v>141</v>
      </c>
      <c r="L29" s="507"/>
      <c r="M29" s="527" t="s">
        <v>145</v>
      </c>
      <c r="N29" s="100"/>
      <c r="O29" s="207" t="s">
        <v>282</v>
      </c>
      <c r="P29" s="107"/>
      <c r="Q29" s="107"/>
      <c r="R29" s="507"/>
      <c r="S29" s="422">
        <f>[1]!F639BudgFY</f>
        <v>0</v>
      </c>
      <c r="T29" s="10">
        <v>0</v>
      </c>
      <c r="U29" s="528" t="s">
        <v>145</v>
      </c>
    </row>
    <row r="30" spans="1:21" ht="12" customHeight="1">
      <c r="A30" s="223" t="s">
        <v>142</v>
      </c>
      <c r="B30" s="498"/>
      <c r="C30" s="1243" t="s">
        <v>277</v>
      </c>
      <c r="D30" s="506"/>
      <c r="F30" s="524">
        <f>[1]!F410Personnel</f>
        <v>0</v>
      </c>
      <c r="G30" s="1645">
        <v>0</v>
      </c>
      <c r="H30" s="1646"/>
      <c r="I30" s="525">
        <f>[1]!F410BudgFY</f>
        <v>0</v>
      </c>
      <c r="J30" s="9">
        <v>0</v>
      </c>
      <c r="K30" s="526" t="s">
        <v>142</v>
      </c>
      <c r="L30" s="507"/>
      <c r="M30" s="527" t="s">
        <v>147</v>
      </c>
      <c r="O30" s="207" t="s">
        <v>284</v>
      </c>
      <c r="P30" s="107"/>
      <c r="Q30" s="107"/>
      <c r="R30" s="507"/>
      <c r="S30" s="509">
        <f>[1]!F650BudgFY</f>
        <v>0</v>
      </c>
      <c r="T30" s="10">
        <v>0</v>
      </c>
      <c r="U30" s="528" t="s">
        <v>147</v>
      </c>
    </row>
    <row r="31" spans="1:21" ht="12" customHeight="1">
      <c r="A31" s="527" t="s">
        <v>144</v>
      </c>
      <c r="B31" s="1436"/>
      <c r="C31" s="1243" t="s">
        <v>279</v>
      </c>
      <c r="D31" s="506"/>
      <c r="F31" s="524">
        <f>[1]!F420Personnel</f>
        <v>0</v>
      </c>
      <c r="G31" s="1645">
        <v>0</v>
      </c>
      <c r="H31" s="1646"/>
      <c r="I31" s="525">
        <f>[1]!F420BudgFY</f>
        <v>0</v>
      </c>
      <c r="J31" s="9">
        <v>0</v>
      </c>
      <c r="K31" s="528" t="s">
        <v>144</v>
      </c>
      <c r="L31" s="507"/>
      <c r="M31" s="527" t="s">
        <v>148</v>
      </c>
      <c r="N31" s="100"/>
      <c r="O31" s="207" t="s">
        <v>286</v>
      </c>
      <c r="P31" s="100"/>
      <c r="Q31" s="100"/>
      <c r="R31" s="100"/>
      <c r="S31" s="509">
        <f>[1]!F660BudgFY</f>
        <v>0</v>
      </c>
      <c r="T31" s="10">
        <v>0</v>
      </c>
      <c r="U31" s="528" t="s">
        <v>148</v>
      </c>
    </row>
    <row r="32" spans="1:21" ht="12" customHeight="1">
      <c r="A32" s="527" t="s">
        <v>145</v>
      </c>
      <c r="B32" s="1436"/>
      <c r="C32" s="538" t="s">
        <v>281</v>
      </c>
      <c r="D32" s="506"/>
      <c r="F32" s="524">
        <f>[1]!F425Personnel</f>
        <v>0</v>
      </c>
      <c r="G32" s="1645">
        <v>0</v>
      </c>
      <c r="H32" s="1646"/>
      <c r="I32" s="525">
        <f>[1]!F425BudgFY</f>
        <v>0</v>
      </c>
      <c r="J32" s="9">
        <v>0</v>
      </c>
      <c r="K32" s="528" t="s">
        <v>145</v>
      </c>
      <c r="L32" s="507"/>
      <c r="M32" s="527" t="s">
        <v>149</v>
      </c>
      <c r="N32" s="521"/>
      <c r="O32" s="207" t="s">
        <v>288</v>
      </c>
      <c r="P32" s="100"/>
      <c r="Q32" s="100"/>
      <c r="R32" s="100"/>
      <c r="S32" s="509">
        <f>[1]!F665BudgFY</f>
        <v>17500</v>
      </c>
      <c r="T32" s="10">
        <v>17983</v>
      </c>
      <c r="U32" s="528" t="s">
        <v>149</v>
      </c>
    </row>
    <row r="33" spans="1:21" ht="12" customHeight="1">
      <c r="A33" s="1443" t="s">
        <v>147</v>
      </c>
      <c r="B33" s="1436"/>
      <c r="C33" s="1243" t="s">
        <v>283</v>
      </c>
      <c r="D33" s="506"/>
      <c r="F33" s="524">
        <f>[1]!F430Personnel</f>
        <v>0</v>
      </c>
      <c r="G33" s="1645">
        <v>0</v>
      </c>
      <c r="H33" s="1646"/>
      <c r="I33" s="525">
        <f>[1]!F430BudgFY</f>
        <v>0</v>
      </c>
      <c r="J33" s="9">
        <v>0</v>
      </c>
      <c r="K33" s="529" t="s">
        <v>147</v>
      </c>
      <c r="L33" s="106"/>
      <c r="M33" s="518" t="s">
        <v>150</v>
      </c>
      <c r="N33" s="100"/>
      <c r="O33" s="207" t="s">
        <v>290</v>
      </c>
      <c r="R33" s="100"/>
      <c r="S33" s="509">
        <f>[1]!F686BudgFY</f>
        <v>0</v>
      </c>
      <c r="T33" s="10">
        <v>0</v>
      </c>
      <c r="U33" s="529" t="s">
        <v>150</v>
      </c>
    </row>
    <row r="34" spans="1:21" ht="12" customHeight="1">
      <c r="A34" s="527" t="s">
        <v>148</v>
      </c>
      <c r="B34" s="1436"/>
      <c r="C34" s="1243" t="s">
        <v>285</v>
      </c>
      <c r="D34" s="506"/>
      <c r="F34" s="524">
        <f>[1]!F435Personnel</f>
        <v>0</v>
      </c>
      <c r="G34" s="1645">
        <v>0</v>
      </c>
      <c r="H34" s="1646"/>
      <c r="I34" s="525">
        <f>[1]!F435BudgFY</f>
        <v>0</v>
      </c>
      <c r="J34" s="9">
        <v>0</v>
      </c>
      <c r="K34" s="529" t="s">
        <v>148</v>
      </c>
      <c r="L34" s="507"/>
      <c r="M34" s="530" t="s">
        <v>152</v>
      </c>
      <c r="N34" s="100"/>
      <c r="O34" s="207" t="s">
        <v>292</v>
      </c>
      <c r="R34" s="100"/>
      <c r="S34" s="509">
        <f>[1]!F691BudgFY</f>
        <v>9500000</v>
      </c>
      <c r="T34" s="10">
        <v>12000000</v>
      </c>
      <c r="U34" s="529" t="s">
        <v>152</v>
      </c>
    </row>
    <row r="35" spans="1:21" ht="12" customHeight="1">
      <c r="A35" s="1443" t="s">
        <v>149</v>
      </c>
      <c r="B35" s="1436"/>
      <c r="C35" s="1243" t="s">
        <v>287</v>
      </c>
      <c r="D35" s="506"/>
      <c r="F35" s="524">
        <f>[1]!F450Personnel</f>
        <v>0</v>
      </c>
      <c r="G35" s="1645">
        <v>0</v>
      </c>
      <c r="H35" s="1646"/>
      <c r="I35" s="525">
        <f>[1]!F450BudgFY</f>
        <v>0</v>
      </c>
      <c r="J35" s="9">
        <v>0</v>
      </c>
      <c r="K35" s="529" t="s">
        <v>149</v>
      </c>
      <c r="L35" s="106"/>
      <c r="M35" s="533" t="s">
        <v>294</v>
      </c>
      <c r="O35" s="207" t="s">
        <v>295</v>
      </c>
      <c r="R35" s="100"/>
      <c r="S35" s="509">
        <f>[1]!F700BudgFY</f>
        <v>1300000</v>
      </c>
      <c r="T35" s="10">
        <v>1300000</v>
      </c>
      <c r="U35" s="529" t="s">
        <v>294</v>
      </c>
    </row>
    <row r="36" spans="1:21" ht="12" customHeight="1">
      <c r="A36" s="533" t="s">
        <v>150</v>
      </c>
      <c r="B36" s="1436"/>
      <c r="C36" s="1437" t="s">
        <v>289</v>
      </c>
      <c r="D36" s="1438"/>
      <c r="F36" s="524">
        <f t="array" ref="F36">[1]!F456Personnel</f>
        <v>0</v>
      </c>
      <c r="G36" s="1645">
        <v>0</v>
      </c>
      <c r="H36" s="1646"/>
      <c r="I36" s="525">
        <f t="array" ref="I36">[1]!F456BudgFY</f>
        <v>60000</v>
      </c>
      <c r="J36" s="9">
        <v>60000</v>
      </c>
      <c r="K36" s="529" t="s">
        <v>150</v>
      </c>
      <c r="L36" s="507"/>
      <c r="M36" s="527" t="s">
        <v>296</v>
      </c>
      <c r="N36" s="521"/>
      <c r="O36" s="207" t="s">
        <v>297</v>
      </c>
      <c r="R36" s="100"/>
      <c r="S36" s="509">
        <f>[1]!F720BudgFY</f>
        <v>0</v>
      </c>
      <c r="T36" s="10">
        <v>0</v>
      </c>
      <c r="U36" s="528" t="s">
        <v>296</v>
      </c>
    </row>
    <row r="37" spans="1:21" ht="12" customHeight="1">
      <c r="A37" s="533" t="s">
        <v>152</v>
      </c>
      <c r="B37" s="1436"/>
      <c r="C37" s="1439" t="s">
        <v>291</v>
      </c>
      <c r="D37" s="1440"/>
      <c r="F37" s="524">
        <f>[1]!F460Personnel</f>
        <v>0</v>
      </c>
      <c r="G37" s="1645">
        <v>0</v>
      </c>
      <c r="H37" s="1646"/>
      <c r="I37" s="525">
        <f>[1]!F460BudgFY</f>
        <v>0</v>
      </c>
      <c r="J37" s="9">
        <v>0</v>
      </c>
      <c r="K37" s="529" t="s">
        <v>152</v>
      </c>
      <c r="L37" s="507"/>
      <c r="M37" s="518" t="s">
        <v>298</v>
      </c>
      <c r="N37" s="521"/>
      <c r="O37" s="528" t="s">
        <v>299</v>
      </c>
      <c r="R37" s="232"/>
      <c r="S37" s="509">
        <f>[1]!F850BudgFY</f>
        <v>200000</v>
      </c>
      <c r="T37" s="75">
        <v>163881</v>
      </c>
      <c r="U37" s="536" t="s">
        <v>298</v>
      </c>
    </row>
    <row r="38" spans="1:21" ht="12" customHeight="1" thickBot="1">
      <c r="A38" s="533" t="s">
        <v>294</v>
      </c>
      <c r="B38" s="1436"/>
      <c r="C38" s="1245" t="s">
        <v>293</v>
      </c>
      <c r="D38" s="1438"/>
      <c r="E38" s="506"/>
      <c r="F38" s="531">
        <f>[1]!F465499Personnel</f>
        <v>11.56</v>
      </c>
      <c r="G38" s="1669">
        <v>11</v>
      </c>
      <c r="H38" s="1670"/>
      <c r="I38" s="532">
        <f>[1]!F465499BudgFY</f>
        <v>770000</v>
      </c>
      <c r="J38" s="1527">
        <v>600000</v>
      </c>
      <c r="K38" s="529" t="s">
        <v>294</v>
      </c>
      <c r="L38" s="507"/>
      <c r="M38" s="518" t="s">
        <v>300</v>
      </c>
      <c r="O38" s="13" t="s">
        <v>1384</v>
      </c>
      <c r="R38" s="100"/>
      <c r="S38" s="422">
        <f>[1]!OtherFundsBudgFY</f>
        <v>25000</v>
      </c>
      <c r="T38" s="10">
        <v>24165</v>
      </c>
      <c r="U38" s="536" t="s">
        <v>300</v>
      </c>
    </row>
    <row r="39" spans="1:21" ht="12" customHeight="1" thickBot="1">
      <c r="A39" s="533" t="s">
        <v>296</v>
      </c>
      <c r="B39" s="1440"/>
      <c r="C39" s="1245" t="s">
        <v>1167</v>
      </c>
      <c r="D39" s="232"/>
      <c r="F39" s="534">
        <f>SUM(F29:F38)</f>
        <v>11.67</v>
      </c>
      <c r="G39" s="1659">
        <f>SUM(G29:H38)</f>
        <v>11</v>
      </c>
      <c r="H39" s="1660"/>
      <c r="I39" s="523">
        <f>SUM(I29:I38)</f>
        <v>850000</v>
      </c>
      <c r="J39" s="1517">
        <f>SUM(J29:J38)</f>
        <v>672000</v>
      </c>
      <c r="K39" s="529" t="s">
        <v>296</v>
      </c>
      <c r="L39" s="507"/>
      <c r="O39" s="124" t="s">
        <v>950</v>
      </c>
      <c r="P39" s="100"/>
      <c r="Q39" s="100"/>
      <c r="R39" s="100"/>
      <c r="S39" s="100"/>
      <c r="T39" s="100"/>
    </row>
    <row r="40" spans="1:21" ht="12" customHeight="1" thickTop="1" thickBot="1">
      <c r="A40" s="533" t="s">
        <v>298</v>
      </c>
      <c r="B40" s="1440"/>
      <c r="C40" s="1245" t="s">
        <v>1168</v>
      </c>
      <c r="D40" s="232"/>
      <c r="F40" s="534">
        <f>F27+F39</f>
        <v>60.02</v>
      </c>
      <c r="G40" s="1667">
        <f>G27+G39</f>
        <v>43</v>
      </c>
      <c r="H40" s="1668"/>
      <c r="I40" s="535">
        <f>I27+I39</f>
        <v>7762402</v>
      </c>
      <c r="J40" s="1517">
        <f>J27+J39</f>
        <v>5352539</v>
      </c>
      <c r="K40" s="529" t="s">
        <v>298</v>
      </c>
      <c r="L40" s="100"/>
      <c r="M40" s="106" t="s">
        <v>1</v>
      </c>
      <c r="O40" s="18" t="s">
        <v>301</v>
      </c>
      <c r="P40" s="100"/>
      <c r="Q40" s="100"/>
      <c r="R40" s="100"/>
      <c r="S40" s="509">
        <f>[1]!F9__SelfInsBudgFY</f>
        <v>0</v>
      </c>
      <c r="T40" s="10">
        <v>0</v>
      </c>
      <c r="U40" s="522" t="s">
        <v>1</v>
      </c>
    </row>
    <row r="41" spans="1:21" ht="12" customHeight="1" thickTop="1">
      <c r="K41" s="1440"/>
      <c r="L41" s="100"/>
      <c r="M41" s="515" t="s">
        <v>2</v>
      </c>
      <c r="O41" s="107" t="s">
        <v>302</v>
      </c>
      <c r="P41" s="100"/>
      <c r="Q41" s="100"/>
      <c r="R41" s="507"/>
      <c r="S41" s="509">
        <f>[1]!F955BudgFY</f>
        <v>100000</v>
      </c>
      <c r="T41" s="11">
        <v>90605</v>
      </c>
      <c r="U41" s="215" t="s">
        <v>2</v>
      </c>
    </row>
    <row r="42" spans="1:21" ht="12" customHeight="1">
      <c r="A42" s="1663" t="s">
        <v>951</v>
      </c>
      <c r="B42" s="1664"/>
      <c r="C42" s="1664"/>
      <c r="D42" s="1664"/>
      <c r="E42" s="1664"/>
      <c r="I42" s="1224" t="s">
        <v>155</v>
      </c>
      <c r="J42" s="1234" t="s">
        <v>156</v>
      </c>
      <c r="K42" s="1440"/>
      <c r="L42" s="100"/>
      <c r="M42" s="128" t="s">
        <v>14</v>
      </c>
      <c r="O42" s="13" t="s">
        <v>303</v>
      </c>
      <c r="P42" s="100"/>
      <c r="Q42" s="100"/>
      <c r="R42" s="100"/>
      <c r="S42" s="509">
        <f>[1]!F9__OPEBBudgFY</f>
        <v>0</v>
      </c>
      <c r="T42" s="11">
        <v>0</v>
      </c>
      <c r="U42" s="413" t="s">
        <v>14</v>
      </c>
    </row>
    <row r="43" spans="1:21" ht="12" customHeight="1">
      <c r="A43" s="507" t="s">
        <v>1</v>
      </c>
      <c r="C43" s="107" t="s">
        <v>1230</v>
      </c>
      <c r="D43" s="348"/>
      <c r="I43" s="1229">
        <f>[1]!F020TeachCompIncrBudgFY</f>
        <v>0</v>
      </c>
      <c r="J43" s="1235">
        <v>0</v>
      </c>
      <c r="K43" s="1449" t="s">
        <v>1</v>
      </c>
      <c r="L43" s="100"/>
      <c r="M43" s="128" t="s">
        <v>33</v>
      </c>
      <c r="O43" s="18" t="s">
        <v>1385</v>
      </c>
      <c r="P43" s="100"/>
      <c r="Q43" s="100"/>
      <c r="R43" s="100"/>
      <c r="S43" s="509">
        <f>[1]!F9__OtherBudgFY</f>
        <v>15000</v>
      </c>
      <c r="T43" s="11">
        <v>38447</v>
      </c>
      <c r="U43" s="413" t="s">
        <v>33</v>
      </c>
    </row>
    <row r="44" spans="1:21" ht="12" customHeight="1">
      <c r="A44" s="507" t="s">
        <v>2</v>
      </c>
      <c r="B44" s="100"/>
      <c r="C44" s="100" t="s">
        <v>1231</v>
      </c>
      <c r="D44" s="100"/>
      <c r="E44" s="507"/>
      <c r="I44" s="1229">
        <f>[1]!F020ClassSizeRedBudgFY</f>
        <v>250000</v>
      </c>
      <c r="J44" s="1236">
        <v>250000</v>
      </c>
      <c r="K44" s="528" t="s">
        <v>2</v>
      </c>
      <c r="L44" s="100"/>
      <c r="N44" s="521"/>
      <c r="O44" s="100"/>
      <c r="P44" s="100"/>
      <c r="Q44" s="100"/>
      <c r="R44" s="100"/>
      <c r="U44" s="207"/>
    </row>
    <row r="45" spans="1:21" ht="12.75" customHeight="1">
      <c r="A45" s="507" t="s">
        <v>14</v>
      </c>
      <c r="B45" s="100"/>
      <c r="C45" s="100" t="s">
        <v>1232</v>
      </c>
      <c r="D45" s="100"/>
      <c r="E45" s="507"/>
      <c r="I45" s="1229">
        <f>[1]!F020DropPrevProgBudgFY</f>
        <v>0</v>
      </c>
      <c r="J45" s="1236">
        <v>0</v>
      </c>
      <c r="K45" s="528" t="s">
        <v>14</v>
      </c>
      <c r="L45" s="100"/>
      <c r="N45" s="106"/>
      <c r="S45" s="539"/>
      <c r="T45" s="100"/>
    </row>
    <row r="46" spans="1:21" ht="12.75" customHeight="1">
      <c r="A46" s="507" t="s">
        <v>33</v>
      </c>
      <c r="B46" s="100"/>
      <c r="C46" s="100" t="s">
        <v>1233</v>
      </c>
      <c r="D46" s="100"/>
      <c r="E46" s="507"/>
      <c r="I46" s="420">
        <f>[1]!F020InstrImprProgBudgFY</f>
        <v>0</v>
      </c>
      <c r="J46" s="1236">
        <v>0</v>
      </c>
      <c r="K46" s="528" t="s">
        <v>33</v>
      </c>
      <c r="M46" s="205" t="s">
        <v>304</v>
      </c>
      <c r="N46" s="100" t="s">
        <v>305</v>
      </c>
    </row>
    <row r="47" spans="1:21" ht="12.75" customHeight="1" thickBot="1">
      <c r="A47" s="507" t="s">
        <v>123</v>
      </c>
      <c r="B47" s="100"/>
      <c r="C47" s="100" t="s">
        <v>1234</v>
      </c>
      <c r="D47" s="100"/>
      <c r="E47" s="507"/>
      <c r="I47" s="1233">
        <f>SUM(I43:I46)</f>
        <v>250000</v>
      </c>
      <c r="J47" s="1233">
        <f>SUM(J43:J46)</f>
        <v>250000</v>
      </c>
      <c r="K47" s="528" t="s">
        <v>123</v>
      </c>
      <c r="M47" s="205" t="s">
        <v>306</v>
      </c>
      <c r="N47" s="100" t="s">
        <v>307</v>
      </c>
      <c r="S47" s="1458">
        <v>0</v>
      </c>
    </row>
    <row r="48" spans="1:21" ht="12.75" customHeight="1" thickTop="1">
      <c r="A48" s="106"/>
      <c r="B48" s="106"/>
      <c r="E48" s="507"/>
      <c r="I48" s="1230"/>
      <c r="J48" s="1232"/>
      <c r="K48" s="1440"/>
      <c r="M48" s="205"/>
      <c r="N48" s="100"/>
    </row>
    <row r="49" spans="1:28">
      <c r="A49" s="540"/>
      <c r="B49" s="106"/>
      <c r="E49" s="507"/>
      <c r="I49" s="1231"/>
      <c r="J49" s="1231"/>
    </row>
    <row r="50" spans="1:28">
      <c r="E50" s="1665"/>
      <c r="F50" s="1665"/>
      <c r="G50" s="1666"/>
      <c r="H50" s="1666"/>
    </row>
    <row r="51" spans="1:28">
      <c r="E51" s="1661"/>
      <c r="F51" s="1661"/>
      <c r="G51" s="1661"/>
      <c r="H51" s="1661"/>
      <c r="AB51" s="537"/>
    </row>
    <row r="52" spans="1:28">
      <c r="E52" s="1661"/>
      <c r="F52" s="1661"/>
      <c r="G52" s="1662"/>
      <c r="H52" s="1662"/>
      <c r="AB52" s="538"/>
    </row>
    <row r="53" spans="1:28">
      <c r="E53" s="1661"/>
      <c r="F53" s="1661"/>
      <c r="G53" s="1662"/>
      <c r="H53" s="1662"/>
      <c r="AB53" s="538"/>
    </row>
    <row r="54" spans="1:28">
      <c r="E54" s="1661"/>
      <c r="F54" s="1661"/>
      <c r="G54" s="1662"/>
      <c r="H54" s="1662"/>
      <c r="AB54" s="538"/>
    </row>
    <row r="55" spans="1:28">
      <c r="E55" s="1661"/>
      <c r="F55" s="1661"/>
      <c r="G55" s="1662"/>
      <c r="H55" s="1662"/>
      <c r="AB55" s="538"/>
    </row>
    <row r="56" spans="1:28">
      <c r="E56" s="506"/>
      <c r="AB56" s="538"/>
    </row>
    <row r="57" spans="1:28">
      <c r="T57" s="100"/>
      <c r="W57" s="507"/>
    </row>
  </sheetData>
  <sheetProtection sheet="1"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A33" location="Page6F456" display="26." xr:uid="{00000000-0004-0000-0700-000005000000}"/>
    <hyperlink ref="M38" location="Page6l34" display="34." xr:uid="{00000000-0004-0000-0700-000006000000}"/>
    <hyperlink ref="M28" location="Page6l24" display="24." xr:uid="{00000000-0004-0000-0700-000007000000}"/>
    <hyperlink ref="M37" location="Page6l33" display="33." xr:uid="{00000000-0004-0000-0700-000008000000}"/>
    <hyperlink ref="M33" location="Page6l29" display="29." xr:uid="{00000000-0004-0000-0700-00000A000000}"/>
    <hyperlink ref="M34" location="Page6l30" display="30." xr:uid="{00000000-0004-0000-0700-00000B000000}"/>
    <hyperlink ref="A35" location="Page6l28" display="28." xr:uid="{00000000-0004-0000-0700-00000C000000}"/>
    <hyperlink ref="A25" location="Page6l17" display="19." xr:uid="{00000000-0004-0000-0700-00000D000000}"/>
    <hyperlink ref="A24" location="Page6l16" display="18." xr:uid="{1F16724E-7E60-49D6-8FB5-F9AF537E66DA}"/>
  </hyperlinks>
  <printOptions horizontalCentered="1"/>
  <pageMargins left="0.25" right="0.25" top="0.25" bottom="0.25" header="0" footer="0.25"/>
  <pageSetup paperSize="5" scale="93"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3"/>
  <sheetViews>
    <sheetView showGridLines="0" topLeftCell="A26" workbookViewId="0">
      <selection activeCell="J53" sqref="J53"/>
    </sheetView>
  </sheetViews>
  <sheetFormatPr defaultColWidth="8" defaultRowHeight="12"/>
  <cols>
    <col min="1" max="2" width="2.88671875" style="392" customWidth="1"/>
    <col min="3" max="3" width="6" style="392" customWidth="1"/>
    <col min="4" max="4" width="15.88671875" style="392" customWidth="1"/>
    <col min="5" max="5" width="4.88671875" style="392" customWidth="1"/>
    <col min="6" max="6" width="12.21875" style="392" customWidth="1"/>
    <col min="7" max="7" width="3.88671875" style="392" customWidth="1"/>
    <col min="8" max="8" width="12.88671875" style="392" customWidth="1"/>
    <col min="9" max="9" width="6.5546875" style="392" customWidth="1"/>
    <col min="10" max="10" width="11.44140625" style="392" customWidth="1"/>
    <col min="11" max="11" width="3.88671875" style="392" customWidth="1"/>
    <col min="12" max="12" width="2.44140625" style="392" customWidth="1"/>
    <col min="13" max="13" width="11.44140625" style="392" customWidth="1"/>
    <col min="14" max="14" width="8" style="392" customWidth="1"/>
    <col min="15" max="15" width="1.88671875" style="392" customWidth="1"/>
    <col min="16" max="16" width="4.88671875" style="392" customWidth="1"/>
    <col min="17" max="17" width="25.109375" style="392" customWidth="1"/>
    <col min="18" max="18" width="17.44140625" style="392" customWidth="1"/>
    <col min="19" max="19" width="8" style="392" customWidth="1"/>
    <col min="20" max="20" width="2" style="392" customWidth="1"/>
    <col min="21" max="21" width="8" style="392" customWidth="1"/>
    <col min="22" max="22" width="1.5546875" style="392" customWidth="1"/>
    <col min="23" max="23" width="1.44140625" style="392" customWidth="1"/>
    <col min="24" max="27" width="8" style="392" customWidth="1"/>
    <col min="28" max="16384" width="8" style="392"/>
  </cols>
  <sheetData>
    <row r="1" spans="1:19" ht="15">
      <c r="A1" s="541"/>
      <c r="B1" s="562"/>
      <c r="C1" s="543" t="s">
        <v>928</v>
      </c>
      <c r="D1" s="1671" t="str">
        <f>DistrictName</f>
        <v xml:space="preserve">Prescott Unified </v>
      </c>
      <c r="E1" s="1593"/>
      <c r="F1" s="1300" t="s">
        <v>446</v>
      </c>
      <c r="G1" s="1671" t="str">
        <f>Cover!H1</f>
        <v>Yavapai</v>
      </c>
      <c r="H1" s="1593"/>
      <c r="I1" s="1593"/>
      <c r="J1" s="560"/>
      <c r="K1" s="1301"/>
      <c r="L1" s="1302" t="s">
        <v>912</v>
      </c>
      <c r="M1" s="546" t="str">
        <f>Cover!S1</f>
        <v>130201000</v>
      </c>
    </row>
    <row r="2" spans="1:19" ht="15" customHeight="1">
      <c r="A2" s="547"/>
      <c r="B2" s="542"/>
      <c r="C2" s="542"/>
      <c r="D2" s="542"/>
      <c r="E2" s="542"/>
      <c r="F2" s="542"/>
      <c r="G2" s="542"/>
      <c r="H2" s="542"/>
      <c r="I2" s="542"/>
      <c r="J2" s="542"/>
      <c r="K2" s="100"/>
      <c r="L2" s="1302" t="s">
        <v>9</v>
      </c>
      <c r="M2" s="548" t="str">
        <f>Cover!C8</f>
        <v>Adopted</v>
      </c>
    </row>
    <row r="3" spans="1:19" ht="12" customHeight="1">
      <c r="A3" s="1673" t="str">
        <f>_xlfn.CONCAT("Calculation of FY ",Cover!E3," General Budget Limit")</f>
        <v>Calculation of FY 2025 General Budget Limit</v>
      </c>
      <c r="B3" s="1674"/>
      <c r="C3" s="1674"/>
      <c r="D3" s="1674"/>
      <c r="E3" s="1674"/>
      <c r="F3" s="1674"/>
      <c r="G3" s="1674"/>
      <c r="H3" s="1674"/>
      <c r="I3" s="1674"/>
      <c r="J3" s="1674"/>
      <c r="K3" s="1674"/>
      <c r="L3" s="1674"/>
      <c r="M3" s="1674"/>
    </row>
    <row r="4" spans="1:19" ht="12" customHeight="1">
      <c r="A4" s="549" t="s">
        <v>308</v>
      </c>
      <c r="B4" s="550"/>
      <c r="C4" s="550"/>
      <c r="D4" s="550"/>
      <c r="E4" s="550"/>
      <c r="F4" s="551"/>
      <c r="G4" s="551"/>
      <c r="H4" s="551"/>
      <c r="I4" s="551"/>
      <c r="J4" s="551"/>
      <c r="K4" s="550"/>
      <c r="L4" s="550"/>
      <c r="M4" s="552"/>
    </row>
    <row r="5" spans="1:19" ht="3" customHeight="1">
      <c r="A5" s="549"/>
      <c r="B5" s="550"/>
      <c r="C5" s="550"/>
      <c r="D5" s="550"/>
      <c r="E5" s="550"/>
      <c r="F5" s="550"/>
      <c r="G5" s="550"/>
      <c r="H5" s="550"/>
      <c r="I5" s="550"/>
      <c r="J5" s="550"/>
      <c r="K5" s="550"/>
      <c r="L5" s="550"/>
      <c r="M5" s="552"/>
    </row>
    <row r="6" spans="1:19" ht="9.75" customHeight="1">
      <c r="A6" s="553"/>
      <c r="B6" s="542"/>
      <c r="C6" s="542"/>
      <c r="D6" s="542"/>
      <c r="E6" s="542"/>
      <c r="F6" s="542"/>
      <c r="G6" s="542"/>
      <c r="H6" s="542"/>
      <c r="I6" s="542"/>
      <c r="J6" s="554" t="s">
        <v>309</v>
      </c>
      <c r="K6" s="550"/>
      <c r="L6" s="550"/>
      <c r="M6" s="555" t="s">
        <v>310</v>
      </c>
    </row>
    <row r="7" spans="1:19" ht="10.5" customHeight="1">
      <c r="A7" s="556" t="s">
        <v>34</v>
      </c>
      <c r="B7" s="550"/>
      <c r="C7" s="550"/>
      <c r="D7" s="550"/>
      <c r="E7" s="550"/>
      <c r="F7" s="550"/>
      <c r="G7" s="550"/>
      <c r="H7" s="550"/>
      <c r="I7" s="550"/>
      <c r="J7" s="554" t="s">
        <v>311</v>
      </c>
      <c r="K7" s="557"/>
      <c r="L7" s="542"/>
      <c r="M7" s="555" t="s">
        <v>312</v>
      </c>
    </row>
    <row r="8" spans="1:19" ht="10.5" customHeight="1">
      <c r="A8" s="556"/>
      <c r="B8" s="550"/>
      <c r="C8" s="550"/>
      <c r="D8" s="550"/>
      <c r="E8" s="550"/>
      <c r="F8" s="550"/>
      <c r="G8" s="550"/>
      <c r="H8" s="550"/>
      <c r="I8" s="550"/>
      <c r="J8" s="558" t="s">
        <v>313</v>
      </c>
      <c r="K8" s="557"/>
      <c r="L8" s="542"/>
      <c r="M8" s="559" t="s">
        <v>314</v>
      </c>
    </row>
    <row r="9" spans="1:19" ht="11.25" customHeight="1">
      <c r="A9" s="210" t="s">
        <v>315</v>
      </c>
      <c r="B9" s="1343" t="str">
        <f>_xlfn.CONCAT("FY ",Cover!E3," Revenue Control Limit (RCL) ")</f>
        <v>FY 2025 Revenue Control Limit (RCL)</v>
      </c>
      <c r="C9" s="560"/>
      <c r="D9" s="551"/>
      <c r="E9" s="551"/>
      <c r="F9" s="551"/>
      <c r="G9" s="550"/>
      <c r="H9" s="542"/>
      <c r="I9" s="550"/>
      <c r="J9" s="544"/>
      <c r="K9" s="557"/>
      <c r="L9" s="542"/>
      <c r="M9" s="374"/>
      <c r="N9" s="1686" t="str">
        <f>IF((H10-J10)&gt;=0,"","The RCL amount allocated to the M and O Fund exceeds the calculated RCL amount.")</f>
        <v/>
      </c>
      <c r="O9" s="1686"/>
      <c r="P9" s="1686"/>
      <c r="Q9" s="1686"/>
      <c r="R9" s="1686"/>
      <c r="S9" s="1686"/>
    </row>
    <row r="10" spans="1:19" ht="12.75" customHeight="1">
      <c r="A10" s="374"/>
      <c r="B10" s="561" t="s">
        <v>1295</v>
      </c>
      <c r="C10" s="560"/>
      <c r="D10" s="562"/>
      <c r="E10" s="562"/>
      <c r="F10" s="562"/>
      <c r="G10" s="563" t="s">
        <v>316</v>
      </c>
      <c r="H10" s="139">
        <f>RCL</f>
        <v>27481466</v>
      </c>
      <c r="I10" s="564" t="s">
        <v>316</v>
      </c>
      <c r="J10" s="5">
        <v>27481466</v>
      </c>
      <c r="K10" s="566"/>
      <c r="L10" s="564" t="s">
        <v>316</v>
      </c>
      <c r="M10" s="567">
        <f>IF((H10-J10)&lt;0,"Error",H10-J10)</f>
        <v>0</v>
      </c>
      <c r="N10" s="1686"/>
      <c r="O10" s="1686"/>
      <c r="P10" s="1686"/>
      <c r="Q10" s="1686"/>
      <c r="R10" s="1686"/>
      <c r="S10" s="1686"/>
    </row>
    <row r="11" spans="1:19" hidden="1">
      <c r="A11" s="568"/>
      <c r="B11" s="569"/>
      <c r="C11" s="570"/>
      <c r="D11" s="542"/>
      <c r="E11" s="542"/>
      <c r="F11" s="542"/>
      <c r="G11" s="564"/>
      <c r="H11" s="571"/>
      <c r="I11" s="566"/>
      <c r="J11" s="566"/>
      <c r="K11" s="566"/>
      <c r="L11" s="542"/>
      <c r="M11" s="566"/>
    </row>
    <row r="12" spans="1:19" ht="3" customHeight="1">
      <c r="A12" s="572"/>
      <c r="B12" s="569"/>
      <c r="C12" s="1678"/>
      <c r="D12" s="1678"/>
      <c r="E12" s="1678"/>
      <c r="F12" s="1678"/>
      <c r="G12" s="564"/>
      <c r="H12" s="373"/>
      <c r="I12" s="566"/>
      <c r="J12" s="566"/>
      <c r="K12" s="566"/>
      <c r="L12" s="542"/>
      <c r="M12" s="566"/>
    </row>
    <row r="13" spans="1:19" ht="13.5" hidden="1" customHeight="1">
      <c r="A13" s="573"/>
      <c r="B13" s="574"/>
      <c r="C13" s="570"/>
      <c r="D13" s="374"/>
      <c r="E13" s="542"/>
      <c r="F13" s="542"/>
      <c r="G13" s="564"/>
      <c r="H13" s="562"/>
    </row>
    <row r="14" spans="1:19" ht="25.5" customHeight="1">
      <c r="A14" s="575" t="s">
        <v>317</v>
      </c>
      <c r="B14" s="576" t="s">
        <v>318</v>
      </c>
      <c r="C14" s="1679" t="str">
        <f>_xlfn.CONCAT("FY ",Cover!E3," District Additional Assistance (DAA)  (from BSA55 tab, page 4)")</f>
        <v>FY 2025 District Additional Assistance (DAA)  (from BSA55 tab, page 4)</v>
      </c>
      <c r="D14" s="1679"/>
      <c r="E14" s="1679"/>
      <c r="F14" s="1679"/>
      <c r="G14" s="563" t="s">
        <v>316</v>
      </c>
      <c r="H14" s="565">
        <f>PreAdjDAA</f>
        <v>2181294</v>
      </c>
      <c r="I14" s="564"/>
      <c r="J14" s="373"/>
      <c r="K14" s="566"/>
      <c r="L14" s="542"/>
      <c r="M14" s="373"/>
    </row>
    <row r="15" spans="1:19" ht="12.75" customHeight="1">
      <c r="A15" s="572"/>
      <c r="B15" s="576" t="s">
        <v>319</v>
      </c>
      <c r="C15" s="1677" t="s">
        <v>320</v>
      </c>
      <c r="D15" s="1677"/>
      <c r="E15" s="1677"/>
      <c r="F15" s="1677"/>
      <c r="G15" s="563" t="s">
        <v>316</v>
      </c>
      <c r="H15" s="565">
        <f>TotalDAAAdj</f>
        <v>0</v>
      </c>
      <c r="I15" s="564"/>
      <c r="J15" s="373"/>
      <c r="K15" s="566"/>
      <c r="L15" s="542"/>
      <c r="M15" s="373"/>
      <c r="N15" s="1686" t="str">
        <f>IF((H17-J17)&gt;=0,"","The DAA amount allocated to the M and O Fund exceeds the calculated DAA amount.")</f>
        <v/>
      </c>
      <c r="O15" s="1686"/>
      <c r="P15" s="1686"/>
      <c r="Q15" s="1686"/>
      <c r="R15" s="1686"/>
      <c r="S15" s="1686"/>
    </row>
    <row r="16" spans="1:19" ht="27" hidden="1" customHeight="1">
      <c r="A16" s="572"/>
      <c r="B16" s="579"/>
      <c r="C16" s="1679"/>
      <c r="D16" s="1679"/>
      <c r="E16" s="1679"/>
      <c r="F16" s="1679"/>
      <c r="G16" s="564"/>
      <c r="H16" s="580"/>
      <c r="I16" s="564"/>
      <c r="J16" s="373"/>
      <c r="K16" s="566"/>
      <c r="L16" s="542"/>
      <c r="M16" s="373"/>
      <c r="N16" s="1686"/>
      <c r="O16" s="1686"/>
      <c r="P16" s="1686"/>
      <c r="Q16" s="1686"/>
      <c r="R16" s="1686"/>
      <c r="S16" s="1686"/>
    </row>
    <row r="17" spans="1:28" ht="12.75" customHeight="1">
      <c r="A17" s="568"/>
      <c r="B17" s="581" t="s">
        <v>321</v>
      </c>
      <c r="C17" s="232" t="s">
        <v>322</v>
      </c>
      <c r="D17" s="562"/>
      <c r="E17" s="542"/>
      <c r="F17" s="542"/>
      <c r="G17" s="564" t="s">
        <v>316</v>
      </c>
      <c r="H17" s="582">
        <f>H14+H15</f>
        <v>2181294</v>
      </c>
      <c r="I17" s="564"/>
      <c r="J17" s="93">
        <v>732455</v>
      </c>
      <c r="K17" s="566"/>
      <c r="L17" s="542"/>
      <c r="M17" s="583">
        <f>IF((H17-J17)&lt;0,"Error",H17-J17)</f>
        <v>1448839</v>
      </c>
      <c r="N17" s="1686"/>
      <c r="O17" s="1686"/>
      <c r="P17" s="1686"/>
      <c r="Q17" s="1686"/>
      <c r="R17" s="1686"/>
      <c r="S17" s="1686"/>
    </row>
    <row r="18" spans="1:28" ht="45.75" customHeight="1">
      <c r="A18" s="584" t="s">
        <v>323</v>
      </c>
      <c r="B18" s="1687"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687"/>
      <c r="D18" s="1687"/>
      <c r="E18" s="1687"/>
      <c r="F18" s="1687"/>
      <c r="G18" s="1687"/>
      <c r="H18" s="1687"/>
      <c r="I18" s="1687"/>
      <c r="J18" s="571"/>
      <c r="K18" s="566"/>
      <c r="L18" s="542"/>
      <c r="M18" s="566"/>
      <c r="N18" s="560"/>
      <c r="AA18" s="1348" t="s">
        <v>1079</v>
      </c>
      <c r="AB18" s="560"/>
    </row>
    <row r="19" spans="1:28">
      <c r="A19" s="564"/>
      <c r="B19" s="585" t="s">
        <v>318</v>
      </c>
      <c r="C19" s="562" t="s">
        <v>324</v>
      </c>
      <c r="D19" s="562"/>
      <c r="E19" s="542"/>
      <c r="F19" s="542"/>
      <c r="G19" s="542"/>
      <c r="H19" s="542"/>
      <c r="I19" s="564" t="s">
        <v>34</v>
      </c>
      <c r="J19" s="95"/>
      <c r="K19" s="566"/>
      <c r="L19" s="542"/>
      <c r="M19" s="566"/>
    </row>
    <row r="20" spans="1:28" ht="12" customHeight="1">
      <c r="A20" s="572"/>
      <c r="B20" s="585" t="s">
        <v>319</v>
      </c>
      <c r="C20" s="562" t="s">
        <v>200</v>
      </c>
      <c r="D20" s="562"/>
      <c r="E20" s="542"/>
      <c r="F20" s="542"/>
      <c r="G20" s="542"/>
      <c r="H20" s="542"/>
      <c r="I20" s="564"/>
      <c r="J20" s="586"/>
      <c r="K20" s="566"/>
      <c r="L20" s="542"/>
      <c r="M20" s="95"/>
    </row>
    <row r="21" spans="1:28" ht="12" customHeight="1">
      <c r="A21" s="564"/>
      <c r="B21" s="113" t="s">
        <v>321</v>
      </c>
      <c r="C21" s="562" t="s">
        <v>325</v>
      </c>
      <c r="D21" s="562"/>
      <c r="E21" s="542"/>
      <c r="F21" s="542"/>
      <c r="G21" s="542"/>
      <c r="H21" s="542"/>
      <c r="I21" s="564" t="s">
        <v>34</v>
      </c>
      <c r="J21" s="95"/>
      <c r="K21" s="566"/>
      <c r="L21" s="570"/>
      <c r="M21" s="6"/>
    </row>
    <row r="22" spans="1:28" ht="12" customHeight="1">
      <c r="A22" s="587" t="s">
        <v>326</v>
      </c>
      <c r="B22" s="1675" t="s">
        <v>1235</v>
      </c>
      <c r="C22" s="1676"/>
      <c r="D22" s="1676"/>
      <c r="E22" s="1676"/>
      <c r="F22" s="1676"/>
      <c r="G22" s="1676"/>
      <c r="H22" s="1676"/>
      <c r="I22" s="1672"/>
      <c r="J22" s="571"/>
      <c r="K22" s="566"/>
      <c r="L22" s="542"/>
      <c r="M22" s="586"/>
      <c r="O22" s="1690"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690"/>
      <c r="Q22" s="1690"/>
      <c r="R22" s="1690"/>
      <c r="S22" s="1690"/>
      <c r="T22" s="1690"/>
      <c r="U22" s="1690"/>
    </row>
    <row r="23" spans="1:28" ht="24" customHeight="1">
      <c r="A23" s="573"/>
      <c r="B23" s="1676"/>
      <c r="C23" s="1676"/>
      <c r="D23" s="1676"/>
      <c r="E23" s="1676"/>
      <c r="F23" s="1676"/>
      <c r="G23" s="1676"/>
      <c r="H23" s="1676"/>
      <c r="I23" s="1672"/>
      <c r="J23" s="5"/>
      <c r="K23" s="566"/>
      <c r="L23" s="542"/>
      <c r="M23" s="6"/>
      <c r="O23" s="1690"/>
      <c r="P23" s="1690"/>
      <c r="Q23" s="1690"/>
      <c r="R23" s="1690"/>
      <c r="S23" s="1690"/>
      <c r="T23" s="1690"/>
      <c r="U23" s="1690"/>
    </row>
    <row r="24" spans="1:28" s="590" customFormat="1" ht="12" customHeight="1">
      <c r="A24" s="584" t="s">
        <v>327</v>
      </c>
      <c r="B24" s="595" t="s">
        <v>1236</v>
      </c>
      <c r="C24" s="599"/>
      <c r="D24" s="599"/>
      <c r="E24" s="599"/>
      <c r="F24" s="599"/>
      <c r="G24" s="599"/>
      <c r="H24" s="599"/>
      <c r="I24" s="588"/>
      <c r="J24" s="588"/>
      <c r="K24" s="589"/>
      <c r="L24" s="588"/>
      <c r="M24" s="589"/>
    </row>
    <row r="25" spans="1:28" ht="13.5" customHeight="1">
      <c r="A25" s="591"/>
      <c r="B25" s="592" t="s">
        <v>886</v>
      </c>
      <c r="C25" s="562"/>
      <c r="D25" s="562"/>
      <c r="E25" s="562"/>
      <c r="F25" s="562"/>
      <c r="G25" s="562"/>
      <c r="H25" s="542"/>
      <c r="I25" s="542"/>
      <c r="J25" s="542"/>
      <c r="K25" s="566"/>
      <c r="L25" s="542"/>
      <c r="M25" s="566"/>
    </row>
    <row r="26" spans="1:28">
      <c r="A26" s="591"/>
      <c r="B26" s="542" t="s">
        <v>318</v>
      </c>
      <c r="C26" s="562" t="s">
        <v>1237</v>
      </c>
      <c r="D26" s="562"/>
      <c r="E26" s="542"/>
      <c r="F26" s="542"/>
      <c r="G26" s="542"/>
      <c r="H26" s="542"/>
      <c r="I26" s="564" t="s">
        <v>34</v>
      </c>
      <c r="J26" s="95">
        <v>35000</v>
      </c>
      <c r="K26" s="566"/>
      <c r="L26" s="542"/>
      <c r="M26" s="95"/>
    </row>
    <row r="27" spans="1:28" ht="12" customHeight="1">
      <c r="A27" s="591"/>
      <c r="B27" s="542" t="s">
        <v>319</v>
      </c>
      <c r="C27" s="562" t="s">
        <v>1238</v>
      </c>
      <c r="D27" s="562"/>
      <c r="E27" s="542"/>
      <c r="F27" s="542"/>
      <c r="G27" s="542"/>
      <c r="H27" s="542"/>
      <c r="I27" s="564" t="s">
        <v>34</v>
      </c>
      <c r="J27" s="5">
        <v>189952</v>
      </c>
      <c r="K27" s="566"/>
      <c r="L27" s="542"/>
      <c r="M27" s="6"/>
    </row>
    <row r="28" spans="1:28" ht="12" customHeight="1">
      <c r="A28" s="591"/>
      <c r="B28" s="542" t="s">
        <v>321</v>
      </c>
      <c r="C28" s="562" t="s">
        <v>1239</v>
      </c>
      <c r="D28" s="562"/>
      <c r="E28" s="562"/>
      <c r="F28" s="542"/>
      <c r="G28" s="542"/>
      <c r="H28" s="542"/>
      <c r="I28" s="564" t="s">
        <v>34</v>
      </c>
      <c r="J28" s="5"/>
      <c r="K28" s="566"/>
      <c r="L28" s="542"/>
      <c r="M28" s="6"/>
    </row>
    <row r="29" spans="1:28" ht="12" customHeight="1">
      <c r="A29" s="591"/>
      <c r="B29" s="585" t="s">
        <v>328</v>
      </c>
      <c r="C29" s="593" t="s">
        <v>1240</v>
      </c>
      <c r="D29" s="562"/>
      <c r="E29" s="542"/>
      <c r="F29" s="542"/>
      <c r="G29" s="542"/>
      <c r="H29" s="542"/>
      <c r="I29" s="564" t="s">
        <v>34</v>
      </c>
      <c r="J29" s="95"/>
      <c r="K29" s="566"/>
      <c r="L29" s="542"/>
      <c r="M29" s="95"/>
    </row>
    <row r="30" spans="1:28" ht="14.25" customHeight="1">
      <c r="A30" s="587" t="s">
        <v>329</v>
      </c>
      <c r="B30" s="562" t="s">
        <v>330</v>
      </c>
      <c r="C30" s="562"/>
      <c r="D30" s="562"/>
      <c r="E30" s="562"/>
      <c r="F30" s="562"/>
      <c r="G30" s="562"/>
      <c r="H30" s="562"/>
      <c r="I30" s="562"/>
      <c r="J30" s="5"/>
      <c r="K30" s="566"/>
      <c r="L30" s="542"/>
      <c r="M30" s="6"/>
    </row>
    <row r="31" spans="1:28" ht="14.25" customHeight="1">
      <c r="A31" s="587" t="s">
        <v>331</v>
      </c>
      <c r="B31" s="593" t="s">
        <v>332</v>
      </c>
      <c r="C31" s="562"/>
      <c r="D31" s="562"/>
      <c r="E31" s="562"/>
      <c r="F31" s="562"/>
      <c r="G31" s="562"/>
      <c r="H31" s="562"/>
      <c r="I31" s="542"/>
      <c r="J31" s="571"/>
      <c r="K31" s="566"/>
      <c r="L31" s="542"/>
      <c r="M31" s="605"/>
    </row>
    <row r="32" spans="1:28" ht="24" customHeight="1">
      <c r="A32" s="591"/>
      <c r="B32" s="1682" t="s">
        <v>333</v>
      </c>
      <c r="C32" s="1682"/>
      <c r="D32" s="1682"/>
      <c r="E32" s="1682"/>
      <c r="F32" s="1682"/>
      <c r="G32" s="1682"/>
      <c r="H32" s="1682"/>
      <c r="I32" s="564"/>
      <c r="J32" s="95"/>
      <c r="K32" s="566"/>
      <c r="L32" s="542"/>
      <c r="M32" s="373"/>
    </row>
    <row r="33" spans="1:23" ht="12" customHeight="1">
      <c r="A33" s="128" t="s">
        <v>127</v>
      </c>
      <c r="B33" s="562" t="s">
        <v>334</v>
      </c>
      <c r="C33" s="542"/>
      <c r="D33" s="562"/>
      <c r="E33" s="542"/>
      <c r="F33" s="542"/>
      <c r="G33" s="542"/>
      <c r="H33" s="542"/>
      <c r="I33" s="542"/>
      <c r="J33" s="571"/>
      <c r="K33" s="566"/>
      <c r="L33" s="542"/>
      <c r="M33" s="566"/>
      <c r="O33" s="594"/>
      <c r="P33" s="560"/>
      <c r="Q33" s="560"/>
      <c r="R33" s="560"/>
      <c r="S33" s="560"/>
      <c r="T33" s="560"/>
      <c r="U33" s="560"/>
      <c r="V33" s="560"/>
    </row>
    <row r="34" spans="1:23" ht="13.5" customHeight="1">
      <c r="A34" s="591"/>
      <c r="B34" s="585" t="s">
        <v>318</v>
      </c>
      <c r="C34" s="1681" t="s">
        <v>1241</v>
      </c>
      <c r="D34" s="1681"/>
      <c r="E34" s="1681"/>
      <c r="F34" s="1681"/>
      <c r="G34" s="1681"/>
      <c r="H34" s="1681"/>
      <c r="I34" s="1681"/>
      <c r="J34" s="95"/>
      <c r="K34" s="566"/>
      <c r="L34" s="542"/>
      <c r="M34" s="95"/>
      <c r="O34" s="596"/>
      <c r="P34" s="129"/>
      <c r="Q34" s="129"/>
      <c r="R34" s="129"/>
      <c r="S34" s="129"/>
      <c r="T34" s="129"/>
      <c r="U34" s="303"/>
      <c r="V34" s="303"/>
      <c r="W34" s="303"/>
    </row>
    <row r="35" spans="1:23" ht="26.25" customHeight="1">
      <c r="A35" s="572" t="s">
        <v>335</v>
      </c>
      <c r="B35" s="585" t="s">
        <v>319</v>
      </c>
      <c r="C35" s="1682" t="s">
        <v>336</v>
      </c>
      <c r="D35" s="1682"/>
      <c r="E35" s="1682"/>
      <c r="F35" s="1682"/>
      <c r="G35" s="1682"/>
      <c r="H35" s="1682"/>
      <c r="I35" s="597" t="s">
        <v>34</v>
      </c>
      <c r="J35" s="582">
        <f>Calculations!R104</f>
        <v>4000000</v>
      </c>
      <c r="K35" s="566"/>
      <c r="L35" s="542"/>
      <c r="M35" s="566"/>
      <c r="O35" s="303"/>
      <c r="P35" s="303"/>
      <c r="Q35" s="303"/>
      <c r="R35" s="303"/>
      <c r="S35" s="303"/>
      <c r="T35" s="303"/>
      <c r="U35" s="303"/>
      <c r="V35" s="303"/>
      <c r="W35" s="303"/>
    </row>
    <row r="36" spans="1:23" ht="14.25" customHeight="1" thickBot="1">
      <c r="A36" s="591"/>
      <c r="B36" s="585" t="s">
        <v>321</v>
      </c>
      <c r="C36" s="562" t="s">
        <v>1242</v>
      </c>
      <c r="D36" s="562"/>
      <c r="E36" s="562"/>
      <c r="F36" s="562"/>
      <c r="G36" s="562"/>
      <c r="H36" s="562"/>
      <c r="I36" s="597" t="s">
        <v>34</v>
      </c>
      <c r="J36" s="5"/>
      <c r="K36" s="566"/>
      <c r="L36" s="542"/>
      <c r="M36" s="94"/>
      <c r="O36" s="240"/>
      <c r="P36" s="100"/>
      <c r="Q36" s="100"/>
      <c r="R36" s="100"/>
      <c r="S36" s="100"/>
      <c r="T36" s="100"/>
      <c r="U36" s="100"/>
      <c r="V36" s="560"/>
    </row>
    <row r="37" spans="1:23" ht="14.25" customHeight="1" thickBot="1">
      <c r="A37" s="591"/>
      <c r="B37" s="585" t="s">
        <v>328</v>
      </c>
      <c r="C37" s="593" t="s">
        <v>1243</v>
      </c>
      <c r="D37" s="562"/>
      <c r="E37" s="562"/>
      <c r="F37" s="562"/>
      <c r="G37" s="562"/>
      <c r="H37" s="562"/>
      <c r="I37" s="597"/>
      <c r="J37" s="571"/>
      <c r="K37" s="566"/>
      <c r="L37" s="542"/>
      <c r="M37" s="598"/>
      <c r="N37" s="1689" t="str">
        <f>IF(AND(OR(J38&gt;0,M38&gt;0),T37&lt;&gt;"X"),_xlfn.CONCAT("Districts with amounts on this line should have a FY ",TwoYearsPrior," Request Letter on file with ADE. Use the check box in T39 after verifying that ADE has the letter."),"")</f>
        <v/>
      </c>
      <c r="O37" s="1689"/>
      <c r="P37" s="1689"/>
      <c r="Q37" s="1689"/>
      <c r="R37" s="1689"/>
      <c r="S37" s="1689"/>
      <c r="T37" s="59"/>
    </row>
    <row r="38" spans="1:23" ht="12.75" customHeight="1">
      <c r="A38" s="591"/>
      <c r="B38" s="562"/>
      <c r="C38" s="1344" t="str">
        <f>_xlfn.CONCAT("FY ",TwoYearsPrior," (A.R.S. Section 15-910.M, as amended by Laws 2022, Ch. 285, §3)")</f>
        <v>FY 2023 (A.R.S. Section 15-910.M, as amended by Laws 2022, Ch. 285, §3)</v>
      </c>
      <c r="D38" s="599"/>
      <c r="E38" s="562"/>
      <c r="F38" s="562"/>
      <c r="G38" s="562"/>
      <c r="H38" s="562"/>
      <c r="I38" s="597"/>
      <c r="J38" s="95"/>
      <c r="K38" s="566"/>
      <c r="L38" s="542"/>
      <c r="M38" s="95"/>
      <c r="N38" s="1689"/>
      <c r="O38" s="1689"/>
      <c r="P38" s="1689"/>
      <c r="Q38" s="1689"/>
      <c r="R38" s="1689"/>
      <c r="S38" s="1689"/>
      <c r="T38" s="377"/>
    </row>
    <row r="39" spans="1:23" ht="14.25" customHeight="1">
      <c r="A39" s="572" t="s">
        <v>335</v>
      </c>
      <c r="B39" s="585" t="s">
        <v>337</v>
      </c>
      <c r="C39" s="1680" t="s">
        <v>338</v>
      </c>
      <c r="D39" s="1680"/>
      <c r="E39" s="1680"/>
      <c r="F39" s="1680"/>
      <c r="G39" s="1680"/>
      <c r="H39" s="1680"/>
      <c r="I39" s="1680"/>
      <c r="J39" s="95"/>
      <c r="K39" s="566"/>
      <c r="L39" s="542"/>
      <c r="M39" s="95"/>
      <c r="O39" s="601"/>
      <c r="P39" s="100"/>
      <c r="Q39" s="100"/>
      <c r="R39" s="100"/>
      <c r="S39" s="106"/>
      <c r="T39" s="377"/>
    </row>
    <row r="40" spans="1:23" ht="13.5" customHeight="1">
      <c r="A40" s="568" t="s">
        <v>335</v>
      </c>
      <c r="B40" s="585" t="s">
        <v>339</v>
      </c>
      <c r="C40" s="1343" t="str">
        <f>_xlfn.CONCAT("FY ",PriorFiscalYear," Performance pay unexpended budget carryforward (from Calculation page,")</f>
        <v>FY 2024 Performance pay unexpended budget carryforward (from Calculation page,</v>
      </c>
      <c r="D40" s="593"/>
      <c r="E40" s="593"/>
      <c r="F40" s="593"/>
      <c r="G40" s="593"/>
      <c r="H40" s="593"/>
      <c r="I40" s="602"/>
      <c r="K40" s="566"/>
      <c r="L40" s="542"/>
      <c r="M40" s="566"/>
      <c r="N40" s="560"/>
      <c r="O40" s="240"/>
      <c r="P40" s="100"/>
      <c r="Q40" s="100"/>
      <c r="R40" s="100"/>
      <c r="S40" s="100"/>
      <c r="T40" s="100"/>
    </row>
    <row r="41" spans="1:23" ht="13.5" customHeight="1">
      <c r="A41" s="572"/>
      <c r="B41" s="599"/>
      <c r="C41" s="603" t="s">
        <v>340</v>
      </c>
      <c r="D41" s="595"/>
      <c r="E41" s="595"/>
      <c r="F41" s="595"/>
      <c r="G41" s="595"/>
      <c r="H41" s="595"/>
      <c r="I41" s="602"/>
      <c r="J41" s="1345">
        <f>Calculations!R100</f>
        <v>0</v>
      </c>
      <c r="K41" s="566"/>
      <c r="L41" s="542"/>
      <c r="M41" s="566"/>
      <c r="O41" s="560"/>
      <c r="P41" s="394"/>
      <c r="Q41" s="100"/>
      <c r="R41" s="100"/>
      <c r="S41" s="100"/>
      <c r="T41" s="100"/>
    </row>
    <row r="42" spans="1:23" ht="12.75" customHeight="1">
      <c r="A42" s="604"/>
      <c r="B42" s="585" t="s">
        <v>341</v>
      </c>
      <c r="C42" s="603" t="s">
        <v>1244</v>
      </c>
      <c r="D42" s="595"/>
      <c r="E42" s="595"/>
      <c r="F42" s="595"/>
      <c r="G42" s="595"/>
      <c r="H42" s="595"/>
      <c r="I42" s="602"/>
      <c r="J42" s="33"/>
      <c r="K42" s="605"/>
      <c r="L42" s="542"/>
      <c r="M42" s="566"/>
      <c r="O42" s="594"/>
      <c r="P42" s="594"/>
      <c r="Q42" s="100"/>
      <c r="R42" s="100"/>
      <c r="S42" s="100"/>
      <c r="T42" s="100"/>
    </row>
    <row r="43" spans="1:23" ht="12.75" customHeight="1">
      <c r="A43" s="606" t="s">
        <v>335</v>
      </c>
      <c r="B43" s="585" t="s">
        <v>342</v>
      </c>
      <c r="C43" s="1685" t="s">
        <v>1245</v>
      </c>
      <c r="D43" s="1685"/>
      <c r="E43" s="1685"/>
      <c r="F43" s="1685"/>
      <c r="G43" s="1685"/>
      <c r="H43" s="1685"/>
      <c r="I43" s="1685"/>
      <c r="J43" s="42"/>
      <c r="K43" s="566"/>
      <c r="L43" s="542"/>
      <c r="M43" s="566"/>
    </row>
    <row r="44" spans="1:23" ht="24" customHeight="1">
      <c r="A44" s="607" t="s">
        <v>343</v>
      </c>
      <c r="B44" s="1679" t="s">
        <v>344</v>
      </c>
      <c r="C44" s="1679"/>
      <c r="D44" s="1679"/>
      <c r="E44" s="1679"/>
      <c r="F44" s="1679"/>
      <c r="G44" s="1679"/>
      <c r="H44" s="1679"/>
      <c r="I44" s="1679"/>
      <c r="J44" s="608"/>
      <c r="K44" s="566"/>
      <c r="L44" s="542"/>
      <c r="M44" s="566"/>
    </row>
    <row r="45" spans="1:23" ht="12.75" customHeight="1">
      <c r="A45" s="609"/>
      <c r="B45" s="577" t="s">
        <v>318</v>
      </c>
      <c r="C45" s="610" t="s">
        <v>1246</v>
      </c>
      <c r="D45" s="577"/>
      <c r="E45" s="577"/>
      <c r="F45" s="577"/>
      <c r="G45" s="577"/>
      <c r="H45" s="577"/>
      <c r="I45" s="611"/>
      <c r="J45" s="612"/>
      <c r="K45" s="566"/>
      <c r="L45" s="542"/>
      <c r="M45" s="566"/>
    </row>
    <row r="46" spans="1:23" ht="12.75" customHeight="1">
      <c r="A46" s="609"/>
      <c r="B46" s="577"/>
      <c r="C46" s="1688"/>
      <c r="D46" s="1688"/>
      <c r="E46" s="1688"/>
      <c r="F46" s="1688"/>
      <c r="G46" s="1688"/>
      <c r="H46" s="577"/>
      <c r="I46" s="611"/>
      <c r="J46" s="45"/>
      <c r="K46" s="542"/>
      <c r="L46" s="566"/>
    </row>
    <row r="47" spans="1:23" ht="12.75" customHeight="1">
      <c r="A47" s="609"/>
      <c r="B47" s="577" t="s">
        <v>319</v>
      </c>
      <c r="C47" s="610" t="s">
        <v>1247</v>
      </c>
      <c r="D47" s="610"/>
      <c r="E47" s="610"/>
      <c r="F47" s="610"/>
      <c r="G47" s="577"/>
      <c r="H47" s="577"/>
      <c r="I47" s="611"/>
      <c r="J47" s="46"/>
      <c r="K47" s="566"/>
      <c r="L47" s="542"/>
      <c r="M47" s="566"/>
    </row>
    <row r="48" spans="1:23" ht="12.75" customHeight="1">
      <c r="A48" s="609"/>
      <c r="B48" s="614" t="s">
        <v>321</v>
      </c>
      <c r="C48" s="610" t="s">
        <v>1248</v>
      </c>
      <c r="D48" s="610"/>
      <c r="E48" s="610"/>
      <c r="F48" s="610"/>
      <c r="G48" s="610"/>
      <c r="H48" s="577"/>
      <c r="I48" s="611"/>
      <c r="J48" s="46"/>
      <c r="K48" s="566"/>
      <c r="L48" s="542"/>
      <c r="M48" s="566"/>
    </row>
    <row r="49" spans="1:23" hidden="1">
      <c r="A49" s="609"/>
      <c r="B49" s="577"/>
      <c r="C49" s="610"/>
      <c r="D49" s="610"/>
      <c r="E49" s="577"/>
      <c r="F49" s="577"/>
      <c r="G49" s="577"/>
      <c r="H49" s="577"/>
      <c r="I49" s="611"/>
      <c r="J49" s="55"/>
      <c r="K49" s="542"/>
      <c r="L49" s="566"/>
    </row>
    <row r="50" spans="1:23" ht="12.75" customHeight="1">
      <c r="A50" s="609"/>
      <c r="B50" s="616" t="s">
        <v>328</v>
      </c>
      <c r="C50" s="610" t="s">
        <v>1249</v>
      </c>
      <c r="D50" s="610"/>
      <c r="E50" s="610"/>
      <c r="F50" s="610"/>
      <c r="G50" s="577"/>
      <c r="H50" s="577"/>
      <c r="I50" s="611"/>
      <c r="J50" s="54"/>
      <c r="K50" s="566"/>
      <c r="L50" s="542"/>
      <c r="M50" s="566"/>
    </row>
    <row r="51" spans="1:23" ht="12.75" customHeight="1">
      <c r="A51" s="609"/>
      <c r="B51" s="578" t="s">
        <v>337</v>
      </c>
      <c r="C51" s="610" t="s">
        <v>345</v>
      </c>
      <c r="D51" s="577"/>
      <c r="E51" s="610"/>
      <c r="F51" s="610"/>
      <c r="G51" s="577"/>
      <c r="H51" s="577"/>
      <c r="I51" s="611"/>
      <c r="J51" s="46"/>
      <c r="K51" s="542"/>
      <c r="L51" s="566"/>
    </row>
    <row r="52" spans="1:23" ht="12.75" customHeight="1">
      <c r="A52" s="609"/>
      <c r="B52" s="578" t="s">
        <v>339</v>
      </c>
      <c r="C52" s="610" t="s">
        <v>346</v>
      </c>
      <c r="D52" s="1684"/>
      <c r="E52" s="1684"/>
      <c r="F52" s="1684"/>
      <c r="G52" s="1684"/>
      <c r="H52" s="610"/>
      <c r="I52" s="611"/>
      <c r="J52" s="46"/>
      <c r="K52" s="566"/>
      <c r="L52" s="542"/>
      <c r="M52" s="566"/>
    </row>
    <row r="53" spans="1:23" ht="13.5" customHeight="1">
      <c r="A53" s="1519" t="s">
        <v>347</v>
      </c>
      <c r="B53" s="1511" t="s">
        <v>1291</v>
      </c>
      <c r="C53" s="1511"/>
      <c r="D53" s="1511"/>
      <c r="E53" s="1511"/>
      <c r="F53" s="1511"/>
      <c r="G53" s="1511"/>
      <c r="H53" s="1511"/>
      <c r="I53" s="611"/>
      <c r="J53" s="46">
        <v>247500</v>
      </c>
      <c r="K53" s="566"/>
      <c r="L53" s="542"/>
      <c r="M53" s="48"/>
      <c r="Q53" s="374"/>
    </row>
    <row r="54" spans="1:23" ht="14.25" customHeight="1">
      <c r="A54" s="1496" t="s">
        <v>130</v>
      </c>
      <c r="B54" s="1343" t="str">
        <f>_xlfn.CONCAT("FY ",Cover!E3," General Budget Limit (column A, lines 1 through 10)")</f>
        <v>FY 2025 General Budget Limit (column A, lines 1 through 10)</v>
      </c>
      <c r="C54" s="562"/>
      <c r="D54" s="562"/>
      <c r="E54" s="562"/>
      <c r="F54" s="562"/>
      <c r="G54" s="562"/>
      <c r="H54" s="562"/>
      <c r="I54" s="566"/>
      <c r="K54" s="566"/>
      <c r="L54" s="542" t="s">
        <v>34</v>
      </c>
      <c r="M54" s="566"/>
      <c r="O54" s="617"/>
      <c r="P54" s="1518"/>
      <c r="Q54" s="1301"/>
      <c r="R54" s="1510"/>
      <c r="S54" s="596"/>
      <c r="T54" s="596"/>
    </row>
    <row r="55" spans="1:23" ht="14.25" customHeight="1" thickBot="1">
      <c r="A55" s="568"/>
      <c r="B55" s="570" t="s">
        <v>348</v>
      </c>
      <c r="C55" s="542"/>
      <c r="D55" s="562"/>
      <c r="E55" s="542"/>
      <c r="F55" s="542"/>
      <c r="G55" s="542"/>
      <c r="H55" s="542"/>
      <c r="I55" s="564" t="s">
        <v>316</v>
      </c>
      <c r="J55" s="1346">
        <f>SUM(J10:J43)+SUM(J46:J53)</f>
        <v>32686373</v>
      </c>
      <c r="K55" s="566"/>
      <c r="L55" s="542"/>
      <c r="M55" s="566"/>
      <c r="O55" s="100"/>
      <c r="P55" s="1518"/>
      <c r="Q55" s="596"/>
      <c r="R55" s="1510"/>
      <c r="S55" s="560"/>
      <c r="T55" s="560"/>
      <c r="U55" s="560"/>
      <c r="V55" s="560"/>
    </row>
    <row r="56" spans="1:23" ht="12.75" customHeight="1" thickTop="1">
      <c r="A56" s="1497" t="s">
        <v>131</v>
      </c>
      <c r="B56" s="593" t="s">
        <v>349</v>
      </c>
      <c r="C56" s="560"/>
      <c r="D56" s="560"/>
      <c r="E56" s="560"/>
      <c r="F56" s="560"/>
      <c r="G56" s="560"/>
      <c r="H56" s="560"/>
      <c r="J56" s="566"/>
      <c r="K56" s="566"/>
      <c r="L56" s="542"/>
      <c r="O56" s="129"/>
      <c r="P56" s="1518"/>
      <c r="Q56" s="239"/>
      <c r="R56" s="1510"/>
      <c r="S56" s="129"/>
      <c r="T56" s="129"/>
      <c r="U56" s="596"/>
      <c r="V56" s="618"/>
    </row>
    <row r="57" spans="1:23" ht="12.75" customHeight="1" thickBot="1">
      <c r="A57" s="619"/>
      <c r="B57" s="100" t="s">
        <v>350</v>
      </c>
      <c r="C57" s="560"/>
      <c r="D57" s="560"/>
      <c r="E57" s="560"/>
      <c r="F57" s="560"/>
      <c r="G57" s="560"/>
      <c r="H57" s="560"/>
      <c r="I57" s="564"/>
      <c r="J57" s="620"/>
      <c r="K57" s="566"/>
      <c r="L57" s="564" t="s">
        <v>316</v>
      </c>
      <c r="M57" s="1347">
        <f>SUM(M10:M39)+M53</f>
        <v>1448839</v>
      </c>
      <c r="P57" s="1518"/>
      <c r="Q57" s="239"/>
      <c r="R57" s="1510"/>
      <c r="U57" s="560"/>
      <c r="V57" s="560"/>
    </row>
    <row r="58" spans="1:23" ht="13.5" customHeight="1" thickTop="1">
      <c r="A58" s="621"/>
      <c r="B58" s="573"/>
      <c r="C58" s="542"/>
      <c r="D58" s="542"/>
      <c r="E58" s="542"/>
      <c r="F58" s="542"/>
      <c r="G58" s="542"/>
      <c r="H58" s="542"/>
      <c r="I58" s="564"/>
      <c r="J58" s="542"/>
      <c r="K58" s="566"/>
      <c r="L58" s="542"/>
      <c r="M58" s="566"/>
      <c r="P58" s="374"/>
      <c r="Q58" s="622"/>
      <c r="R58" s="377"/>
      <c r="U58" s="1603"/>
      <c r="V58" s="1683"/>
    </row>
    <row r="59" spans="1:23" ht="13.5" customHeight="1">
      <c r="A59" s="545" t="s">
        <v>335</v>
      </c>
      <c r="B59" s="623" t="s">
        <v>351</v>
      </c>
      <c r="C59" s="100"/>
      <c r="D59" s="562"/>
      <c r="E59" s="562"/>
      <c r="F59" s="100"/>
      <c r="G59" s="562"/>
      <c r="H59" s="562"/>
      <c r="I59" s="562"/>
      <c r="J59" s="562"/>
      <c r="K59" s="562"/>
      <c r="L59" s="562"/>
      <c r="M59" s="374"/>
      <c r="P59" s="624"/>
      <c r="Q59" s="106"/>
      <c r="R59" s="377"/>
      <c r="U59" s="1603"/>
      <c r="V59" s="1603"/>
    </row>
    <row r="60" spans="1:23" ht="12" customHeight="1">
      <c r="A60" s="545"/>
      <c r="B60" s="573"/>
      <c r="C60" s="374"/>
      <c r="D60" s="542"/>
      <c r="E60" s="542"/>
      <c r="F60" s="542"/>
      <c r="G60" s="542"/>
      <c r="H60" s="542"/>
      <c r="I60" s="542"/>
      <c r="J60" s="542"/>
      <c r="K60" s="542"/>
      <c r="L60" s="542"/>
      <c r="M60" s="374"/>
      <c r="P60" s="100"/>
      <c r="Q60" s="128"/>
      <c r="R60" s="377"/>
      <c r="W60" s="303"/>
    </row>
    <row r="61" spans="1:23" ht="12.75" customHeight="1">
      <c r="A61" s="625"/>
      <c r="B61" s="374"/>
      <c r="C61" s="542"/>
      <c r="D61" s="542"/>
      <c r="E61" s="542"/>
      <c r="F61" s="542"/>
      <c r="G61" s="542"/>
      <c r="H61" s="542"/>
      <c r="I61" s="542"/>
      <c r="J61" s="542"/>
      <c r="K61" s="542"/>
      <c r="L61" s="542"/>
      <c r="M61" s="374"/>
      <c r="P61" s="240"/>
      <c r="Q61" s="626"/>
      <c r="R61" s="627"/>
    </row>
    <row r="62" spans="1:23" ht="12.75" customHeight="1">
      <c r="A62" s="628"/>
      <c r="B62" s="629"/>
      <c r="C62" s="629"/>
      <c r="D62" s="629"/>
      <c r="E62" s="629"/>
      <c r="F62" s="629"/>
      <c r="G62" s="629"/>
      <c r="H62" s="629"/>
      <c r="I62" s="629"/>
      <c r="J62" s="629"/>
      <c r="K62" s="629"/>
      <c r="L62" s="629"/>
      <c r="M62" s="629"/>
      <c r="P62" s="100"/>
    </row>
    <row r="63" spans="1:23" ht="12.75" customHeight="1">
      <c r="A63" s="628"/>
      <c r="B63" s="629"/>
      <c r="C63" s="629"/>
      <c r="D63" s="629"/>
      <c r="E63" s="629"/>
      <c r="F63" s="629"/>
      <c r="G63" s="629"/>
      <c r="H63" s="629"/>
      <c r="I63" s="629"/>
      <c r="J63" s="629"/>
      <c r="K63" s="629"/>
      <c r="L63" s="629"/>
      <c r="M63" s="629"/>
      <c r="O63" s="100"/>
      <c r="P63" s="100"/>
      <c r="Q63" s="100"/>
      <c r="R63" s="100"/>
      <c r="T63" s="100"/>
    </row>
    <row r="64" spans="1:23" ht="12.75" customHeight="1">
      <c r="A64" s="623"/>
      <c r="B64" s="629"/>
      <c r="C64" s="629"/>
      <c r="D64" s="629"/>
      <c r="E64" s="629"/>
      <c r="F64" s="629"/>
      <c r="G64" s="629"/>
      <c r="H64" s="629"/>
      <c r="I64" s="629"/>
      <c r="J64" s="629"/>
      <c r="K64" s="629"/>
      <c r="L64" s="629"/>
      <c r="M64" s="629"/>
    </row>
    <row r="65" spans="1:22" ht="11.25" customHeight="1">
      <c r="A65" s="630"/>
      <c r="B65" s="629"/>
      <c r="C65" s="629"/>
      <c r="D65" s="629"/>
      <c r="E65" s="629"/>
      <c r="F65" s="629"/>
      <c r="G65" s="629"/>
      <c r="H65" s="629"/>
      <c r="I65" s="629"/>
      <c r="J65" s="629"/>
      <c r="K65" s="629"/>
      <c r="L65" s="629"/>
      <c r="M65" s="629"/>
    </row>
    <row r="66" spans="1:22" ht="12.75" customHeight="1">
      <c r="A66" s="631"/>
      <c r="B66" s="600"/>
      <c r="C66" s="600"/>
      <c r="D66" s="600"/>
      <c r="E66" s="600"/>
      <c r="F66" s="600"/>
      <c r="G66" s="600"/>
      <c r="H66" s="600"/>
      <c r="I66" s="600"/>
      <c r="J66" s="600"/>
      <c r="K66" s="600"/>
      <c r="L66" s="600"/>
      <c r="M66" s="600"/>
      <c r="U66" s="100"/>
      <c r="V66" s="560"/>
    </row>
    <row r="67" spans="1:22" ht="53.25" customHeight="1">
      <c r="A67" s="632"/>
      <c r="B67" s="306"/>
      <c r="C67" s="306"/>
      <c r="D67" s="306"/>
      <c r="E67" s="306"/>
      <c r="F67" s="306"/>
      <c r="G67" s="306"/>
      <c r="H67" s="306"/>
      <c r="I67" s="306"/>
      <c r="J67" s="306"/>
      <c r="K67" s="306"/>
      <c r="L67" s="306"/>
      <c r="M67" s="306"/>
    </row>
    <row r="68" spans="1:22" ht="10.5" customHeight="1">
      <c r="A68" s="633"/>
      <c r="B68" s="634"/>
      <c r="C68" s="634"/>
      <c r="D68" s="634"/>
      <c r="E68" s="634"/>
      <c r="F68" s="634"/>
      <c r="G68" s="634"/>
      <c r="H68" s="634"/>
      <c r="I68" s="634"/>
      <c r="J68" s="634"/>
      <c r="K68" s="634"/>
      <c r="L68" s="634"/>
      <c r="M68" s="634"/>
    </row>
    <row r="69" spans="1:22" ht="4.5" customHeight="1">
      <c r="A69" s="635"/>
      <c r="B69" s="600"/>
      <c r="C69" s="600"/>
      <c r="D69" s="600"/>
      <c r="E69" s="600"/>
      <c r="F69" s="600"/>
      <c r="G69" s="600"/>
      <c r="H69" s="600"/>
      <c r="I69" s="600"/>
      <c r="J69" s="600"/>
      <c r="K69" s="600"/>
      <c r="L69" s="600"/>
      <c r="M69" s="600"/>
    </row>
    <row r="70" spans="1:22" ht="24" customHeight="1">
      <c r="A70" s="636"/>
      <c r="B70" s="629"/>
      <c r="C70" s="629"/>
      <c r="D70" s="629"/>
      <c r="E70" s="629"/>
      <c r="F70" s="629"/>
      <c r="G70" s="629"/>
      <c r="H70" s="629"/>
      <c r="I70" s="629"/>
      <c r="J70" s="629"/>
      <c r="K70" s="629"/>
      <c r="L70" s="629"/>
      <c r="M70" s="629"/>
    </row>
    <row r="71" spans="1:22" ht="27.75" customHeight="1">
      <c r="A71" s="562"/>
      <c r="B71" s="562"/>
      <c r="C71" s="551"/>
      <c r="D71" s="551"/>
      <c r="E71" s="551"/>
      <c r="F71" s="551"/>
      <c r="G71" s="637"/>
      <c r="H71" s="100"/>
      <c r="I71" s="562"/>
      <c r="J71" s="562"/>
      <c r="K71" s="562"/>
      <c r="L71" s="562"/>
      <c r="M71" s="100"/>
    </row>
    <row r="72" spans="1:22" ht="25.5" customHeight="1">
      <c r="A72" s="636"/>
      <c r="B72" s="629"/>
      <c r="C72" s="629"/>
      <c r="D72" s="629"/>
      <c r="E72" s="629"/>
      <c r="F72" s="629"/>
      <c r="G72" s="629"/>
      <c r="H72" s="629"/>
      <c r="I72" s="629"/>
      <c r="J72" s="629"/>
      <c r="K72" s="629"/>
      <c r="L72" s="629"/>
      <c r="M72" s="629"/>
    </row>
    <row r="73" spans="1:22" ht="12.75" customHeight="1">
      <c r="A73" s="632"/>
      <c r="B73" s="306"/>
      <c r="C73" s="306"/>
      <c r="D73" s="306"/>
      <c r="E73" s="306"/>
      <c r="F73" s="306"/>
      <c r="G73" s="306"/>
      <c r="H73" s="306"/>
      <c r="I73" s="306"/>
      <c r="J73" s="306"/>
      <c r="K73" s="306"/>
      <c r="L73" s="306"/>
      <c r="M73" s="306"/>
    </row>
  </sheetData>
  <sheetProtection sheet="1" formatCells="0" formatColumns="0" formatRows="0"/>
  <mergeCells count="24">
    <mergeCell ref="N9:S10"/>
    <mergeCell ref="N15:S17"/>
    <mergeCell ref="B18:I18"/>
    <mergeCell ref="C46:G46"/>
    <mergeCell ref="N37:S38"/>
    <mergeCell ref="O22:U23"/>
    <mergeCell ref="B32:H32"/>
    <mergeCell ref="U59:V59"/>
    <mergeCell ref="C39:I39"/>
    <mergeCell ref="C34:I34"/>
    <mergeCell ref="C35:H35"/>
    <mergeCell ref="U58:V58"/>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33" priority="2" stopIfTrue="1" operator="containsText" text="Error">
      <formula>NOT(ISERROR(SEARCH("Error",M10)))</formula>
    </cfRule>
  </conditionalFormatting>
  <conditionalFormatting sqref="M17">
    <cfRule type="containsText" dxfId="32"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ine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0"/>
  <sheetViews>
    <sheetView showGridLines="0" workbookViewId="0">
      <selection activeCell="K29" sqref="K29"/>
    </sheetView>
  </sheetViews>
  <sheetFormatPr defaultColWidth="8.88671875" defaultRowHeight="12.75"/>
  <cols>
    <col min="1" max="3" width="2" style="146" customWidth="1"/>
    <col min="4" max="4" width="8.88671875" style="146" customWidth="1"/>
    <col min="5" max="5" width="23.44140625" style="146" customWidth="1"/>
    <col min="6" max="7" width="10.88671875" style="146" customWidth="1"/>
    <col min="8" max="8" width="11" style="146" customWidth="1"/>
    <col min="9" max="9" width="1.88671875" style="146" customWidth="1"/>
    <col min="10" max="10" width="1" style="146" customWidth="1"/>
    <col min="11" max="11" width="11.88671875" style="146" customWidth="1"/>
    <col min="12" max="12" width="10.88671875" style="146" customWidth="1"/>
    <col min="13" max="26" width="8.88671875" style="146" customWidth="1"/>
    <col min="27" max="16384" width="8.88671875" style="146"/>
  </cols>
  <sheetData>
    <row r="1" spans="1:11">
      <c r="A1" s="1303" t="s">
        <v>952</v>
      </c>
      <c r="B1" s="1304"/>
      <c r="C1" s="1304"/>
      <c r="D1" s="1304"/>
      <c r="E1" s="638" t="str">
        <f>DistrictName</f>
        <v xml:space="preserve">Prescott Unified </v>
      </c>
      <c r="F1" s="1305" t="s">
        <v>446</v>
      </c>
      <c r="G1" s="638" t="str">
        <f>Cover!H1</f>
        <v>Yavapai</v>
      </c>
      <c r="I1" s="1306"/>
      <c r="J1" s="1306" t="s">
        <v>912</v>
      </c>
      <c r="K1" s="639" t="str">
        <f>Cover!S1</f>
        <v>130201000</v>
      </c>
    </row>
    <row r="2" spans="1:11">
      <c r="A2" s="640"/>
      <c r="B2" s="641"/>
      <c r="C2" s="641"/>
      <c r="D2" s="641"/>
      <c r="E2" s="151"/>
      <c r="F2" s="151"/>
      <c r="G2" s="151"/>
      <c r="H2" s="151"/>
      <c r="I2" s="151"/>
      <c r="J2" s="1285" t="s">
        <v>9</v>
      </c>
      <c r="K2" s="642" t="str">
        <f>Cover!C8</f>
        <v>Adopted</v>
      </c>
    </row>
    <row r="3" spans="1:11" ht="18" customHeight="1">
      <c r="A3" s="1697" t="str">
        <f>_xlfn.CONCAT("Calculation of FY ",Cover!E3," Unrestricted Capital Budget Limit
(A.R.S. Section 15-947.D)")</f>
        <v>Calculation of FY 2025 Unrestricted Capital Budget Limit
(A.R.S. Section 15-947.D)</v>
      </c>
      <c r="B3" s="1698"/>
      <c r="C3" s="1698"/>
      <c r="D3" s="1698"/>
      <c r="E3" s="1698"/>
      <c r="F3" s="1698"/>
      <c r="G3" s="1698"/>
      <c r="H3" s="1698"/>
      <c r="I3" s="1698"/>
      <c r="J3" s="1698"/>
      <c r="K3" s="1698"/>
    </row>
    <row r="4" spans="1:11" ht="13.5" customHeight="1">
      <c r="A4" s="1698"/>
      <c r="B4" s="1698"/>
      <c r="C4" s="1698"/>
      <c r="D4" s="1698"/>
      <c r="E4" s="1698"/>
      <c r="F4" s="1698"/>
      <c r="G4" s="1698"/>
      <c r="H4" s="1698"/>
      <c r="I4" s="1698"/>
      <c r="J4" s="1698"/>
      <c r="K4" s="1698"/>
    </row>
    <row r="5" spans="1:11" ht="5.25" customHeight="1">
      <c r="A5" s="643"/>
      <c r="B5" s="644"/>
      <c r="C5" s="644"/>
      <c r="D5" s="644"/>
      <c r="E5" s="151"/>
      <c r="F5" s="151"/>
      <c r="G5" s="151"/>
      <c r="H5" s="151"/>
      <c r="I5" s="151"/>
      <c r="J5" s="151"/>
      <c r="K5" s="151"/>
    </row>
    <row r="6" spans="1:11" ht="30.75" customHeight="1">
      <c r="A6" s="1284" t="s">
        <v>953</v>
      </c>
      <c r="B6" s="645"/>
      <c r="C6" s="645"/>
      <c r="D6" s="646"/>
      <c r="E6" s="647"/>
      <c r="F6" s="647"/>
      <c r="G6" s="647"/>
      <c r="H6" s="647"/>
      <c r="I6" s="647"/>
      <c r="J6" s="647"/>
      <c r="K6" s="648"/>
    </row>
    <row r="7" spans="1:11" ht="12" customHeight="1">
      <c r="A7" s="649"/>
      <c r="B7" s="650" t="s">
        <v>1</v>
      </c>
      <c r="C7" s="651" t="str">
        <f>_xlfn.CONCAT("FY ",PriorFiscalYear," Unrestricted Capital Budget Limit (UCBL)")</f>
        <v>FY 2024 Unrestricted Capital Budget Limit (UCBL)</v>
      </c>
      <c r="E7" s="242"/>
      <c r="F7" s="242"/>
      <c r="G7" s="242"/>
      <c r="H7" s="242"/>
      <c r="I7" s="647"/>
      <c r="J7" s="647"/>
    </row>
    <row r="8" spans="1:11" ht="12.75" customHeight="1">
      <c r="C8" s="1699" t="str">
        <f>_xlfn.CONCAT("  (from FY ",PriorFiscalYear," latest revised Budget, page 8, line 12)")</f>
        <v>(from FY 2024 latest revised Budget, page 8, line 12)</v>
      </c>
      <c r="D8" s="1699"/>
      <c r="E8" s="1699"/>
      <c r="F8" s="1699"/>
      <c r="G8" s="1699"/>
      <c r="H8" s="1699"/>
      <c r="J8" s="265" t="s">
        <v>316</v>
      </c>
      <c r="K8" s="655">
        <f>[1]!UCBLBudgFY</f>
        <v>3165442</v>
      </c>
    </row>
    <row r="9" spans="1:11" ht="14.25" customHeight="1">
      <c r="B9" s="652" t="s">
        <v>2</v>
      </c>
      <c r="C9" s="651" t="s">
        <v>1265</v>
      </c>
      <c r="J9" s="265"/>
      <c r="K9" s="654"/>
    </row>
    <row r="10" spans="1:11" ht="12.75" customHeight="1">
      <c r="C10" s="1699" t="s">
        <v>352</v>
      </c>
      <c r="D10" s="1699"/>
      <c r="E10" s="1699"/>
      <c r="F10" s="1699"/>
      <c r="G10" s="1699"/>
      <c r="H10" s="1699"/>
      <c r="J10" s="265" t="s">
        <v>316</v>
      </c>
      <c r="K10" s="22">
        <v>0</v>
      </c>
    </row>
    <row r="11" spans="1:11" ht="14.25" customHeight="1">
      <c r="B11" s="652" t="s">
        <v>14</v>
      </c>
      <c r="C11" s="1699" t="str">
        <f>_xlfn.CONCAT("Adjusted amount available for FY ",PriorFiscalYear," Capital expenditures (line 1 + 2)")</f>
        <v>Adjusted amount available for FY 2024 Capital expenditures (line 1 + 2)</v>
      </c>
      <c r="D11" s="1700"/>
      <c r="E11" s="1700"/>
      <c r="F11" s="1700"/>
      <c r="G11" s="1700"/>
      <c r="H11" s="1700"/>
      <c r="J11" s="265" t="s">
        <v>316</v>
      </c>
      <c r="K11" s="656">
        <f>K8+K10</f>
        <v>3165442</v>
      </c>
    </row>
    <row r="12" spans="1:11" ht="14.25" customHeight="1">
      <c r="B12" s="650" t="s">
        <v>33</v>
      </c>
      <c r="C12" s="1707" t="str">
        <f>_xlfn.CONCAT("Amount budgeted in Fund 610 in FY ",Cover!V39)</f>
        <v>Amount budgeted in Fund 610 in FY 2024</v>
      </c>
      <c r="D12" s="1707"/>
      <c r="E12" s="1707"/>
      <c r="F12" s="1707"/>
      <c r="G12" s="1707"/>
      <c r="H12" s="1707"/>
      <c r="J12" s="265"/>
      <c r="K12" s="305"/>
    </row>
    <row r="13" spans="1:11" ht="14.25" customHeight="1">
      <c r="B13" s="650"/>
      <c r="C13" s="1707" t="str">
        <f>_xlfn.CONCAT("(from FY ",PriorFiscalYear," latest revised Budget, page 4, line 10)")</f>
        <v>(from FY 2024 latest revised Budget, page 4, line 10)</v>
      </c>
      <c r="D13" s="1707"/>
      <c r="E13" s="1707"/>
      <c r="F13" s="1707"/>
      <c r="G13" s="1707"/>
      <c r="H13" s="1707"/>
      <c r="J13" s="265" t="s">
        <v>316</v>
      </c>
      <c r="K13" s="305">
        <f>[1]!F610TotalBudgFY</f>
        <v>3165442</v>
      </c>
    </row>
    <row r="14" spans="1:11" ht="14.25" customHeight="1">
      <c r="B14" s="650" t="s">
        <v>123</v>
      </c>
      <c r="C14" s="1702" t="s">
        <v>353</v>
      </c>
      <c r="D14" s="1702"/>
      <c r="E14" s="1702"/>
      <c r="F14" s="1702"/>
      <c r="G14" s="1702"/>
      <c r="H14" s="1702"/>
      <c r="J14" s="265" t="s">
        <v>316</v>
      </c>
      <c r="K14" s="657">
        <f>IF(K10&gt;0,MIN(K13+K10,K11),MIN(K11,K13))</f>
        <v>3165442</v>
      </c>
    </row>
    <row r="15" spans="1:11" ht="14.25" customHeight="1">
      <c r="B15" s="658" t="s">
        <v>124</v>
      </c>
      <c r="C15" s="1703" t="str">
        <f>_xlfn.CONCAT("FY ",PriorFiscalYear," Fund 610 actual expenditures  (For budget adoption use actual expenditures")</f>
        <v>FY 2024 Fund 610 actual expenditures  (For budget adoption use actual expenditures</v>
      </c>
      <c r="D15" s="1703"/>
      <c r="E15" s="1703"/>
      <c r="F15" s="1703"/>
      <c r="G15" s="1703"/>
      <c r="H15" s="1703"/>
      <c r="J15" s="265"/>
      <c r="K15" s="305"/>
    </row>
    <row r="16" spans="1:11" ht="14.25" customHeight="1">
      <c r="B16" s="650"/>
      <c r="C16" s="1704" t="s">
        <v>354</v>
      </c>
      <c r="D16" s="1704"/>
      <c r="E16" s="1704"/>
      <c r="F16" s="1704"/>
      <c r="G16" s="1704"/>
      <c r="H16" s="1704"/>
      <c r="J16" s="265" t="s">
        <v>316</v>
      </c>
      <c r="K16" s="96">
        <v>2175634</v>
      </c>
    </row>
    <row r="17" spans="1:22" ht="14.25" customHeight="1">
      <c r="B17" s="650" t="s">
        <v>125</v>
      </c>
      <c r="C17" s="1704" t="s">
        <v>1266</v>
      </c>
      <c r="D17" s="1704"/>
      <c r="E17" s="1704"/>
      <c r="F17" s="1704"/>
      <c r="G17" s="1704"/>
      <c r="H17" s="1704"/>
    </row>
    <row r="18" spans="1:22" ht="14.25" customHeight="1">
      <c r="B18" s="650"/>
      <c r="C18" s="659" t="s">
        <v>355</v>
      </c>
      <c r="D18" s="653"/>
      <c r="E18" s="660"/>
      <c r="F18" s="660"/>
      <c r="G18" s="661" t="str">
        <f>IF((K14-K16)&lt;0,K14-K16,"")</f>
        <v/>
      </c>
      <c r="H18" s="119" t="str">
        <f>IF(G18&lt;0,"OVEREXPENDED"," ")</f>
        <v xml:space="preserve"> </v>
      </c>
      <c r="J18" s="265" t="s">
        <v>316</v>
      </c>
      <c r="K18" s="655">
        <f>IF(K14-K16&gt;0,K14-K16,0)</f>
        <v>989808</v>
      </c>
    </row>
    <row r="19" spans="1:22" ht="14.25" customHeight="1">
      <c r="A19" s="662"/>
      <c r="B19" s="658" t="s">
        <v>127</v>
      </c>
      <c r="C19" s="1349" t="str">
        <f>_xlfn.CONCAT("Interest earned in Fund 610 in FY ",PriorFiscalYear)</f>
        <v>Interest earned in Fund 610 in FY 2024</v>
      </c>
      <c r="D19" s="651"/>
      <c r="E19" s="151"/>
      <c r="F19" s="660"/>
      <c r="G19" s="660"/>
      <c r="H19" s="660"/>
      <c r="I19" s="660"/>
      <c r="J19" s="265" t="s">
        <v>316</v>
      </c>
      <c r="K19" s="22">
        <v>10682</v>
      </c>
    </row>
    <row r="20" spans="1:22" ht="13.5" customHeight="1">
      <c r="A20" s="663"/>
      <c r="B20" s="658" t="s">
        <v>128</v>
      </c>
      <c r="C20" s="281" t="s">
        <v>356</v>
      </c>
      <c r="D20" s="651"/>
      <c r="E20" s="664"/>
      <c r="F20" s="664"/>
      <c r="G20" s="664"/>
      <c r="H20" s="664"/>
      <c r="J20" s="265" t="s">
        <v>316</v>
      </c>
      <c r="K20" s="22">
        <v>0</v>
      </c>
    </row>
    <row r="21" spans="1:22" ht="4.5" customHeight="1">
      <c r="D21" s="651"/>
      <c r="E21" s="651"/>
      <c r="F21" s="651"/>
      <c r="G21" s="651"/>
      <c r="H21" s="651"/>
    </row>
    <row r="22" spans="1:22" ht="27.75" customHeight="1">
      <c r="B22" s="658" t="s">
        <v>129</v>
      </c>
      <c r="C22" s="1706" t="str">
        <f>_xlfn.CONCAT("Adjustment to UCBL for FY ",Cover!E3," (A.R.S. Section 15-905.M) Include year(s) and descriptions, as applicable.")</f>
        <v>Adjustment to UCBL for FY 2025 (A.R.S. Section 15-905.M) Include year(s) and descriptions, as applicable.</v>
      </c>
      <c r="D22" s="1706"/>
      <c r="E22" s="1706"/>
      <c r="F22" s="1706"/>
      <c r="G22" s="1706"/>
      <c r="H22" s="1706"/>
      <c r="J22" s="265"/>
      <c r="K22" s="1705"/>
      <c r="N22" s="594"/>
      <c r="O22" s="560"/>
      <c r="P22" s="560"/>
      <c r="Q22" s="560"/>
      <c r="R22" s="560"/>
      <c r="S22" s="560"/>
      <c r="T22" s="560"/>
      <c r="U22" s="560"/>
      <c r="V22" s="560"/>
    </row>
    <row r="23" spans="1:22" ht="13.5" customHeight="1">
      <c r="B23" s="665"/>
      <c r="C23" s="266" t="s">
        <v>318</v>
      </c>
      <c r="D23" s="666" t="s">
        <v>1246</v>
      </c>
      <c r="E23" s="666"/>
      <c r="F23" s="666"/>
      <c r="G23" s="666"/>
      <c r="H23" s="666"/>
      <c r="J23" s="265"/>
      <c r="K23" s="1705"/>
      <c r="N23" s="594"/>
      <c r="O23" s="560"/>
      <c r="P23" s="560"/>
      <c r="Q23" s="560"/>
      <c r="R23" s="560"/>
      <c r="S23" s="560"/>
      <c r="T23" s="560"/>
      <c r="U23" s="560"/>
      <c r="V23" s="560"/>
    </row>
    <row r="24" spans="1:22" ht="13.5" customHeight="1">
      <c r="B24" s="665"/>
      <c r="C24" s="665"/>
      <c r="D24" s="1701"/>
      <c r="E24" s="1701"/>
      <c r="F24" s="1701"/>
      <c r="G24" s="1701"/>
      <c r="H24" s="666"/>
      <c r="J24" s="265" t="s">
        <v>316</v>
      </c>
      <c r="K24" s="96">
        <v>0</v>
      </c>
      <c r="N24" s="594"/>
      <c r="O24" s="560"/>
      <c r="P24" s="560"/>
      <c r="Q24" s="560"/>
      <c r="R24" s="560"/>
      <c r="S24" s="560"/>
      <c r="T24" s="560"/>
      <c r="U24" s="560"/>
      <c r="V24" s="560"/>
    </row>
    <row r="25" spans="1:22" ht="1.5" customHeight="1">
      <c r="B25" s="665"/>
      <c r="C25" s="266"/>
      <c r="D25" s="666"/>
      <c r="E25" s="666"/>
      <c r="F25" s="666"/>
      <c r="G25" s="666"/>
      <c r="H25" s="666"/>
      <c r="J25" s="265"/>
      <c r="K25" s="654"/>
      <c r="N25" s="594"/>
      <c r="O25" s="560"/>
      <c r="P25" s="560"/>
      <c r="Q25" s="560"/>
      <c r="R25" s="560"/>
      <c r="S25" s="560"/>
      <c r="T25" s="560"/>
      <c r="U25" s="560"/>
      <c r="V25" s="560"/>
    </row>
    <row r="26" spans="1:22" ht="1.5" customHeight="1">
      <c r="B26" s="665"/>
      <c r="C26" s="667"/>
      <c r="D26" s="666"/>
      <c r="E26" s="666"/>
      <c r="F26" s="666"/>
      <c r="G26" s="666"/>
      <c r="H26" s="666"/>
      <c r="J26" s="265"/>
      <c r="K26" s="305"/>
      <c r="N26" s="594"/>
      <c r="O26" s="560"/>
      <c r="P26" s="560"/>
      <c r="Q26" s="560"/>
      <c r="R26" s="560"/>
      <c r="S26" s="560"/>
      <c r="T26" s="560"/>
      <c r="U26" s="560"/>
      <c r="V26" s="560"/>
    </row>
    <row r="27" spans="1:22" ht="13.5" customHeight="1">
      <c r="B27" s="665"/>
      <c r="C27" s="668" t="s">
        <v>319</v>
      </c>
      <c r="D27" s="666" t="s">
        <v>1267</v>
      </c>
      <c r="E27" s="666"/>
      <c r="F27" s="666"/>
      <c r="G27" s="666"/>
      <c r="H27" s="666"/>
      <c r="J27" s="265" t="s">
        <v>316</v>
      </c>
      <c r="K27" s="22">
        <v>0</v>
      </c>
      <c r="N27" s="594"/>
      <c r="O27" s="560"/>
      <c r="P27" s="560"/>
      <c r="Q27" s="560"/>
      <c r="R27" s="560"/>
      <c r="S27" s="560"/>
      <c r="T27" s="560"/>
      <c r="U27" s="560"/>
      <c r="V27" s="560"/>
    </row>
    <row r="28" spans="1:22" ht="13.5" customHeight="1">
      <c r="B28" s="665"/>
      <c r="C28" s="669" t="s">
        <v>321</v>
      </c>
      <c r="D28" s="666" t="s">
        <v>346</v>
      </c>
      <c r="E28" s="1701"/>
      <c r="F28" s="1701"/>
      <c r="G28" s="1701"/>
      <c r="H28" s="666"/>
      <c r="J28" s="265" t="s">
        <v>316</v>
      </c>
      <c r="K28" s="47">
        <v>0</v>
      </c>
      <c r="N28" s="594"/>
      <c r="O28" s="560"/>
      <c r="P28" s="560"/>
      <c r="Q28" s="560"/>
      <c r="R28" s="560"/>
      <c r="S28" s="560"/>
      <c r="T28" s="560"/>
      <c r="U28" s="560"/>
      <c r="V28" s="560"/>
    </row>
    <row r="29" spans="1:22" ht="3.75" customHeight="1">
      <c r="B29" s="670"/>
      <c r="C29" s="670"/>
      <c r="D29" s="651"/>
      <c r="J29" s="265"/>
      <c r="K29" s="671"/>
      <c r="N29" s="1691"/>
      <c r="O29" s="1692"/>
      <c r="P29" s="1692"/>
      <c r="Q29" s="1692"/>
      <c r="R29" s="1692"/>
      <c r="S29" s="1692"/>
      <c r="T29" s="1692"/>
      <c r="U29" s="1692"/>
      <c r="V29" s="1692"/>
    </row>
    <row r="30" spans="1:22" ht="13.5" customHeight="1">
      <c r="A30" s="672"/>
      <c r="B30" s="673" t="s">
        <v>130</v>
      </c>
      <c r="C30" s="1350" t="s">
        <v>1268</v>
      </c>
      <c r="D30" s="651"/>
      <c r="E30" s="151"/>
      <c r="F30" s="151"/>
      <c r="G30" s="151"/>
      <c r="H30" s="151"/>
      <c r="I30" s="151"/>
      <c r="J30" s="265" t="s">
        <v>316</v>
      </c>
      <c r="K30" s="655">
        <f>TotAmtCapExped</f>
        <v>1448839</v>
      </c>
      <c r="N30" s="1692"/>
      <c r="O30" s="1692"/>
      <c r="P30" s="1692"/>
      <c r="Q30" s="1692"/>
      <c r="R30" s="1692"/>
      <c r="S30" s="1692"/>
      <c r="T30" s="1692"/>
      <c r="U30" s="1692"/>
      <c r="V30" s="1692"/>
    </row>
    <row r="31" spans="1:22" ht="6" customHeight="1">
      <c r="A31" s="672"/>
      <c r="B31" s="670"/>
      <c r="C31" s="670"/>
      <c r="D31" s="651"/>
      <c r="E31" s="151"/>
      <c r="F31" s="151"/>
      <c r="G31" s="151"/>
      <c r="H31" s="151"/>
      <c r="I31" s="151"/>
      <c r="J31" s="265"/>
      <c r="K31" s="654"/>
      <c r="N31" s="1692"/>
      <c r="O31" s="1692"/>
      <c r="P31" s="1692"/>
      <c r="Q31" s="1692"/>
      <c r="R31" s="1692"/>
      <c r="S31" s="1692"/>
      <c r="T31" s="1692"/>
      <c r="U31" s="1692"/>
      <c r="V31" s="1692"/>
    </row>
    <row r="32" spans="1:22" ht="13.5" customHeight="1" thickBot="1">
      <c r="A32" s="265"/>
      <c r="B32" s="673" t="s">
        <v>131</v>
      </c>
      <c r="C32" s="1351" t="str">
        <f>_xlfn.CONCAT("FY ",Cover!E3," Unrestricted Capital Budget Limit (lines 7 through 11) (1)")</f>
        <v>FY 2025 Unrestricted Capital Budget Limit (lines 7 through 11) (1)</v>
      </c>
      <c r="D32" s="651"/>
      <c r="E32" s="664"/>
      <c r="F32" s="664"/>
      <c r="G32" s="1352"/>
      <c r="H32" s="664"/>
      <c r="J32" s="265" t="s">
        <v>316</v>
      </c>
      <c r="K32" s="674">
        <f>SUM(K18:K30)</f>
        <v>2449329</v>
      </c>
      <c r="N32" s="128"/>
      <c r="O32" s="100"/>
      <c r="P32" s="100"/>
      <c r="Q32" s="100"/>
      <c r="R32" s="100"/>
      <c r="S32" s="100"/>
      <c r="T32" s="100"/>
      <c r="U32" s="100"/>
      <c r="V32" s="374"/>
    </row>
    <row r="33" spans="1:22" ht="8.25" customHeight="1" thickTop="1">
      <c r="A33" s="265"/>
      <c r="D33" s="651"/>
      <c r="J33" s="265"/>
      <c r="K33" s="671"/>
      <c r="N33" s="100"/>
      <c r="O33" s="100"/>
      <c r="P33" s="100"/>
      <c r="Q33" s="100"/>
      <c r="R33" s="100"/>
      <c r="S33" s="100"/>
      <c r="T33" s="1614"/>
      <c r="U33" s="1548"/>
      <c r="V33" s="374"/>
    </row>
    <row r="34" spans="1:22" ht="3" customHeight="1">
      <c r="A34" s="265"/>
      <c r="B34" s="670"/>
      <c r="C34" s="670"/>
      <c r="D34" s="651"/>
      <c r="E34" s="660"/>
      <c r="F34" s="660"/>
      <c r="G34" s="660"/>
      <c r="H34" s="660"/>
      <c r="J34" s="265"/>
      <c r="K34" s="671"/>
      <c r="N34" s="100"/>
      <c r="O34" s="100"/>
      <c r="P34" s="100"/>
      <c r="Q34" s="100"/>
      <c r="R34" s="100"/>
      <c r="S34" s="100"/>
      <c r="T34" s="1614"/>
      <c r="U34" s="1548"/>
      <c r="V34" s="374"/>
    </row>
    <row r="35" spans="1:22" ht="15" customHeight="1">
      <c r="A35" s="675" t="s">
        <v>304</v>
      </c>
      <c r="B35" s="676" t="s">
        <v>357</v>
      </c>
      <c r="C35" s="677"/>
      <c r="D35" s="651"/>
      <c r="E35" s="660"/>
      <c r="F35" s="660"/>
      <c r="G35" s="660"/>
      <c r="H35" s="660"/>
      <c r="I35" s="151"/>
      <c r="J35" s="265"/>
      <c r="K35" s="671"/>
      <c r="N35" s="100"/>
      <c r="O35" s="100"/>
      <c r="P35" s="100"/>
      <c r="Q35" s="100"/>
      <c r="R35" s="100"/>
      <c r="S35" s="100"/>
      <c r="T35" s="1614"/>
      <c r="U35" s="1548"/>
      <c r="V35" s="374"/>
    </row>
    <row r="36" spans="1:22" ht="6.75" customHeight="1">
      <c r="A36" s="678"/>
      <c r="B36" s="679"/>
      <c r="C36" s="677"/>
      <c r="D36" s="651"/>
      <c r="E36" s="660"/>
      <c r="F36" s="660"/>
      <c r="G36" s="660"/>
      <c r="H36" s="660"/>
      <c r="I36" s="151"/>
      <c r="J36" s="265"/>
      <c r="K36" s="671"/>
      <c r="N36" s="100"/>
      <c r="O36" s="100"/>
      <c r="P36" s="100"/>
      <c r="Q36" s="100"/>
      <c r="R36" s="100"/>
      <c r="S36" s="100"/>
      <c r="T36" s="1614"/>
      <c r="U36" s="1548"/>
      <c r="V36" s="374"/>
    </row>
    <row r="38" spans="1:22">
      <c r="A38" s="151"/>
      <c r="B38" s="151"/>
      <c r="C38" s="151"/>
    </row>
    <row r="39" spans="1:22" ht="15">
      <c r="A39" s="680"/>
      <c r="B39" s="1695"/>
      <c r="C39" s="1695"/>
      <c r="D39" s="1694"/>
      <c r="E39" s="1694"/>
    </row>
    <row r="40" spans="1:22" ht="15">
      <c r="A40" s="682"/>
      <c r="B40" s="1693"/>
      <c r="C40" s="1693"/>
      <c r="D40" s="1694"/>
      <c r="E40" s="1694"/>
    </row>
    <row r="41" spans="1:22" ht="15">
      <c r="A41" s="682"/>
      <c r="B41" s="1693"/>
      <c r="C41" s="1693"/>
      <c r="D41" s="1694"/>
      <c r="E41" s="1694"/>
    </row>
    <row r="42" spans="1:22" ht="15">
      <c r="A42" s="682"/>
      <c r="B42" s="683"/>
      <c r="C42" s="683"/>
      <c r="D42" s="684"/>
      <c r="E42" s="684"/>
    </row>
    <row r="43" spans="1:22" ht="15">
      <c r="A43" s="682"/>
      <c r="B43" s="1695"/>
      <c r="C43" s="1695"/>
      <c r="D43" s="1694"/>
      <c r="E43" s="1694"/>
    </row>
    <row r="44" spans="1:22" ht="15">
      <c r="A44" s="682"/>
      <c r="B44" s="1695"/>
      <c r="C44" s="1695"/>
      <c r="D44" s="1694"/>
      <c r="E44" s="1694"/>
    </row>
    <row r="45" spans="1:22" ht="12.75" customHeight="1">
      <c r="A45" s="680"/>
    </row>
    <row r="46" spans="1:22" ht="15">
      <c r="A46" s="682"/>
      <c r="B46" s="1695"/>
      <c r="C46" s="1695"/>
      <c r="D46" s="1694"/>
      <c r="E46" s="1694"/>
    </row>
    <row r="47" spans="1:22" ht="15">
      <c r="A47" s="682"/>
      <c r="E47" s="681"/>
      <c r="F47" s="305"/>
      <c r="G47" s="305"/>
      <c r="H47" s="305"/>
      <c r="I47"/>
      <c r="J47" s="305"/>
      <c r="K47" s="663"/>
      <c r="L47" s="305"/>
    </row>
    <row r="48" spans="1:22" ht="15">
      <c r="A48" s="682"/>
      <c r="B48" s="1695"/>
      <c r="C48" s="1695"/>
      <c r="D48" s="1696"/>
      <c r="E48" s="1696"/>
      <c r="F48" s="1696"/>
      <c r="G48" s="1696"/>
      <c r="H48" s="1696"/>
      <c r="I48" s="1696"/>
      <c r="J48" s="1696"/>
      <c r="K48" s="1696"/>
      <c r="L48" s="1696"/>
    </row>
    <row r="49" spans="1:3" ht="15">
      <c r="A49" s="685"/>
      <c r="B49" s="151"/>
      <c r="C49" s="151"/>
    </row>
    <row r="65" s="146" customFormat="1"/>
    <row r="66" s="146" customFormat="1"/>
    <row r="67" s="146" customFormat="1"/>
    <row r="68" s="146" customFormat="1"/>
    <row r="69" s="146" customFormat="1"/>
    <row r="70" s="146" customFormat="1"/>
    <row r="71" s="146" customFormat="1"/>
    <row r="72" s="146" customFormat="1"/>
    <row r="73" s="146" customFormat="1"/>
    <row r="74" s="146" customFormat="1"/>
    <row r="75" s="146" customFormat="1"/>
    <row r="76" s="146" customFormat="1"/>
    <row r="77" s="146" customFormat="1"/>
    <row r="78" s="146" customFormat="1"/>
    <row r="79" s="146" customFormat="1"/>
    <row r="80" s="146" customFormat="1"/>
    <row r="81" s="146" customFormat="1"/>
    <row r="82" s="146" customFormat="1"/>
    <row r="83" s="146" customFormat="1"/>
    <row r="84" s="146" customFormat="1"/>
    <row r="85" s="146" customFormat="1"/>
    <row r="86" s="146" customFormat="1"/>
    <row r="87" s="146" customFormat="1"/>
    <row r="88" s="146" customFormat="1"/>
    <row r="89" s="146" customFormat="1"/>
    <row r="90" s="146" customFormat="1"/>
    <row r="91" s="146" customFormat="1"/>
    <row r="92" s="146" customFormat="1"/>
    <row r="93" s="146" customFormat="1"/>
    <row r="94" s="146" customFormat="1"/>
    <row r="95" s="146" customFormat="1"/>
    <row r="96" s="146" customFormat="1"/>
    <row r="110" spans="1:12">
      <c r="A110" s="243"/>
      <c r="L110" s="243"/>
    </row>
  </sheetData>
  <sheetProtection sheet="1"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dimension ref="A1:Q48"/>
  <sheetViews>
    <sheetView showGridLines="0" workbookViewId="0">
      <selection activeCell="L22" sqref="L22"/>
    </sheetView>
  </sheetViews>
  <sheetFormatPr defaultColWidth="9.88671875" defaultRowHeight="15.75"/>
  <cols>
    <col min="1" max="1" width="16.88671875" style="102" customWidth="1"/>
    <col min="2" max="2" width="26.88671875" style="102" customWidth="1"/>
    <col min="3" max="3" width="3" style="102" customWidth="1"/>
    <col min="4" max="5" width="5.88671875" style="102" customWidth="1"/>
    <col min="6" max="13" width="10.88671875" style="102" customWidth="1"/>
    <col min="14" max="14" width="6.88671875" style="102" customWidth="1"/>
    <col min="15" max="16" width="3.88671875" style="102" customWidth="1"/>
    <col min="17" max="20" width="9.88671875" style="102" customWidth="1"/>
    <col min="21" max="16384" width="9.88671875" style="102"/>
  </cols>
  <sheetData>
    <row r="1" spans="1:17" ht="12" customHeight="1">
      <c r="A1" s="1285" t="s">
        <v>928</v>
      </c>
      <c r="B1" s="1585" t="str">
        <f>DistrictName</f>
        <v xml:space="preserve">Prescott Unified </v>
      </c>
      <c r="C1" s="1585"/>
      <c r="D1" s="1585"/>
      <c r="E1" s="1585"/>
      <c r="F1" s="1285" t="s">
        <v>446</v>
      </c>
      <c r="G1" s="1592" t="str">
        <f>Cover!H1</f>
        <v>Yavapai</v>
      </c>
      <c r="H1" s="1609"/>
      <c r="I1" s="151"/>
      <c r="J1" s="1285" t="s">
        <v>912</v>
      </c>
      <c r="K1" s="103" t="str">
        <f>Cover!S1</f>
        <v>130201000</v>
      </c>
      <c r="L1" s="163"/>
      <c r="M1" s="1285" t="s">
        <v>9</v>
      </c>
      <c r="N1" s="1583" t="str">
        <f>Cover!C8</f>
        <v>Adopted</v>
      </c>
      <c r="O1" s="1583"/>
      <c r="P1" s="151"/>
      <c r="Q1" s="151"/>
    </row>
    <row r="2" spans="1:17" ht="42" customHeight="1">
      <c r="A2" s="1710" t="s">
        <v>998</v>
      </c>
      <c r="B2" s="1711"/>
      <c r="C2" s="1711"/>
      <c r="D2" s="1711"/>
      <c r="E2" s="1711"/>
      <c r="F2" s="1711"/>
      <c r="G2" s="1711"/>
      <c r="H2" s="1711"/>
      <c r="I2" s="1711"/>
      <c r="J2" s="1711"/>
      <c r="K2" s="1711"/>
      <c r="L2" s="1711"/>
      <c r="M2" s="1711"/>
      <c r="N2" s="1711"/>
      <c r="O2" s="686"/>
      <c r="P2" s="686"/>
      <c r="Q2" s="686"/>
    </row>
    <row r="3" spans="1:17" ht="12" customHeight="1">
      <c r="A3" s="687"/>
      <c r="B3" s="688"/>
      <c r="C3" s="104"/>
      <c r="D3" s="689"/>
      <c r="E3" s="690"/>
      <c r="F3" s="691"/>
      <c r="G3" s="401" t="s">
        <v>100</v>
      </c>
      <c r="H3" s="401" t="s">
        <v>101</v>
      </c>
      <c r="I3" s="401"/>
      <c r="J3" s="401"/>
      <c r="K3" s="401"/>
      <c r="L3" s="403" t="s">
        <v>102</v>
      </c>
      <c r="M3" s="403"/>
      <c r="N3" s="192"/>
    </row>
    <row r="4" spans="1:17" ht="12" customHeight="1">
      <c r="A4" s="1712" t="s">
        <v>358</v>
      </c>
      <c r="B4" s="1713"/>
      <c r="C4" s="100"/>
      <c r="D4" s="193" t="s">
        <v>103</v>
      </c>
      <c r="E4" s="692"/>
      <c r="F4" s="194" t="s">
        <v>104</v>
      </c>
      <c r="G4" s="190" t="s">
        <v>959</v>
      </c>
      <c r="H4" s="190" t="s">
        <v>960</v>
      </c>
      <c r="I4" s="190" t="s">
        <v>107</v>
      </c>
      <c r="J4" s="190" t="s">
        <v>178</v>
      </c>
      <c r="K4" s="190" t="s">
        <v>108</v>
      </c>
      <c r="L4" s="3" t="s">
        <v>109</v>
      </c>
      <c r="M4" s="194" t="s">
        <v>110</v>
      </c>
      <c r="N4" s="190" t="s">
        <v>111</v>
      </c>
    </row>
    <row r="5" spans="1:17" ht="12" customHeight="1">
      <c r="A5" s="693"/>
      <c r="C5" s="100"/>
      <c r="D5" s="190" t="s">
        <v>109</v>
      </c>
      <c r="E5" s="3" t="s">
        <v>110</v>
      </c>
      <c r="F5" s="194"/>
      <c r="G5" s="196"/>
      <c r="H5" s="190" t="s">
        <v>113</v>
      </c>
      <c r="I5" s="190"/>
      <c r="J5" s="190"/>
      <c r="K5" s="190"/>
      <c r="L5" s="3" t="s">
        <v>0</v>
      </c>
      <c r="M5" s="194" t="s">
        <v>0</v>
      </c>
      <c r="N5" s="190" t="s">
        <v>114</v>
      </c>
    </row>
    <row r="6" spans="1:17" ht="12" customHeight="1">
      <c r="A6" s="694" t="s">
        <v>112</v>
      </c>
      <c r="B6" s="198"/>
      <c r="C6" s="199"/>
      <c r="D6" s="190" t="s">
        <v>0</v>
      </c>
      <c r="E6" s="201" t="s">
        <v>0</v>
      </c>
      <c r="F6" s="202">
        <v>6100</v>
      </c>
      <c r="G6" s="200" t="s">
        <v>116</v>
      </c>
      <c r="H6" s="200" t="s">
        <v>117</v>
      </c>
      <c r="I6" s="200">
        <v>6600</v>
      </c>
      <c r="J6" s="200">
        <v>6700</v>
      </c>
      <c r="K6" s="200" t="s">
        <v>118</v>
      </c>
      <c r="L6" s="201">
        <f>PriorFiscalYear</f>
        <v>2024</v>
      </c>
      <c r="M6" s="202">
        <f>Cover!E3</f>
        <v>2025</v>
      </c>
      <c r="N6" s="200" t="s">
        <v>119</v>
      </c>
    </row>
    <row r="7" spans="1:17" ht="13.5" customHeight="1">
      <c r="A7" s="1708" t="s">
        <v>359</v>
      </c>
      <c r="B7" s="1709"/>
      <c r="C7" s="695"/>
      <c r="D7" s="1274"/>
      <c r="E7" s="203"/>
      <c r="F7" s="204"/>
      <c r="G7" s="204"/>
      <c r="H7" s="204"/>
      <c r="I7" s="204"/>
      <c r="J7" s="1272"/>
      <c r="K7" s="1275"/>
      <c r="L7" s="1274"/>
      <c r="M7" s="1274"/>
      <c r="N7" s="1274"/>
      <c r="O7" s="696"/>
    </row>
    <row r="8" spans="1:17" ht="13.5" customHeight="1">
      <c r="A8" s="109" t="s">
        <v>120</v>
      </c>
      <c r="B8" s="100"/>
      <c r="C8" s="205" t="s">
        <v>1</v>
      </c>
      <c r="D8" s="1353">
        <f>[1]!F071F1000Personnel</f>
        <v>0.2</v>
      </c>
      <c r="E8" s="35">
        <v>0.2</v>
      </c>
      <c r="F8" s="7">
        <v>13711</v>
      </c>
      <c r="G8" s="7">
        <f>16453.29-F8</f>
        <v>2742</v>
      </c>
      <c r="H8" s="7"/>
      <c r="I8" s="7"/>
      <c r="J8" s="1273"/>
      <c r="K8" s="44">
        <v>0</v>
      </c>
      <c r="L8" s="1325">
        <f>[1]!F071F1000</f>
        <v>25100</v>
      </c>
      <c r="M8" s="1325">
        <f>SUM(F8:K8)</f>
        <v>16453</v>
      </c>
      <c r="N8" s="1338">
        <f>IF(L8=M8,0,IF(L8&gt;0,(M8-L8)/L8,""))</f>
        <v>-0.34499999999999997</v>
      </c>
      <c r="O8" s="207" t="s">
        <v>1</v>
      </c>
      <c r="P8" s="106"/>
    </row>
    <row r="9" spans="1:17" ht="13.5" customHeight="1">
      <c r="A9" s="109" t="s">
        <v>121</v>
      </c>
      <c r="B9" s="100"/>
      <c r="C9" s="205" t="s">
        <v>34</v>
      </c>
      <c r="D9" s="1274"/>
      <c r="E9" s="203"/>
      <c r="F9" s="204"/>
      <c r="G9" s="204"/>
      <c r="H9" s="204"/>
      <c r="I9" s="204"/>
      <c r="J9" s="1272"/>
      <c r="K9" s="1275"/>
      <c r="L9" s="1249"/>
      <c r="M9" s="1249"/>
      <c r="N9" s="1249"/>
      <c r="O9" s="207" t="s">
        <v>34</v>
      </c>
      <c r="P9" s="106"/>
    </row>
    <row r="10" spans="1:17" ht="13.5" customHeight="1">
      <c r="A10" s="109" t="s">
        <v>122</v>
      </c>
      <c r="B10" s="100"/>
      <c r="C10" s="205" t="s">
        <v>2</v>
      </c>
      <c r="D10" s="1353">
        <f>[1]!F071F2100Personnel</f>
        <v>0</v>
      </c>
      <c r="E10" s="35"/>
      <c r="F10" s="7">
        <v>0</v>
      </c>
      <c r="G10" s="7">
        <v>0</v>
      </c>
      <c r="H10" s="7">
        <v>0</v>
      </c>
      <c r="I10" s="7">
        <v>0</v>
      </c>
      <c r="J10" s="1273"/>
      <c r="K10" s="44">
        <v>0</v>
      </c>
      <c r="L10" s="1321">
        <f>[1]!F071F2100</f>
        <v>0</v>
      </c>
      <c r="M10" s="1321">
        <f>SUM(F10:K10)</f>
        <v>0</v>
      </c>
      <c r="N10" s="1322">
        <f>IF(L10=M10,0,IF(L10&gt;0,(M10-L10)/L10,""))</f>
        <v>0</v>
      </c>
      <c r="O10" s="207" t="s">
        <v>2</v>
      </c>
      <c r="P10" s="106"/>
    </row>
    <row r="11" spans="1:17" ht="13.5" customHeight="1">
      <c r="A11" s="109" t="s">
        <v>1193</v>
      </c>
      <c r="B11" s="100"/>
      <c r="C11" s="205" t="s">
        <v>14</v>
      </c>
      <c r="D11" s="1323">
        <f>[1]!F071F2200Personnel</f>
        <v>0</v>
      </c>
      <c r="E11" s="12"/>
      <c r="F11" s="7">
        <v>0</v>
      </c>
      <c r="G11" s="7">
        <v>0</v>
      </c>
      <c r="H11" s="7">
        <v>0</v>
      </c>
      <c r="I11" s="7">
        <v>0</v>
      </c>
      <c r="J11" s="697"/>
      <c r="K11" s="7">
        <v>0</v>
      </c>
      <c r="L11" s="206">
        <f>[1]!F071F2200</f>
        <v>0</v>
      </c>
      <c r="M11" s="206">
        <f t="shared" ref="M11:M17" si="0">SUM(F11:K11)</f>
        <v>0</v>
      </c>
      <c r="N11" s="1326">
        <f t="shared" ref="N11:N17" si="1">IF(L11=M11,0,IF(L11&gt;0,(M11-L11)/L11,""))</f>
        <v>0</v>
      </c>
      <c r="O11" s="207" t="s">
        <v>14</v>
      </c>
      <c r="P11" s="106"/>
    </row>
    <row r="12" spans="1:17" ht="13.5" customHeight="1">
      <c r="A12" s="109" t="s">
        <v>1194</v>
      </c>
      <c r="B12" s="100"/>
      <c r="C12" s="205" t="s">
        <v>33</v>
      </c>
      <c r="D12" s="218">
        <f>[1]!F071F2300Personnel</f>
        <v>0</v>
      </c>
      <c r="E12" s="12"/>
      <c r="F12" s="7">
        <v>0</v>
      </c>
      <c r="G12" s="7">
        <v>0</v>
      </c>
      <c r="H12" s="7">
        <v>0</v>
      </c>
      <c r="I12" s="7">
        <v>0</v>
      </c>
      <c r="J12" s="697"/>
      <c r="K12" s="7">
        <v>0</v>
      </c>
      <c r="L12" s="1327">
        <f>[1]!F071F2300</f>
        <v>0</v>
      </c>
      <c r="M12" s="206">
        <f t="shared" si="0"/>
        <v>0</v>
      </c>
      <c r="N12" s="1328">
        <f t="shared" si="1"/>
        <v>0</v>
      </c>
      <c r="O12" s="207" t="s">
        <v>33</v>
      </c>
      <c r="P12" s="106"/>
    </row>
    <row r="13" spans="1:17" ht="13.5" customHeight="1">
      <c r="A13" s="109" t="s">
        <v>1195</v>
      </c>
      <c r="B13" s="100"/>
      <c r="C13" s="205" t="s">
        <v>123</v>
      </c>
      <c r="D13" s="218">
        <f>[1]!F071F2400Personnel</f>
        <v>0</v>
      </c>
      <c r="E13" s="12"/>
      <c r="F13" s="7">
        <v>0</v>
      </c>
      <c r="G13" s="7">
        <v>0</v>
      </c>
      <c r="H13" s="7">
        <v>0</v>
      </c>
      <c r="I13" s="7">
        <v>0</v>
      </c>
      <c r="J13" s="697"/>
      <c r="K13" s="7">
        <v>0</v>
      </c>
      <c r="L13" s="1327">
        <f>[1]!F071F2400</f>
        <v>0</v>
      </c>
      <c r="M13" s="206">
        <f t="shared" si="0"/>
        <v>0</v>
      </c>
      <c r="N13" s="1328">
        <f t="shared" si="1"/>
        <v>0</v>
      </c>
      <c r="O13" s="207" t="s">
        <v>123</v>
      </c>
      <c r="P13" s="106"/>
    </row>
    <row r="14" spans="1:17" ht="13.5" customHeight="1">
      <c r="A14" s="109" t="s">
        <v>1196</v>
      </c>
      <c r="B14" s="100"/>
      <c r="C14" s="205" t="s">
        <v>124</v>
      </c>
      <c r="D14" s="218">
        <f>[1]!F071F2500Personnel</f>
        <v>0</v>
      </c>
      <c r="E14" s="12"/>
      <c r="F14" s="7">
        <v>0</v>
      </c>
      <c r="G14" s="7">
        <v>0</v>
      </c>
      <c r="H14" s="7">
        <v>0</v>
      </c>
      <c r="I14" s="7">
        <v>0</v>
      </c>
      <c r="J14" s="697"/>
      <c r="K14" s="7">
        <v>0</v>
      </c>
      <c r="L14" s="1327">
        <f>[1]!F071F2500</f>
        <v>0</v>
      </c>
      <c r="M14" s="206">
        <f t="shared" si="0"/>
        <v>0</v>
      </c>
      <c r="N14" s="1328">
        <f t="shared" si="1"/>
        <v>0</v>
      </c>
      <c r="O14" s="207" t="s">
        <v>124</v>
      </c>
      <c r="P14" s="106"/>
    </row>
    <row r="15" spans="1:17" ht="13.5" customHeight="1">
      <c r="A15" s="109" t="s">
        <v>1197</v>
      </c>
      <c r="B15" s="100"/>
      <c r="C15" s="205" t="s">
        <v>125</v>
      </c>
      <c r="D15" s="218">
        <f>[1]!F071F2600Personnel</f>
        <v>0</v>
      </c>
      <c r="E15" s="12"/>
      <c r="F15" s="7">
        <v>0</v>
      </c>
      <c r="G15" s="7">
        <v>0</v>
      </c>
      <c r="H15" s="7">
        <v>0</v>
      </c>
      <c r="I15" s="7">
        <v>0</v>
      </c>
      <c r="J15" s="697"/>
      <c r="K15" s="7">
        <v>0</v>
      </c>
      <c r="L15" s="1327">
        <f>[1]!F071F2600</f>
        <v>0</v>
      </c>
      <c r="M15" s="206">
        <f t="shared" si="0"/>
        <v>0</v>
      </c>
      <c r="N15" s="1328">
        <f t="shared" si="1"/>
        <v>0</v>
      </c>
      <c r="O15" s="207" t="s">
        <v>125</v>
      </c>
      <c r="P15" s="106"/>
    </row>
    <row r="16" spans="1:17" ht="13.5" customHeight="1">
      <c r="A16" s="109" t="s">
        <v>1259</v>
      </c>
      <c r="B16" s="100"/>
      <c r="C16" s="205" t="s">
        <v>127</v>
      </c>
      <c r="D16" s="218">
        <f>[1]!F071F2700Personnel</f>
        <v>0</v>
      </c>
      <c r="E16" s="12"/>
      <c r="F16" s="7">
        <v>0</v>
      </c>
      <c r="G16" s="7">
        <v>0</v>
      </c>
      <c r="H16" s="7">
        <v>0</v>
      </c>
      <c r="I16" s="7">
        <v>0</v>
      </c>
      <c r="J16" s="697"/>
      <c r="K16" s="7">
        <v>0</v>
      </c>
      <c r="L16" s="1327">
        <f>[1]!F071F2700</f>
        <v>0</v>
      </c>
      <c r="M16" s="206">
        <f t="shared" si="0"/>
        <v>0</v>
      </c>
      <c r="N16" s="1328">
        <f>IF(L16=M16,0,IF(L16&gt;0,(M16-L16)/L16,""))</f>
        <v>0</v>
      </c>
      <c r="O16" s="207" t="s">
        <v>127</v>
      </c>
      <c r="P16" s="106"/>
    </row>
    <row r="17" spans="1:16" ht="13.5" customHeight="1">
      <c r="A17" s="109" t="s">
        <v>126</v>
      </c>
      <c r="B17" s="100"/>
      <c r="C17" s="205" t="s">
        <v>128</v>
      </c>
      <c r="D17" s="218">
        <f>[1]!F071F2900Personnel</f>
        <v>0</v>
      </c>
      <c r="E17" s="12"/>
      <c r="F17" s="7">
        <v>0</v>
      </c>
      <c r="G17" s="7">
        <v>0</v>
      </c>
      <c r="H17" s="7">
        <v>0</v>
      </c>
      <c r="I17" s="7">
        <v>0</v>
      </c>
      <c r="J17" s="697"/>
      <c r="K17" s="7">
        <v>0</v>
      </c>
      <c r="L17" s="1327">
        <f>[1]!F071F2900</f>
        <v>0</v>
      </c>
      <c r="M17" s="206">
        <f t="shared" si="0"/>
        <v>0</v>
      </c>
      <c r="N17" s="1328">
        <f t="shared" si="1"/>
        <v>0</v>
      </c>
      <c r="O17" s="207" t="s">
        <v>128</v>
      </c>
      <c r="P17" s="106"/>
    </row>
    <row r="18" spans="1:16" ht="13.5" customHeight="1">
      <c r="A18" s="698" t="s">
        <v>360</v>
      </c>
      <c r="B18" s="699"/>
      <c r="C18" s="700" t="s">
        <v>129</v>
      </c>
      <c r="D18" s="1330">
        <f>SUM(D8:D17)</f>
        <v>0.2</v>
      </c>
      <c r="E18" s="218">
        <f>E8+SUM(E10:E17)</f>
        <v>0.2</v>
      </c>
      <c r="F18" s="222">
        <f>F8+SUM(F10:F17)</f>
        <v>13711</v>
      </c>
      <c r="G18" s="222">
        <f>G8+SUM(G10:G17)</f>
        <v>2742</v>
      </c>
      <c r="H18" s="222">
        <f>H8+SUM(H10:H17)</f>
        <v>0</v>
      </c>
      <c r="I18" s="222">
        <f>I8+SUM(I10:I17)</f>
        <v>0</v>
      </c>
      <c r="J18" s="701"/>
      <c r="K18" s="222">
        <f>K8+SUM(K10:K17)</f>
        <v>0</v>
      </c>
      <c r="L18" s="1331">
        <f>SUM(L8:L17)</f>
        <v>25100</v>
      </c>
      <c r="M18" s="1331">
        <f>SUM(M8:M17)</f>
        <v>16453</v>
      </c>
      <c r="N18" s="1332">
        <f>IF(L18=M18,0,IF(L18&gt;0,(M18-L18)/L18,""))</f>
        <v>-0.34499999999999997</v>
      </c>
      <c r="O18" s="418" t="s">
        <v>129</v>
      </c>
      <c r="P18" s="106"/>
    </row>
    <row r="19" spans="1:16" ht="13.5" customHeight="1">
      <c r="A19" s="1708" t="s">
        <v>361</v>
      </c>
      <c r="B19" s="1709"/>
      <c r="C19" s="702"/>
      <c r="D19" s="1274"/>
      <c r="E19" s="203"/>
      <c r="F19" s="204"/>
      <c r="G19" s="204"/>
      <c r="H19" s="204"/>
      <c r="I19" s="204"/>
      <c r="J19" s="1272"/>
      <c r="K19" s="1275"/>
      <c r="L19" s="1249"/>
      <c r="M19" s="1249"/>
      <c r="N19" s="1249"/>
      <c r="O19" s="696"/>
    </row>
    <row r="20" spans="1:16" ht="13.5" customHeight="1">
      <c r="A20" s="109" t="s">
        <v>120</v>
      </c>
      <c r="B20" s="100"/>
      <c r="C20" s="205" t="s">
        <v>130</v>
      </c>
      <c r="D20" s="1353">
        <f>[1]!F072F1000Personnel</f>
        <v>0</v>
      </c>
      <c r="E20" s="35"/>
      <c r="F20" s="7">
        <v>0</v>
      </c>
      <c r="G20" s="7">
        <v>0</v>
      </c>
      <c r="H20" s="7">
        <v>0</v>
      </c>
      <c r="I20" s="7">
        <v>0</v>
      </c>
      <c r="J20" s="1273"/>
      <c r="K20" s="44">
        <v>0</v>
      </c>
      <c r="L20" s="1321">
        <f>[1]!F072F1000</f>
        <v>0</v>
      </c>
      <c r="M20" s="1321">
        <f>SUM(F20:K20)</f>
        <v>0</v>
      </c>
      <c r="N20" s="1322">
        <f>IF(L20=M20,0,IF(L20&gt;0,(M20-L20)/L20,""))</f>
        <v>0</v>
      </c>
      <c r="O20" s="207" t="s">
        <v>130</v>
      </c>
      <c r="P20" s="106"/>
    </row>
    <row r="21" spans="1:16" ht="13.5" customHeight="1">
      <c r="A21" s="109" t="s">
        <v>121</v>
      </c>
      <c r="B21" s="100"/>
      <c r="C21" s="205"/>
      <c r="D21" s="1274"/>
      <c r="E21" s="203"/>
      <c r="F21" s="204"/>
      <c r="G21" s="204"/>
      <c r="H21" s="204"/>
      <c r="I21" s="204"/>
      <c r="J21" s="1272"/>
      <c r="K21" s="1275"/>
      <c r="L21" s="1249"/>
      <c r="M21" s="1249"/>
      <c r="N21" s="1249"/>
      <c r="O21" s="207" t="s">
        <v>34</v>
      </c>
      <c r="P21" s="106"/>
    </row>
    <row r="22" spans="1:16" ht="13.5" customHeight="1">
      <c r="A22" s="109" t="s">
        <v>122</v>
      </c>
      <c r="B22" s="100"/>
      <c r="C22" s="205" t="s">
        <v>131</v>
      </c>
      <c r="D22" s="1353">
        <f>[1]!F072F2100Personnel</f>
        <v>0</v>
      </c>
      <c r="E22" s="35"/>
      <c r="F22" s="7">
        <v>0</v>
      </c>
      <c r="G22" s="7">
        <v>0</v>
      </c>
      <c r="H22" s="7">
        <v>0</v>
      </c>
      <c r="I22" s="7">
        <v>0</v>
      </c>
      <c r="J22" s="1273"/>
      <c r="K22" s="44">
        <v>0</v>
      </c>
      <c r="L22" s="1321">
        <f>[1]!F072F2100</f>
        <v>0</v>
      </c>
      <c r="M22" s="1321">
        <f>SUM(F22:K22)</f>
        <v>0</v>
      </c>
      <c r="N22" s="1322">
        <f>IF(L22=M22,0,IF(L22&gt;0,(M22-L22)/L22,""))</f>
        <v>0</v>
      </c>
      <c r="O22" s="207" t="s">
        <v>131</v>
      </c>
      <c r="P22" s="106"/>
    </row>
    <row r="23" spans="1:16" ht="13.5" customHeight="1">
      <c r="A23" s="109" t="s">
        <v>1193</v>
      </c>
      <c r="B23" s="100"/>
      <c r="C23" s="205" t="s">
        <v>132</v>
      </c>
      <c r="D23" s="1323">
        <f>[1]!F072F2200Personnel</f>
        <v>0</v>
      </c>
      <c r="E23" s="12"/>
      <c r="F23" s="7">
        <v>0</v>
      </c>
      <c r="G23" s="7">
        <v>0</v>
      </c>
      <c r="H23" s="7">
        <v>0</v>
      </c>
      <c r="I23" s="7">
        <v>0</v>
      </c>
      <c r="J23" s="697"/>
      <c r="K23" s="44">
        <v>0</v>
      </c>
      <c r="L23" s="1354">
        <f>[1]!F072F2200</f>
        <v>0</v>
      </c>
      <c r="M23" s="206">
        <f t="shared" ref="M23:M29" si="2">SUM(F23:K23)</f>
        <v>0</v>
      </c>
      <c r="N23" s="1326">
        <f t="shared" ref="N23:N30" si="3">IF(L23=M23,0,IF(L23&gt;0,(M23-L23)/L23,""))</f>
        <v>0</v>
      </c>
      <c r="O23" s="207" t="s">
        <v>132</v>
      </c>
      <c r="P23" s="106"/>
    </row>
    <row r="24" spans="1:16" ht="13.5" customHeight="1">
      <c r="A24" s="109" t="s">
        <v>1194</v>
      </c>
      <c r="B24" s="100"/>
      <c r="C24" s="205" t="s">
        <v>133</v>
      </c>
      <c r="D24" s="218">
        <f>[1]!F072F2300Personnel</f>
        <v>0</v>
      </c>
      <c r="E24" s="12"/>
      <c r="F24" s="7">
        <v>0</v>
      </c>
      <c r="G24" s="7">
        <v>0</v>
      </c>
      <c r="H24" s="7">
        <v>0</v>
      </c>
      <c r="I24" s="7">
        <v>0</v>
      </c>
      <c r="J24" s="697"/>
      <c r="K24" s="44">
        <v>0</v>
      </c>
      <c r="L24" s="208">
        <f>[1]!F072F2300</f>
        <v>0</v>
      </c>
      <c r="M24" s="206">
        <f t="shared" si="2"/>
        <v>0</v>
      </c>
      <c r="N24" s="209">
        <f t="shared" si="3"/>
        <v>0</v>
      </c>
      <c r="O24" s="207" t="s">
        <v>133</v>
      </c>
      <c r="P24" s="106"/>
    </row>
    <row r="25" spans="1:16" ht="13.5" customHeight="1">
      <c r="A25" s="109" t="s">
        <v>1195</v>
      </c>
      <c r="B25" s="100"/>
      <c r="C25" s="205" t="s">
        <v>134</v>
      </c>
      <c r="D25" s="218">
        <f>[1]!F072F2400Personnel</f>
        <v>0</v>
      </c>
      <c r="E25" s="12"/>
      <c r="F25" s="7">
        <v>0</v>
      </c>
      <c r="G25" s="7">
        <v>0</v>
      </c>
      <c r="H25" s="7">
        <v>0</v>
      </c>
      <c r="I25" s="7">
        <v>0</v>
      </c>
      <c r="J25" s="697"/>
      <c r="K25" s="44">
        <v>0</v>
      </c>
      <c r="L25" s="208">
        <f>[1]!F072F2400</f>
        <v>0</v>
      </c>
      <c r="M25" s="206">
        <f t="shared" si="2"/>
        <v>0</v>
      </c>
      <c r="N25" s="209">
        <f t="shared" si="3"/>
        <v>0</v>
      </c>
      <c r="O25" s="207" t="s">
        <v>134</v>
      </c>
      <c r="P25" s="106"/>
    </row>
    <row r="26" spans="1:16" ht="13.5" customHeight="1">
      <c r="A26" s="109" t="s">
        <v>1196</v>
      </c>
      <c r="B26" s="100"/>
      <c r="C26" s="205" t="s">
        <v>135</v>
      </c>
      <c r="D26" s="221">
        <f>[1]!F072F2500Personnel</f>
        <v>0</v>
      </c>
      <c r="E26" s="12"/>
      <c r="F26" s="7">
        <v>0</v>
      </c>
      <c r="G26" s="7">
        <v>0</v>
      </c>
      <c r="H26" s="7">
        <v>0</v>
      </c>
      <c r="I26" s="7">
        <v>0</v>
      </c>
      <c r="J26" s="697"/>
      <c r="K26" s="44">
        <v>0</v>
      </c>
      <c r="L26" s="208">
        <f>[1]!F072F2500</f>
        <v>0</v>
      </c>
      <c r="M26" s="206">
        <f t="shared" si="2"/>
        <v>0</v>
      </c>
      <c r="N26" s="209">
        <f t="shared" si="3"/>
        <v>0</v>
      </c>
      <c r="O26" s="207" t="s">
        <v>135</v>
      </c>
      <c r="P26" s="106"/>
    </row>
    <row r="27" spans="1:16" ht="13.5" customHeight="1">
      <c r="A27" s="109" t="s">
        <v>1197</v>
      </c>
      <c r="B27" s="100"/>
      <c r="C27" s="205" t="s">
        <v>136</v>
      </c>
      <c r="D27" s="221">
        <f>[1]!F072F2600Personnel</f>
        <v>0</v>
      </c>
      <c r="E27" s="12"/>
      <c r="F27" s="7">
        <v>0</v>
      </c>
      <c r="G27" s="7">
        <v>0</v>
      </c>
      <c r="H27" s="7">
        <v>0</v>
      </c>
      <c r="I27" s="7">
        <v>0</v>
      </c>
      <c r="J27" s="697"/>
      <c r="K27" s="44">
        <v>0</v>
      </c>
      <c r="L27" s="208">
        <f>[1]!F072F2600</f>
        <v>0</v>
      </c>
      <c r="M27" s="206">
        <f t="shared" si="2"/>
        <v>0</v>
      </c>
      <c r="N27" s="209">
        <f t="shared" si="3"/>
        <v>0</v>
      </c>
      <c r="O27" s="207" t="s">
        <v>136</v>
      </c>
      <c r="P27" s="106"/>
    </row>
    <row r="28" spans="1:16" ht="13.5" customHeight="1">
      <c r="A28" s="109" t="s">
        <v>1259</v>
      </c>
      <c r="B28" s="100"/>
      <c r="C28" s="205" t="s">
        <v>137</v>
      </c>
      <c r="D28" s="221">
        <f>[1]!F072F2700Personnel</f>
        <v>0</v>
      </c>
      <c r="E28" s="12"/>
      <c r="F28" s="7">
        <v>0</v>
      </c>
      <c r="G28" s="7">
        <v>0</v>
      </c>
      <c r="H28" s="7">
        <v>0</v>
      </c>
      <c r="I28" s="7">
        <v>0</v>
      </c>
      <c r="J28" s="697"/>
      <c r="K28" s="44">
        <v>0</v>
      </c>
      <c r="L28" s="208">
        <f>[1]!F072F2700</f>
        <v>0</v>
      </c>
      <c r="M28" s="206">
        <f t="shared" si="2"/>
        <v>0</v>
      </c>
      <c r="N28" s="209">
        <f t="shared" si="3"/>
        <v>0</v>
      </c>
      <c r="O28" s="207" t="s">
        <v>137</v>
      </c>
      <c r="P28" s="106"/>
    </row>
    <row r="29" spans="1:16" ht="13.5" customHeight="1">
      <c r="A29" s="109" t="s">
        <v>126</v>
      </c>
      <c r="B29" s="100"/>
      <c r="C29" s="205" t="s">
        <v>138</v>
      </c>
      <c r="D29" s="221">
        <f>[1]!F072F2900Personnel</f>
        <v>0</v>
      </c>
      <c r="E29" s="12"/>
      <c r="F29" s="7">
        <v>0</v>
      </c>
      <c r="G29" s="7">
        <v>0</v>
      </c>
      <c r="H29" s="7">
        <v>0</v>
      </c>
      <c r="I29" s="7">
        <v>0</v>
      </c>
      <c r="J29" s="697"/>
      <c r="K29" s="44">
        <v>0</v>
      </c>
      <c r="L29" s="208">
        <f>[1]!F072F2900</f>
        <v>0</v>
      </c>
      <c r="M29" s="206">
        <f t="shared" si="2"/>
        <v>0</v>
      </c>
      <c r="N29" s="209">
        <f t="shared" si="3"/>
        <v>0</v>
      </c>
      <c r="O29" s="207" t="s">
        <v>138</v>
      </c>
      <c r="P29" s="106"/>
    </row>
    <row r="30" spans="1:16" ht="13.5" customHeight="1">
      <c r="A30" s="698" t="s">
        <v>362</v>
      </c>
      <c r="B30" s="699"/>
      <c r="C30" s="700" t="s">
        <v>139</v>
      </c>
      <c r="D30" s="218">
        <f>SUM(D20:D29)</f>
        <v>0</v>
      </c>
      <c r="E30" s="218">
        <f>E20+SUM(E22:E29)</f>
        <v>0</v>
      </c>
      <c r="F30" s="222">
        <f>F20+SUM(F22:F29)</f>
        <v>0</v>
      </c>
      <c r="G30" s="222">
        <f>G20+SUM(G22:G29)</f>
        <v>0</v>
      </c>
      <c r="H30" s="222">
        <f>H20+SUM(H22:H29)</f>
        <v>0</v>
      </c>
      <c r="I30" s="222">
        <f>I20+SUM(I22:I29)</f>
        <v>0</v>
      </c>
      <c r="J30" s="701"/>
      <c r="K30" s="222">
        <f>K20+SUM(K22:K29)</f>
        <v>0</v>
      </c>
      <c r="L30" s="222">
        <f>SUM(L20:L29)</f>
        <v>0</v>
      </c>
      <c r="M30" s="222">
        <f>SUM(M20:M29)</f>
        <v>0</v>
      </c>
      <c r="N30" s="209">
        <f t="shared" si="3"/>
        <v>0</v>
      </c>
      <c r="O30" s="418" t="s">
        <v>139</v>
      </c>
      <c r="P30" s="106"/>
    </row>
    <row r="31" spans="1:16" ht="9" customHeight="1"/>
    <row r="33" s="102" customFormat="1"/>
    <row r="34" s="102" customFormat="1"/>
    <row r="35" s="102" customFormat="1"/>
    <row r="36" s="102" customFormat="1"/>
    <row r="37" s="102" customFormat="1"/>
    <row r="38" s="102" customFormat="1"/>
    <row r="39" s="102" customFormat="1"/>
    <row r="40" s="102" customFormat="1"/>
    <row r="41" s="102" customFormat="1"/>
    <row r="42" s="102" customFormat="1"/>
    <row r="43" s="102" customFormat="1"/>
    <row r="44" s="102" customFormat="1"/>
    <row r="45" s="102" customFormat="1"/>
    <row r="46" s="102" customFormat="1"/>
    <row r="47" s="102" customFormat="1"/>
    <row r="48" s="102" customForma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abSelected="1" topLeftCell="A22" workbookViewId="0">
      <selection activeCell="F29" sqref="F29:G29"/>
    </sheetView>
  </sheetViews>
  <sheetFormatPr defaultColWidth="8.5546875" defaultRowHeight="11.25"/>
  <cols>
    <col min="1" max="1" width="17" style="707" customWidth="1"/>
    <col min="2" max="2" width="7.33203125" style="707" customWidth="1"/>
    <col min="3" max="3" width="12.109375" style="707" customWidth="1"/>
    <col min="4" max="8" width="8.88671875" style="707" customWidth="1"/>
    <col min="9" max="9" width="10" style="707" customWidth="1"/>
    <col min="10" max="10" width="2" style="707" customWidth="1"/>
    <col min="11" max="11" width="10" style="707" customWidth="1"/>
    <col min="12" max="12" width="8.88671875" style="707" customWidth="1"/>
    <col min="13" max="255" width="5.88671875" style="707" customWidth="1"/>
    <col min="256" max="259" width="8.5546875" style="707" customWidth="1"/>
    <col min="260" max="16384" width="8.5546875" style="707"/>
  </cols>
  <sheetData>
    <row r="1" spans="1:22" ht="15">
      <c r="A1" s="703" t="str">
        <f>IF(OR(Version="Proposed",Version=""),"Summary of School District Proposed Expenditure Budget",IF(Version="Adopted","Summary of School District Adopted Expenditure Budget","Summary of School District Revised Expenditure Budget"))</f>
        <v>Summary of School District Adopted Expenditure Budget</v>
      </c>
      <c r="B1" s="1307"/>
      <c r="C1" s="1307"/>
      <c r="D1" s="1307"/>
      <c r="E1" s="1307"/>
      <c r="F1" s="703"/>
      <c r="G1" s="703"/>
      <c r="H1" s="1307" t="s">
        <v>912</v>
      </c>
      <c r="I1" s="704" t="str">
        <f>CTD</f>
        <v>130201000</v>
      </c>
      <c r="J1" s="705"/>
      <c r="K1" s="706" t="s">
        <v>363</v>
      </c>
      <c r="L1" s="165"/>
    </row>
    <row r="2" spans="1:22" ht="12" customHeight="1">
      <c r="B2" s="303"/>
      <c r="C2" s="303"/>
      <c r="D2" s="303"/>
      <c r="E2" s="303"/>
      <c r="F2" s="303"/>
      <c r="G2" s="303"/>
      <c r="H2" s="1308" t="s">
        <v>9</v>
      </c>
      <c r="I2" s="708" t="str">
        <f>Cover!C8</f>
        <v>Adopted</v>
      </c>
      <c r="J2" s="392"/>
      <c r="K2" s="706" t="s">
        <v>364</v>
      </c>
      <c r="L2" s="706" t="s">
        <v>365</v>
      </c>
      <c r="M2" s="392"/>
      <c r="N2" s="392"/>
      <c r="O2" s="392"/>
      <c r="P2" s="392"/>
      <c r="Q2" s="392"/>
      <c r="R2" s="392"/>
      <c r="S2" s="392"/>
      <c r="T2" s="392"/>
      <c r="U2" s="392"/>
      <c r="V2" s="392"/>
    </row>
    <row r="3" spans="1:22" ht="15" customHeight="1">
      <c r="A3" s="709" t="s">
        <v>999</v>
      </c>
      <c r="B3" s="1745" t="s">
        <v>1383</v>
      </c>
      <c r="C3" s="1745"/>
      <c r="D3" s="1721"/>
      <c r="E3" s="710" t="s">
        <v>366</v>
      </c>
      <c r="F3" s="92" t="s">
        <v>1305</v>
      </c>
      <c r="G3" s="1744" t="str">
        <f>_xlfn.CONCAT("County for fiscal year ",Cover!E3," was officially")</f>
        <v>County for fiscal year 2025 was officially</v>
      </c>
      <c r="H3" s="1744"/>
      <c r="I3" s="1744"/>
      <c r="J3" s="392"/>
      <c r="K3" s="706" t="s">
        <v>367</v>
      </c>
      <c r="L3" s="711" t="s">
        <v>368</v>
      </c>
      <c r="M3" s="392"/>
      <c r="N3" s="392"/>
      <c r="O3" s="392"/>
      <c r="P3" s="392"/>
      <c r="Q3" s="392"/>
      <c r="R3" s="392"/>
      <c r="S3" s="392"/>
      <c r="T3" s="392"/>
      <c r="U3" s="392"/>
      <c r="V3" s="392"/>
    </row>
    <row r="4" spans="1:22" ht="12" customHeight="1">
      <c r="A4" s="709" t="str">
        <f>IF(OR(I2="Proposed",I2=0),K1,IF(I2="Adopted",L2,K2))</f>
        <v>adopted by the Governing Board on,</v>
      </c>
      <c r="C4" s="1218">
        <f>IF(ISNUMBER(SEARCH("Revised*",I2)),Cover!E15,IF(ISNUMBER(SEARCH("Proposed*",I2)),Cover!E13,IF(ISNUMBER(SEARCH("Adopted*",I2)),Cover!E14,"")))</f>
        <v>45482</v>
      </c>
      <c r="D4" s="1746" t="str">
        <f>IF(OR(I2="Proposed",I2=0),K3,IF(I2="Adopted",L3,K4))</f>
        <v>, and that the complete Adopted Expenditure Budget may be reviewed by contacting</v>
      </c>
      <c r="E4" s="1746">
        <f>IF(ISNUMBER(SEARCH("Revised*",M2)),O2,O1)</f>
        <v>0</v>
      </c>
      <c r="F4" s="1746">
        <f>IF(ISNUMBER(SEARCH("Revised*",N2)),P2,P1)</f>
        <v>0</v>
      </c>
      <c r="G4" s="1746">
        <f>IF(ISNUMBER(SEARCH("Revised*",O2)),Q2,Q1)</f>
        <v>0</v>
      </c>
      <c r="H4" s="1746">
        <f>IF(ISNUMBER(SEARCH("Revised*",P2)),R2,R1)</f>
        <v>0</v>
      </c>
      <c r="I4" s="1746">
        <f>IF(ISNUMBER(SEARCH("Revised*",Q2)),S2,S1)</f>
        <v>0</v>
      </c>
      <c r="J4" s="392"/>
      <c r="K4" s="706" t="s">
        <v>369</v>
      </c>
      <c r="L4" s="712"/>
      <c r="M4" s="392"/>
      <c r="N4" s="392"/>
      <c r="O4" s="392"/>
      <c r="P4" s="392"/>
      <c r="Q4" s="392"/>
      <c r="R4" s="392"/>
      <c r="S4" s="392"/>
      <c r="T4" s="392"/>
      <c r="U4" s="392"/>
      <c r="V4" s="392"/>
    </row>
    <row r="5" spans="1:22" ht="12" customHeight="1">
      <c r="A5" s="30" t="s">
        <v>1308</v>
      </c>
      <c r="B5" s="1749" t="s">
        <v>370</v>
      </c>
      <c r="C5" s="1750"/>
      <c r="D5" s="1720" t="s">
        <v>1347</v>
      </c>
      <c r="E5" s="1721"/>
      <c r="F5" s="1746" t="s">
        <v>371</v>
      </c>
      <c r="G5" s="1746"/>
      <c r="H5" s="1746"/>
      <c r="I5" s="1748" t="str">
        <f>IF(I10&lt;1,"Enter average salaries on Budget Cover","")</f>
        <v/>
      </c>
      <c r="K5" s="1714" t="str">
        <f>IF(AND(ISNUMBER(SEARCH("Revised*",I2)),Cover!E15=""),"Enter revised date on Budget Cover",IF(AND(ISNUMBER(SEARCH("Proposed*",I2)),Cover!E13=""),"Enter proposed date on Budget Cover",""))</f>
        <v/>
      </c>
      <c r="L5" s="392"/>
      <c r="M5" s="392"/>
      <c r="N5" s="392"/>
      <c r="O5" s="392"/>
      <c r="P5" s="392"/>
      <c r="Q5" s="392"/>
      <c r="R5" s="392"/>
      <c r="S5" s="392"/>
      <c r="T5" s="392"/>
      <c r="U5" s="392"/>
      <c r="V5" s="392"/>
    </row>
    <row r="6" spans="1:22" ht="12">
      <c r="A6" s="713"/>
      <c r="B6" s="713"/>
      <c r="C6" s="714"/>
      <c r="D6" s="714"/>
      <c r="E6" s="1747"/>
      <c r="F6" s="1747"/>
      <c r="G6" s="1747"/>
      <c r="H6" s="713"/>
      <c r="I6" s="1748"/>
      <c r="J6" s="715"/>
      <c r="K6" s="1714"/>
      <c r="L6" s="392"/>
      <c r="M6" s="392"/>
      <c r="N6" s="392"/>
      <c r="O6" s="392"/>
      <c r="P6" s="392"/>
      <c r="Q6" s="392"/>
      <c r="R6" s="392"/>
      <c r="S6" s="392"/>
      <c r="T6" s="392"/>
      <c r="U6" s="392"/>
      <c r="V6" s="392"/>
    </row>
    <row r="7" spans="1:22" ht="12">
      <c r="A7" s="713"/>
      <c r="B7" s="714"/>
      <c r="C7" s="714"/>
      <c r="D7" s="714"/>
      <c r="E7" s="1735" t="s">
        <v>372</v>
      </c>
      <c r="F7" s="1735"/>
      <c r="G7" s="1735"/>
      <c r="H7" s="713"/>
      <c r="I7" s="1748"/>
      <c r="J7" s="715"/>
      <c r="K7" s="1714"/>
      <c r="L7" s="392"/>
      <c r="M7" s="392"/>
      <c r="N7" s="392"/>
      <c r="O7" s="392"/>
      <c r="P7" s="392"/>
      <c r="Q7" s="392"/>
      <c r="R7" s="392"/>
      <c r="S7" s="392"/>
      <c r="T7" s="392"/>
      <c r="U7" s="392"/>
      <c r="V7" s="392"/>
    </row>
    <row r="8" spans="1:22" ht="6" customHeight="1">
      <c r="A8" s="716"/>
      <c r="B8" s="716"/>
      <c r="C8" s="716"/>
      <c r="D8" s="716"/>
      <c r="E8" s="716"/>
      <c r="F8" s="716"/>
      <c r="G8" s="713"/>
      <c r="H8" s="713"/>
      <c r="I8" s="713"/>
      <c r="J8" s="392"/>
      <c r="K8" s="392"/>
      <c r="L8" s="392"/>
      <c r="M8" s="392"/>
      <c r="N8" s="392"/>
      <c r="O8" s="392"/>
      <c r="P8" s="392"/>
      <c r="Q8" s="392"/>
      <c r="R8" s="392"/>
      <c r="S8" s="392"/>
      <c r="T8" s="392"/>
      <c r="U8" s="392"/>
      <c r="V8" s="392"/>
    </row>
    <row r="9" spans="1:22" ht="11.25" customHeight="1">
      <c r="A9" s="717" t="s">
        <v>373</v>
      </c>
      <c r="B9" s="718"/>
      <c r="C9" s="1358" t="s">
        <v>957</v>
      </c>
      <c r="D9" s="1359" t="s">
        <v>958</v>
      </c>
      <c r="E9" s="719" t="s">
        <v>1000</v>
      </c>
      <c r="F9" s="720"/>
      <c r="G9" s="721"/>
      <c r="H9" s="721"/>
      <c r="I9" s="722"/>
      <c r="J9" s="392"/>
      <c r="K9" s="392"/>
      <c r="L9" s="392"/>
      <c r="M9" s="392"/>
      <c r="N9" s="392"/>
      <c r="O9" s="392"/>
      <c r="P9" s="392"/>
      <c r="Q9" s="392"/>
      <c r="R9" s="392"/>
      <c r="S9" s="392"/>
      <c r="T9" s="392"/>
      <c r="U9" s="392"/>
      <c r="V9" s="392"/>
    </row>
    <row r="10" spans="1:22" ht="10.5" customHeight="1">
      <c r="A10" s="723"/>
      <c r="B10" s="1357" t="str">
        <f>_xlfn.CONCAT(TwoYearsPrior," ADM")</f>
        <v>2023 ADM</v>
      </c>
      <c r="C10" s="1357" t="str">
        <f>_xlfn.CONCAT(PriorFiscalYear," ADM")</f>
        <v>2024 ADM</v>
      </c>
      <c r="D10" s="1356" t="str">
        <f>_xlfn.CONCAT(Cover!E3," ADM")</f>
        <v>2025 ADM</v>
      </c>
      <c r="E10" s="1355" t="str">
        <f>_xlfn.CONCAT("1. Average salary of all teachers employed in FY ",Cover!E3," (budget year)")</f>
        <v>1. Average salary of all teachers employed in FY 2025 (budget year)</v>
      </c>
      <c r="F10" s="724"/>
      <c r="G10" s="725"/>
      <c r="H10" s="100"/>
      <c r="I10" s="726">
        <f>BudgetYearSalary</f>
        <v>61250</v>
      </c>
      <c r="J10" s="392"/>
      <c r="K10" s="392"/>
      <c r="L10" s="392"/>
      <c r="M10" s="392"/>
      <c r="N10" s="392"/>
      <c r="O10" s="392"/>
      <c r="P10" s="392"/>
      <c r="Q10" s="392"/>
      <c r="R10" s="392"/>
      <c r="S10" s="392"/>
      <c r="T10" s="392"/>
      <c r="U10" s="392"/>
      <c r="V10" s="392"/>
    </row>
    <row r="11" spans="1:22" ht="10.5" customHeight="1">
      <c r="A11" s="1731" t="s">
        <v>374</v>
      </c>
      <c r="B11" s="727"/>
      <c r="C11" s="727"/>
      <c r="D11" s="728"/>
      <c r="E11" s="1355" t="str">
        <f>_xlfn.CONCAT("2. Average salary of all teachers employed in FY ",PriorFiscalYear," (prior year)")</f>
        <v>2. Average salary of all teachers employed in FY 2024 (prior year)</v>
      </c>
      <c r="F11" s="724"/>
      <c r="G11" s="725"/>
      <c r="H11" s="100"/>
      <c r="I11" s="726">
        <f>PriorYearSalary</f>
        <v>59466</v>
      </c>
      <c r="J11" s="392"/>
      <c r="K11" s="392"/>
      <c r="M11" s="729"/>
      <c r="N11" s="392"/>
      <c r="O11" s="392"/>
      <c r="P11" s="392"/>
      <c r="Q11" s="392"/>
      <c r="R11" s="392"/>
      <c r="S11" s="392"/>
      <c r="T11" s="392"/>
      <c r="U11" s="392"/>
      <c r="V11" s="392"/>
    </row>
    <row r="12" spans="1:22" ht="11.25" customHeight="1">
      <c r="A12" s="1732"/>
      <c r="B12" s="1222">
        <v>3656.3108000000002</v>
      </c>
      <c r="C12" s="1222">
        <v>3592.9576000000002</v>
      </c>
      <c r="D12" s="1223">
        <f>3632.35+26</f>
        <v>3658.35</v>
      </c>
      <c r="E12" s="730" t="s">
        <v>375</v>
      </c>
      <c r="F12" s="724"/>
      <c r="G12" s="725"/>
      <c r="H12" s="100"/>
      <c r="I12" s="731">
        <f>SalaryIncrease</f>
        <v>1784</v>
      </c>
      <c r="J12" s="392"/>
      <c r="K12" s="392"/>
      <c r="L12" s="392"/>
      <c r="M12" s="392"/>
      <c r="N12" s="392"/>
      <c r="O12" s="392"/>
      <c r="P12" s="392"/>
      <c r="Q12" s="392"/>
      <c r="R12" s="392"/>
      <c r="S12" s="392"/>
      <c r="T12" s="392"/>
      <c r="U12" s="392"/>
      <c r="V12" s="392"/>
    </row>
    <row r="13" spans="1:22" ht="10.5" customHeight="1">
      <c r="A13" s="732" t="s">
        <v>376</v>
      </c>
      <c r="B13" s="733"/>
      <c r="C13" s="734" t="s">
        <v>155</v>
      </c>
      <c r="D13" s="735" t="s">
        <v>377</v>
      </c>
      <c r="E13" s="730" t="s">
        <v>378</v>
      </c>
      <c r="F13" s="724"/>
      <c r="G13" s="725"/>
      <c r="H13" s="100"/>
      <c r="I13" s="736">
        <f>PercentageIncrease</f>
        <v>0.03</v>
      </c>
      <c r="J13" s="392"/>
      <c r="K13" s="392"/>
      <c r="L13" s="392"/>
      <c r="M13" s="392"/>
      <c r="N13" s="392"/>
      <c r="O13" s="392"/>
      <c r="P13" s="392"/>
      <c r="Q13" s="392"/>
      <c r="R13" s="392"/>
      <c r="S13" s="392"/>
      <c r="T13" s="392"/>
      <c r="U13" s="392"/>
      <c r="V13" s="392"/>
    </row>
    <row r="14" spans="1:22" ht="10.5" customHeight="1">
      <c r="A14" s="1733" t="s">
        <v>1001</v>
      </c>
      <c r="B14" s="1734"/>
      <c r="C14" s="1277"/>
      <c r="D14" s="1277"/>
      <c r="E14" s="1276"/>
      <c r="I14" s="737"/>
      <c r="J14" s="392"/>
      <c r="K14" s="714"/>
      <c r="P14" s="392"/>
      <c r="Q14" s="392"/>
      <c r="R14" s="392"/>
      <c r="S14" s="392"/>
      <c r="T14" s="392"/>
      <c r="U14" s="392"/>
      <c r="V14" s="392"/>
    </row>
    <row r="15" spans="1:22" ht="10.5" customHeight="1">
      <c r="A15" s="1733"/>
      <c r="B15" s="1734"/>
      <c r="C15" s="1278"/>
      <c r="D15" s="1279"/>
      <c r="E15" s="1736" t="str">
        <f>IF(SalaryComments="","",SalaryComments)</f>
        <v xml:space="preserve">For FY25 teacher average salary, end-of-the-year FTE and teacher contract base amount were used, which includes estimated classroom site fund pay.   Additional revenue sources for teachers, e.g. clubs, coaching, department chair, extra revenue sources for teachers, etc., are not included in the average salaries.  </v>
      </c>
      <c r="F15" s="1736"/>
      <c r="G15" s="1736"/>
      <c r="H15" s="1736"/>
      <c r="I15" s="1737"/>
      <c r="J15" s="392"/>
      <c r="K15" s="738"/>
      <c r="P15" s="392"/>
      <c r="Q15" s="392"/>
      <c r="R15" s="392"/>
      <c r="S15" s="392"/>
      <c r="T15" s="392"/>
      <c r="U15" s="392"/>
      <c r="V15" s="392"/>
    </row>
    <row r="16" spans="1:22" ht="9.75" customHeight="1">
      <c r="A16" s="1733"/>
      <c r="B16" s="1734"/>
      <c r="C16" s="1360">
        <f>PrimTaxRateCurrFY</f>
        <v>2.3540999999999999</v>
      </c>
      <c r="D16" s="1361">
        <f>EstTaxRateBudgFY</f>
        <v>2.2812000000000001</v>
      </c>
      <c r="E16" s="1738"/>
      <c r="F16" s="1738"/>
      <c r="G16" s="1738"/>
      <c r="H16" s="1738"/>
      <c r="I16" s="1739"/>
      <c r="J16" s="392"/>
      <c r="K16" s="738"/>
      <c r="P16" s="392"/>
      <c r="Q16" s="392"/>
      <c r="R16" s="392"/>
      <c r="S16" s="392"/>
      <c r="T16" s="392"/>
      <c r="U16" s="392"/>
      <c r="V16" s="392"/>
    </row>
    <row r="17" spans="1:22" ht="9.75" customHeight="1">
      <c r="A17" s="1722" t="s">
        <v>1002</v>
      </c>
      <c r="B17" s="1723"/>
      <c r="C17" s="1277"/>
      <c r="D17" s="1277"/>
      <c r="E17" s="1738"/>
      <c r="F17" s="1738"/>
      <c r="G17" s="1738"/>
      <c r="H17" s="1738"/>
      <c r="I17" s="1739"/>
      <c r="J17" s="392"/>
      <c r="K17" s="738"/>
      <c r="P17" s="392"/>
      <c r="Q17" s="392"/>
      <c r="R17" s="392"/>
      <c r="S17" s="392"/>
      <c r="T17" s="392"/>
      <c r="U17" s="392"/>
      <c r="V17" s="392"/>
    </row>
    <row r="18" spans="1:22" ht="11.25" customHeight="1">
      <c r="A18" s="1722"/>
      <c r="B18" s="1723"/>
      <c r="C18" s="1279"/>
      <c r="D18" s="1279"/>
      <c r="E18" s="1738"/>
      <c r="F18" s="1738"/>
      <c r="G18" s="1738"/>
      <c r="H18" s="1738"/>
      <c r="I18" s="1739"/>
      <c r="J18" s="392"/>
      <c r="K18" s="392"/>
      <c r="P18" s="392"/>
      <c r="Q18" s="392"/>
      <c r="R18" s="392"/>
      <c r="S18" s="392"/>
      <c r="T18" s="392"/>
      <c r="U18" s="392"/>
      <c r="V18" s="392"/>
    </row>
    <row r="19" spans="1:22" ht="11.25" customHeight="1">
      <c r="A19" s="1724"/>
      <c r="B19" s="1725"/>
      <c r="C19" s="1361">
        <f>TotSecTaxRateCurrFY</f>
        <v>6.0900000000000003E-2</v>
      </c>
      <c r="D19" s="1361">
        <f>TotSecTaxRateBudgFY</f>
        <v>6.88E-2</v>
      </c>
      <c r="E19" s="1738"/>
      <c r="F19" s="1738"/>
      <c r="G19" s="1738"/>
      <c r="H19" s="1738"/>
      <c r="I19" s="1739"/>
      <c r="J19" s="392"/>
      <c r="K19" s="392"/>
      <c r="L19" s="392"/>
      <c r="M19" s="392"/>
      <c r="N19" s="392"/>
      <c r="O19" s="392"/>
      <c r="P19" s="392"/>
      <c r="Q19" s="392"/>
      <c r="R19" s="392"/>
      <c r="S19" s="392"/>
      <c r="T19" s="392"/>
      <c r="U19" s="392"/>
      <c r="V19" s="392"/>
    </row>
    <row r="20" spans="1:22" ht="10.5" customHeight="1">
      <c r="A20" s="1491" t="s">
        <v>1250</v>
      </c>
      <c r="B20" s="739"/>
      <c r="C20" s="1718" t="s">
        <v>29</v>
      </c>
      <c r="D20" s="737"/>
      <c r="E20" s="1740"/>
      <c r="F20" s="1738"/>
      <c r="G20" s="1738"/>
      <c r="H20" s="1738"/>
      <c r="I20" s="1739"/>
      <c r="J20" s="392"/>
      <c r="K20" s="392"/>
      <c r="L20" s="392"/>
      <c r="M20" s="392"/>
      <c r="N20" s="392"/>
      <c r="O20" s="392"/>
      <c r="P20" s="392"/>
      <c r="Q20" s="392"/>
      <c r="R20" s="392"/>
      <c r="S20" s="392"/>
      <c r="T20" s="392"/>
      <c r="U20" s="392"/>
      <c r="V20" s="392"/>
    </row>
    <row r="21" spans="1:22" ht="10.5" customHeight="1">
      <c r="A21" s="740"/>
      <c r="B21" s="713"/>
      <c r="C21" s="1719"/>
      <c r="D21" s="741" t="s">
        <v>30</v>
      </c>
      <c r="E21" s="1740"/>
      <c r="F21" s="1738"/>
      <c r="G21" s="1738"/>
      <c r="H21" s="1738"/>
      <c r="I21" s="1739"/>
      <c r="J21" s="392"/>
      <c r="K21" s="392"/>
      <c r="L21" s="392"/>
      <c r="M21" s="392"/>
      <c r="N21" s="392"/>
      <c r="O21" s="392"/>
      <c r="P21" s="392"/>
      <c r="Q21" s="392"/>
      <c r="R21" s="392"/>
      <c r="S21" s="392"/>
      <c r="T21" s="392"/>
      <c r="U21" s="392"/>
      <c r="V21" s="392"/>
    </row>
    <row r="22" spans="1:22" ht="10.5" customHeight="1">
      <c r="A22" s="1726" t="s">
        <v>1270</v>
      </c>
      <c r="B22" s="1727"/>
      <c r="C22" s="742">
        <f>F001TotalExp</f>
        <v>32686373</v>
      </c>
      <c r="D22" s="743">
        <f>GBLBudgFY</f>
        <v>32686373</v>
      </c>
      <c r="E22" s="1740"/>
      <c r="F22" s="1738"/>
      <c r="G22" s="1738"/>
      <c r="H22" s="1738"/>
      <c r="I22" s="1739"/>
      <c r="J22" s="392"/>
      <c r="K22" s="392"/>
      <c r="L22" s="392"/>
      <c r="M22" s="392"/>
      <c r="N22" s="392"/>
      <c r="O22" s="392"/>
      <c r="P22" s="392"/>
      <c r="Q22" s="392"/>
      <c r="R22" s="392"/>
      <c r="S22" s="392"/>
      <c r="T22" s="392"/>
      <c r="U22" s="392"/>
      <c r="V22" s="392"/>
    </row>
    <row r="23" spans="1:22" ht="10.5" customHeight="1">
      <c r="A23" s="1726" t="s">
        <v>379</v>
      </c>
      <c r="B23" s="1728"/>
      <c r="C23" s="744">
        <f>F010TotalExp</f>
        <v>4188135</v>
      </c>
      <c r="D23" s="745">
        <f>'Page 3'!CSFBLBudgFY</f>
        <v>4188135</v>
      </c>
      <c r="E23" s="1740"/>
      <c r="F23" s="1738"/>
      <c r="G23" s="1738"/>
      <c r="H23" s="1738"/>
      <c r="I23" s="1739"/>
      <c r="J23" s="392"/>
      <c r="K23" s="392"/>
      <c r="L23" s="392"/>
      <c r="M23" s="392"/>
      <c r="N23" s="392"/>
      <c r="O23" s="392"/>
      <c r="P23" s="392"/>
      <c r="Q23" s="392"/>
      <c r="R23" s="392"/>
      <c r="S23" s="392"/>
      <c r="T23" s="392"/>
      <c r="U23" s="392"/>
      <c r="V23" s="392"/>
    </row>
    <row r="24" spans="1:22" ht="10.5" customHeight="1">
      <c r="A24" s="1729" t="s">
        <v>1269</v>
      </c>
      <c r="B24" s="1730"/>
      <c r="C24" s="746">
        <f>F610TotalBudgFY</f>
        <v>2449329</v>
      </c>
      <c r="D24" s="746">
        <f>UCBLBudgFY</f>
        <v>2449329</v>
      </c>
      <c r="E24" s="1741"/>
      <c r="F24" s="1742"/>
      <c r="G24" s="1742"/>
      <c r="H24" s="1742"/>
      <c r="I24" s="1743"/>
      <c r="J24" s="392"/>
      <c r="K24" s="392"/>
      <c r="L24" s="392"/>
      <c r="M24" s="392"/>
      <c r="N24" s="392"/>
      <c r="O24" s="392"/>
      <c r="P24" s="392"/>
      <c r="Q24" s="392"/>
      <c r="R24" s="392"/>
      <c r="S24" s="392"/>
      <c r="T24" s="392"/>
      <c r="U24" s="392"/>
      <c r="V24" s="392"/>
    </row>
    <row r="25" spans="1:22" ht="9" customHeight="1">
      <c r="B25" s="433"/>
      <c r="C25" s="747"/>
      <c r="J25" s="392"/>
      <c r="K25" s="392"/>
      <c r="L25" s="392"/>
      <c r="M25" s="392"/>
      <c r="N25" s="392"/>
      <c r="O25" s="392"/>
      <c r="P25" s="392"/>
      <c r="Q25" s="392"/>
      <c r="R25" s="392"/>
      <c r="S25" s="392"/>
      <c r="T25" s="392"/>
      <c r="U25" s="392"/>
      <c r="V25" s="392"/>
    </row>
    <row r="26" spans="1:22" ht="8.25" customHeight="1">
      <c r="A26" s="748"/>
      <c r="B26" s="748"/>
      <c r="C26" s="749"/>
      <c r="D26" s="749"/>
      <c r="E26" s="749"/>
      <c r="F26" s="749"/>
      <c r="G26" s="749"/>
      <c r="H26" s="749"/>
      <c r="I26" s="750"/>
      <c r="J26" s="392"/>
      <c r="K26" s="392"/>
      <c r="L26" s="392"/>
      <c r="M26" s="392"/>
      <c r="N26" s="392"/>
      <c r="O26" s="392"/>
      <c r="P26" s="392"/>
      <c r="Q26" s="392"/>
      <c r="R26" s="392"/>
      <c r="S26" s="392"/>
      <c r="T26" s="392"/>
      <c r="U26" s="392"/>
      <c r="V26" s="392"/>
    </row>
    <row r="27" spans="1:22" ht="12">
      <c r="A27" s="1715" t="s">
        <v>954</v>
      </c>
      <c r="B27" s="1716"/>
      <c r="C27" s="1716"/>
      <c r="D27" s="1716"/>
      <c r="E27" s="1716"/>
      <c r="F27" s="1716"/>
      <c r="G27" s="1716"/>
      <c r="H27" s="1716"/>
      <c r="I27" s="1717"/>
      <c r="J27" s="392"/>
      <c r="K27" s="392"/>
      <c r="L27" s="392"/>
      <c r="M27" s="392"/>
      <c r="N27" s="392"/>
      <c r="O27" s="392"/>
      <c r="P27" s="392"/>
      <c r="Q27" s="392"/>
      <c r="R27" s="392"/>
      <c r="S27" s="392"/>
      <c r="T27" s="392"/>
      <c r="U27" s="392"/>
      <c r="V27" s="392"/>
    </row>
    <row r="28" spans="1:22" ht="12">
      <c r="A28" s="723"/>
      <c r="B28" s="751"/>
      <c r="C28" s="752"/>
      <c r="D28" s="753"/>
      <c r="E28" s="754"/>
      <c r="F28" s="755"/>
      <c r="G28" s="756" t="s">
        <v>34</v>
      </c>
      <c r="H28" s="757"/>
      <c r="I28" s="758" t="s">
        <v>380</v>
      </c>
      <c r="J28" s="392"/>
      <c r="K28" s="392"/>
      <c r="L28" s="392"/>
      <c r="M28" s="392"/>
      <c r="N28" s="392"/>
      <c r="O28" s="392"/>
      <c r="P28" s="392"/>
      <c r="Q28" s="392"/>
      <c r="R28" s="392"/>
      <c r="S28" s="392"/>
      <c r="T28" s="392"/>
      <c r="U28" s="392"/>
      <c r="V28" s="392"/>
    </row>
    <row r="29" spans="1:22" ht="12">
      <c r="A29" s="723"/>
      <c r="B29" s="716"/>
      <c r="C29" s="759" t="s">
        <v>381</v>
      </c>
      <c r="D29" s="760"/>
      <c r="E29" s="761" t="s">
        <v>108</v>
      </c>
      <c r="F29" s="762"/>
      <c r="G29" s="760" t="s">
        <v>382</v>
      </c>
      <c r="H29" s="763"/>
      <c r="I29" s="764" t="s">
        <v>383</v>
      </c>
      <c r="J29" s="392"/>
      <c r="K29" s="392"/>
      <c r="L29" s="392"/>
      <c r="M29" s="392"/>
      <c r="N29" s="392"/>
      <c r="O29" s="392"/>
      <c r="P29" s="392"/>
      <c r="Q29" s="392"/>
      <c r="R29" s="392"/>
      <c r="S29" s="392"/>
      <c r="T29" s="392"/>
      <c r="U29" s="392"/>
      <c r="V29" s="392"/>
    </row>
    <row r="30" spans="1:22" ht="12">
      <c r="A30" s="723"/>
      <c r="B30" s="716"/>
      <c r="C30" s="758" t="s">
        <v>155</v>
      </c>
      <c r="D30" s="758" t="s">
        <v>156</v>
      </c>
      <c r="E30" s="764" t="s">
        <v>155</v>
      </c>
      <c r="F30" s="764" t="s">
        <v>156</v>
      </c>
      <c r="G30" s="758" t="s">
        <v>155</v>
      </c>
      <c r="H30" s="758" t="s">
        <v>156</v>
      </c>
      <c r="I30" s="764" t="s">
        <v>155</v>
      </c>
      <c r="J30" s="392"/>
      <c r="K30" s="392"/>
      <c r="L30" s="392"/>
      <c r="M30" s="392"/>
      <c r="N30" s="392"/>
      <c r="O30" s="392"/>
      <c r="P30" s="392"/>
      <c r="Q30" s="392"/>
      <c r="R30" s="392"/>
      <c r="S30" s="392"/>
      <c r="T30" s="392"/>
      <c r="U30" s="392"/>
      <c r="V30" s="392"/>
    </row>
    <row r="31" spans="1:22" ht="7.5" customHeight="1">
      <c r="A31" s="723"/>
      <c r="B31" s="716"/>
      <c r="C31" s="1280"/>
      <c r="D31" s="1280"/>
      <c r="E31" s="1280"/>
      <c r="F31" s="1280"/>
      <c r="G31" s="1280"/>
      <c r="H31" s="1280"/>
      <c r="I31" s="1280"/>
      <c r="J31" s="392"/>
      <c r="K31" s="392"/>
      <c r="L31" s="392"/>
      <c r="M31" s="392"/>
      <c r="N31" s="392"/>
      <c r="O31" s="392"/>
      <c r="P31" s="392"/>
      <c r="Q31" s="392"/>
      <c r="R31" s="392"/>
      <c r="S31" s="392"/>
      <c r="T31" s="392"/>
      <c r="U31" s="392"/>
      <c r="V31" s="392"/>
    </row>
    <row r="32" spans="1:22" ht="12.75" customHeight="1">
      <c r="A32" s="1492" t="s">
        <v>1191</v>
      </c>
      <c r="B32" s="770"/>
      <c r="C32" s="1277"/>
      <c r="D32" s="1277"/>
      <c r="E32" s="1277"/>
      <c r="F32" s="1277"/>
      <c r="G32" s="1277"/>
      <c r="H32" s="1277"/>
      <c r="I32" s="1277"/>
      <c r="J32" s="392"/>
      <c r="K32" s="392"/>
      <c r="L32" s="392"/>
      <c r="M32" s="392"/>
      <c r="N32" s="392"/>
      <c r="O32" s="392"/>
      <c r="P32" s="392"/>
      <c r="Q32" s="392"/>
      <c r="R32" s="392"/>
      <c r="S32" s="392"/>
      <c r="T32" s="392"/>
      <c r="U32" s="392"/>
      <c r="V32" s="392"/>
    </row>
    <row r="33" spans="1:22" ht="12.75" customHeight="1">
      <c r="A33" s="1492" t="s">
        <v>120</v>
      </c>
      <c r="B33" s="770"/>
      <c r="C33" s="1363">
        <f>[1]!F001P100F1000SBBudgFY</f>
        <v>12254124</v>
      </c>
      <c r="D33" s="1363">
        <f>F001P100F1000O6100+F001P100F1000O6200</f>
        <v>12155623</v>
      </c>
      <c r="E33" s="1363">
        <f>[1]!F001P100F1000OthBudgFY</f>
        <v>896021</v>
      </c>
      <c r="F33" s="1363">
        <f>F001P100F1000O630064006500+F001P100F1000O6600+F001P100F1000O6800</f>
        <v>749738</v>
      </c>
      <c r="G33" s="1363">
        <f>C33+E33</f>
        <v>13150145</v>
      </c>
      <c r="H33" s="1363">
        <f>D33+F33</f>
        <v>12905361</v>
      </c>
      <c r="I33" s="1364">
        <f>IF(G33=H33,0,IF(G33&gt;0,(H33-G33)/G33,""))</f>
        <v>-1.9E-2</v>
      </c>
      <c r="J33" s="392"/>
      <c r="K33" s="392"/>
      <c r="L33" s="392"/>
      <c r="M33" s="392"/>
      <c r="N33" s="392"/>
      <c r="O33" s="392"/>
      <c r="P33" s="392"/>
      <c r="Q33" s="392"/>
      <c r="R33" s="392"/>
      <c r="S33" s="392"/>
      <c r="T33" s="392"/>
      <c r="U33" s="392"/>
      <c r="V33" s="392"/>
    </row>
    <row r="34" spans="1:22" ht="12.75" customHeight="1">
      <c r="A34" s="1492" t="s">
        <v>1192</v>
      </c>
      <c r="B34" s="770"/>
      <c r="C34" s="1365"/>
      <c r="D34" s="1365"/>
      <c r="E34" s="1365"/>
      <c r="F34" s="1365"/>
      <c r="G34" s="1365"/>
      <c r="H34" s="1365"/>
      <c r="I34" s="1365"/>
      <c r="J34" s="392"/>
      <c r="K34" s="392"/>
      <c r="L34" s="392"/>
      <c r="M34" s="392"/>
      <c r="N34" s="392"/>
      <c r="O34" s="392"/>
      <c r="P34" s="392"/>
      <c r="Q34" s="392"/>
      <c r="R34" s="392"/>
      <c r="S34" s="392"/>
      <c r="T34" s="392"/>
      <c r="U34" s="392"/>
      <c r="V34" s="392"/>
    </row>
    <row r="35" spans="1:22" ht="12.75" customHeight="1">
      <c r="A35" s="1492" t="s">
        <v>122</v>
      </c>
      <c r="B35" s="771"/>
      <c r="C35" s="1363">
        <f>[1]!F001P100F2100SBBudgFY</f>
        <v>1510370</v>
      </c>
      <c r="D35" s="1363">
        <f>F001P100F2100O6100+F001P100F2100O6200</f>
        <v>1372947</v>
      </c>
      <c r="E35" s="1363">
        <f>[1]!F001P100F2100OthBudgFY</f>
        <v>41620</v>
      </c>
      <c r="F35" s="1363">
        <f>F001P100F2100O630064006500+F001P100F2100O6600+F001P100F2100O6800</f>
        <v>48671</v>
      </c>
      <c r="G35" s="1363">
        <f>C35+E35</f>
        <v>1551990</v>
      </c>
      <c r="H35" s="1363">
        <f>D35+F35</f>
        <v>1421618</v>
      </c>
      <c r="I35" s="1364">
        <f>IF(G35=H35,0,IF(G35&gt;0,(H35-G35)/G35,""))</f>
        <v>-8.4000000000000005E-2</v>
      </c>
      <c r="J35" s="392"/>
      <c r="K35" s="392"/>
      <c r="L35" s="392"/>
      <c r="M35" s="392"/>
      <c r="N35" s="392"/>
      <c r="O35" s="392"/>
      <c r="P35" s="392"/>
      <c r="Q35" s="392"/>
      <c r="R35" s="392"/>
      <c r="S35" s="392"/>
      <c r="T35" s="392"/>
      <c r="U35" s="392"/>
      <c r="V35" s="392"/>
    </row>
    <row r="36" spans="1:22" ht="13.5" customHeight="1">
      <c r="A36" s="766" t="s">
        <v>1193</v>
      </c>
      <c r="B36" s="770"/>
      <c r="C36" s="772">
        <f>[1]!F001P100F2200SBBudgFY</f>
        <v>1248218</v>
      </c>
      <c r="D36" s="772">
        <f>F001P100F2200O6100+F001P100F2200O6200</f>
        <v>1208995</v>
      </c>
      <c r="E36" s="772">
        <f>[1]!F001P100F2200OthBudgFY</f>
        <v>175678</v>
      </c>
      <c r="F36" s="772">
        <f>F001P100F2200O630064006500+F001P100F2200O6600+F001P100F2200O6800</f>
        <v>168036</v>
      </c>
      <c r="G36" s="772">
        <f t="shared" ref="G36:H43" si="0">C36+E36</f>
        <v>1423896</v>
      </c>
      <c r="H36" s="772">
        <f t="shared" si="0"/>
        <v>1377031</v>
      </c>
      <c r="I36" s="779">
        <f t="shared" ref="I36:I44" si="1">IF(G36=H36,0,IF(G36&gt;0,(H36-G36)/G36,""))</f>
        <v>-3.3000000000000002E-2</v>
      </c>
      <c r="J36" s="392"/>
      <c r="K36" s="392"/>
      <c r="L36" s="392"/>
      <c r="M36" s="392"/>
      <c r="N36" s="392"/>
      <c r="O36" s="392"/>
      <c r="P36" s="392"/>
      <c r="Q36" s="392"/>
      <c r="R36" s="392"/>
      <c r="S36" s="392"/>
      <c r="T36" s="392"/>
      <c r="U36" s="392"/>
      <c r="V36" s="392"/>
    </row>
    <row r="37" spans="1:22" ht="13.5" customHeight="1">
      <c r="A37" s="766" t="s">
        <v>384</v>
      </c>
      <c r="B37" s="770"/>
      <c r="C37" s="773">
        <f>[1]!F001P100F230024002500SBBudgFY</f>
        <v>3098829</v>
      </c>
      <c r="D37" s="772">
        <f>F001P100F2300O6100+F001P100F2400O6100+F001P100F2500O6100+F001P100F2300O6200+F001P100F2400O6200+F001P100F2500O6200</f>
        <v>3085438</v>
      </c>
      <c r="E37" s="773">
        <f>[1]!F001P100F230024002500OthBudgFY</f>
        <v>522587</v>
      </c>
      <c r="F37" s="772">
        <f>F001P100F2300O630064006500+F001P100F2300O6600+F001P100F2300O6800+F001P100F2400O630064006500+F001P100F2400O6600+F001P100F2400O6800+F001P100F2500O630064006500+F001P100F2500O6600+F001P100F2500O6800</f>
        <v>514528</v>
      </c>
      <c r="G37" s="773">
        <f t="shared" si="0"/>
        <v>3621416</v>
      </c>
      <c r="H37" s="772">
        <f t="shared" si="0"/>
        <v>3599966</v>
      </c>
      <c r="I37" s="777">
        <f t="shared" si="1"/>
        <v>-6.0000000000000001E-3</v>
      </c>
      <c r="J37" s="392"/>
      <c r="K37" s="392"/>
      <c r="L37" s="392"/>
      <c r="M37" s="392"/>
      <c r="N37" s="392"/>
      <c r="O37" s="392"/>
      <c r="P37" s="392"/>
      <c r="Q37" s="392"/>
      <c r="R37" s="392"/>
      <c r="S37" s="392"/>
      <c r="T37" s="392"/>
      <c r="U37" s="392"/>
      <c r="V37" s="392"/>
    </row>
    <row r="38" spans="1:22" ht="12.75" customHeight="1">
      <c r="A38" s="766" t="s">
        <v>1251</v>
      </c>
      <c r="B38" s="771"/>
      <c r="C38" s="773">
        <f>[1]!F001P100F2600SBBudgFY</f>
        <v>870163</v>
      </c>
      <c r="D38" s="772">
        <f>F001P100F2600O6100+F001P100F2600O6200</f>
        <v>834700</v>
      </c>
      <c r="E38" s="773">
        <f>[1]!F001P100F2600OthBudgFY</f>
        <v>4053066</v>
      </c>
      <c r="F38" s="773">
        <f>F001P100F2600O630064006500+F001P100F2600O6600+F001P100F2600O6800</f>
        <v>4026837</v>
      </c>
      <c r="G38" s="773">
        <f t="shared" si="0"/>
        <v>4923229</v>
      </c>
      <c r="H38" s="772">
        <f t="shared" si="0"/>
        <v>4861537</v>
      </c>
      <c r="I38" s="777">
        <f t="shared" si="1"/>
        <v>-1.2999999999999999E-2</v>
      </c>
      <c r="J38" s="392"/>
      <c r="K38" s="392"/>
      <c r="L38" s="392"/>
      <c r="M38" s="392"/>
      <c r="N38" s="392"/>
      <c r="O38" s="392"/>
      <c r="P38" s="392"/>
      <c r="Q38" s="392"/>
      <c r="R38" s="392"/>
      <c r="S38" s="392"/>
      <c r="T38" s="392"/>
      <c r="U38" s="392"/>
      <c r="V38" s="392"/>
    </row>
    <row r="39" spans="1:22" ht="13.5" customHeight="1">
      <c r="A39" s="1492" t="s">
        <v>385</v>
      </c>
      <c r="B39" s="770"/>
      <c r="C39" s="773">
        <f>[1]!F001P100F2900SBBudgFY</f>
        <v>0</v>
      </c>
      <c r="D39" s="772">
        <f>F001P100F2900O6100+F001P100F2900O6200</f>
        <v>0</v>
      </c>
      <c r="E39" s="773">
        <f>[1]!F001P100F2900OthBudgFY</f>
        <v>0</v>
      </c>
      <c r="F39" s="773">
        <f>F001P100F2900O630064006500+F001P100F2900O6600+F001P100F2900O6800</f>
        <v>0</v>
      </c>
      <c r="G39" s="773">
        <f t="shared" si="0"/>
        <v>0</v>
      </c>
      <c r="H39" s="772">
        <f t="shared" si="0"/>
        <v>0</v>
      </c>
      <c r="I39" s="777">
        <f t="shared" si="1"/>
        <v>0</v>
      </c>
      <c r="J39" s="392"/>
      <c r="K39" s="392"/>
      <c r="L39" s="392"/>
      <c r="M39" s="392"/>
      <c r="N39" s="392"/>
      <c r="O39" s="392"/>
      <c r="P39" s="392"/>
      <c r="Q39" s="392"/>
      <c r="R39" s="392"/>
      <c r="S39" s="392"/>
      <c r="T39" s="392"/>
      <c r="U39" s="392"/>
      <c r="V39" s="392"/>
    </row>
    <row r="40" spans="1:22" ht="13.5" customHeight="1">
      <c r="A40" s="1492" t="s">
        <v>1252</v>
      </c>
      <c r="B40" s="770"/>
      <c r="C40" s="773">
        <f>[1]!F001P100F3000SBBudgFY</f>
        <v>91142</v>
      </c>
      <c r="D40" s="772">
        <f>F001P100F3000O6100+F001P100F3000O6200</f>
        <v>86113</v>
      </c>
      <c r="E40" s="773">
        <f>[1]!F001P100F3000OthBudgFY</f>
        <v>11773</v>
      </c>
      <c r="F40" s="773">
        <f>F001P100F3000O630064006500+F001P100F3000O6600+F001P100F3000O6800</f>
        <v>6123</v>
      </c>
      <c r="G40" s="773">
        <f t="shared" si="0"/>
        <v>102915</v>
      </c>
      <c r="H40" s="772">
        <f t="shared" si="0"/>
        <v>92236</v>
      </c>
      <c r="I40" s="777">
        <f t="shared" si="1"/>
        <v>-0.104</v>
      </c>
      <c r="J40" s="392"/>
      <c r="K40" s="392"/>
      <c r="L40" s="392"/>
      <c r="M40" s="392"/>
      <c r="N40" s="392"/>
      <c r="O40" s="392"/>
      <c r="P40" s="392"/>
      <c r="Q40" s="392"/>
      <c r="R40" s="392"/>
      <c r="S40" s="392"/>
      <c r="T40" s="392"/>
      <c r="U40" s="392"/>
      <c r="V40" s="392"/>
    </row>
    <row r="41" spans="1:22" ht="13.5" customHeight="1">
      <c r="A41" s="1493" t="s">
        <v>1253</v>
      </c>
      <c r="B41" s="770"/>
      <c r="C41" s="773">
        <f>[1]!F001P610SBBudgFY</f>
        <v>20474</v>
      </c>
      <c r="D41" s="772">
        <f>F001P610O6100+F001P610O6200</f>
        <v>11641</v>
      </c>
      <c r="E41" s="773">
        <f>[1]!F001P610OthBudgFY</f>
        <v>0</v>
      </c>
      <c r="F41" s="773">
        <f>F001P610O630064006500+F001P610O6600+F001P610O6800</f>
        <v>0</v>
      </c>
      <c r="G41" s="773">
        <f t="shared" si="0"/>
        <v>20474</v>
      </c>
      <c r="H41" s="772">
        <f t="shared" si="0"/>
        <v>11641</v>
      </c>
      <c r="I41" s="777">
        <f t="shared" si="1"/>
        <v>-0.43099999999999999</v>
      </c>
      <c r="J41" s="392"/>
      <c r="K41" s="392"/>
      <c r="L41" s="392"/>
      <c r="M41" s="392"/>
      <c r="N41" s="392"/>
      <c r="O41" s="392"/>
      <c r="P41" s="392"/>
      <c r="Q41" s="392"/>
      <c r="R41" s="392"/>
      <c r="S41" s="392"/>
      <c r="T41" s="392"/>
      <c r="U41" s="392"/>
      <c r="V41" s="392"/>
    </row>
    <row r="42" spans="1:22" ht="13.5" customHeight="1">
      <c r="A42" s="1493" t="s">
        <v>1200</v>
      </c>
      <c r="B42" s="770"/>
      <c r="C42" s="773">
        <f>[1]!F001P620SBBudgFY</f>
        <v>336402</v>
      </c>
      <c r="D42" s="772">
        <f>F001P620O6100+F001P620O6200</f>
        <v>338222</v>
      </c>
      <c r="E42" s="773">
        <f>[1]!F001P620OthBudgFY</f>
        <v>15073</v>
      </c>
      <c r="F42" s="773">
        <f>F001P620O630064006500+F001P620O6600+F001P620O6800</f>
        <v>0</v>
      </c>
      <c r="G42" s="773">
        <f t="shared" si="0"/>
        <v>351475</v>
      </c>
      <c r="H42" s="772">
        <f t="shared" si="0"/>
        <v>338222</v>
      </c>
      <c r="I42" s="777">
        <f t="shared" si="1"/>
        <v>-3.7999999999999999E-2</v>
      </c>
      <c r="J42" s="392"/>
      <c r="K42" s="392"/>
      <c r="L42" s="392"/>
      <c r="M42" s="392"/>
      <c r="N42" s="392"/>
      <c r="O42" s="392"/>
      <c r="P42" s="392"/>
      <c r="Q42" s="392"/>
      <c r="R42" s="392"/>
      <c r="S42" s="392"/>
      <c r="T42" s="392"/>
      <c r="U42" s="392"/>
      <c r="V42" s="392"/>
    </row>
    <row r="43" spans="1:22" ht="13.5" customHeight="1">
      <c r="A43" s="1493" t="s">
        <v>1254</v>
      </c>
      <c r="B43" s="770"/>
      <c r="C43" s="773">
        <f>[1]!F001P630700800900SBBudgFY</f>
        <v>0</v>
      </c>
      <c r="D43" s="772">
        <f>F001P630O6100+F001P630O6200+F001P700800900O6100+F001P700800900O6200</f>
        <v>0</v>
      </c>
      <c r="E43" s="773">
        <f>[1]!F001P630700800900OthBudgFY</f>
        <v>119905</v>
      </c>
      <c r="F43" s="773">
        <f>F001P630O630064006500+F001P630O6600+F001P630O6800+F001P700800900O630064006500+F001P700800900O6600+F001P700800900O6800</f>
        <v>113286</v>
      </c>
      <c r="G43" s="773">
        <f t="shared" si="0"/>
        <v>119905</v>
      </c>
      <c r="H43" s="772">
        <f t="shared" si="0"/>
        <v>113286</v>
      </c>
      <c r="I43" s="777">
        <f t="shared" si="1"/>
        <v>-5.5E-2</v>
      </c>
      <c r="J43" s="392"/>
      <c r="K43" s="392"/>
      <c r="L43" s="392"/>
      <c r="M43" s="392"/>
      <c r="N43" s="392"/>
      <c r="O43" s="392"/>
      <c r="P43" s="392"/>
      <c r="Q43" s="392"/>
      <c r="R43" s="392"/>
      <c r="S43" s="392"/>
      <c r="T43" s="392"/>
      <c r="U43" s="392"/>
      <c r="V43" s="392"/>
    </row>
    <row r="44" spans="1:22" ht="12.75" customHeight="1">
      <c r="A44" s="1494" t="s">
        <v>1255</v>
      </c>
      <c r="B44" s="1495"/>
      <c r="C44" s="1366">
        <f t="shared" ref="C44:H44" si="2">SUM(C33:C43)</f>
        <v>19429722</v>
      </c>
      <c r="D44" s="1366">
        <f t="shared" si="2"/>
        <v>19093679</v>
      </c>
      <c r="E44" s="1366">
        <f t="shared" si="2"/>
        <v>5835723</v>
      </c>
      <c r="F44" s="1366">
        <f t="shared" si="2"/>
        <v>5627219</v>
      </c>
      <c r="G44" s="1366">
        <f t="shared" si="2"/>
        <v>25265445</v>
      </c>
      <c r="H44" s="1366">
        <f t="shared" si="2"/>
        <v>24720898</v>
      </c>
      <c r="I44" s="1367">
        <f t="shared" si="1"/>
        <v>-2.1999999999999999E-2</v>
      </c>
      <c r="J44" s="392"/>
      <c r="K44" s="392"/>
      <c r="L44" s="392"/>
      <c r="M44" s="392"/>
      <c r="N44" s="392"/>
      <c r="O44" s="392"/>
      <c r="P44" s="392"/>
      <c r="Q44" s="392"/>
      <c r="R44" s="392"/>
      <c r="S44" s="392"/>
      <c r="T44" s="392"/>
      <c r="U44" s="392"/>
      <c r="V44" s="392"/>
    </row>
    <row r="45" spans="1:22" ht="12.75" customHeight="1">
      <c r="A45" s="1492" t="s">
        <v>1204</v>
      </c>
      <c r="B45" s="770"/>
      <c r="C45" s="1365"/>
      <c r="D45" s="1365"/>
      <c r="E45" s="1365"/>
      <c r="F45" s="1365"/>
      <c r="G45" s="1365"/>
      <c r="H45" s="1365"/>
      <c r="I45" s="1365"/>
      <c r="J45" s="392"/>
      <c r="K45" s="392"/>
      <c r="L45" s="392"/>
      <c r="M45" s="392"/>
      <c r="N45" s="392"/>
      <c r="O45" s="392"/>
      <c r="P45" s="392"/>
      <c r="Q45" s="392"/>
      <c r="R45" s="392"/>
      <c r="S45" s="392"/>
      <c r="T45" s="392"/>
      <c r="U45" s="392"/>
      <c r="V45" s="392"/>
    </row>
    <row r="46" spans="1:22" ht="12.75" customHeight="1">
      <c r="A46" s="1492" t="s">
        <v>120</v>
      </c>
      <c r="B46" s="770"/>
      <c r="C46" s="1363">
        <f>[1]!F001P200F1000SBBudgFY</f>
        <v>3256381</v>
      </c>
      <c r="D46" s="1363">
        <f>F001P200F1000O6100+F001P200F1000O6200</f>
        <v>3366370</v>
      </c>
      <c r="E46" s="1363">
        <f>[1]!F001P200F1000OthBudgFY</f>
        <v>1990</v>
      </c>
      <c r="F46" s="1363">
        <f>F001P200F1000O630064006500+F001P200F1000O6600+F001P200F1000O6800</f>
        <v>2116</v>
      </c>
      <c r="G46" s="1363">
        <f>C46+E46</f>
        <v>3258371</v>
      </c>
      <c r="H46" s="1363">
        <f>D46+F46</f>
        <v>3368486</v>
      </c>
      <c r="I46" s="1364">
        <f>IF(G46=H46,0,IF(G46&gt;0,(H46-G46)/G46,""))</f>
        <v>3.4000000000000002E-2</v>
      </c>
      <c r="J46" s="392"/>
      <c r="K46" s="392"/>
      <c r="L46" s="392"/>
      <c r="M46" s="392"/>
      <c r="N46" s="392"/>
      <c r="O46" s="392"/>
      <c r="P46" s="392"/>
      <c r="Q46" s="392"/>
      <c r="R46" s="392"/>
      <c r="S46" s="392"/>
      <c r="T46" s="392"/>
      <c r="U46" s="392"/>
      <c r="V46" s="392"/>
    </row>
    <row r="47" spans="1:22" ht="12.75" customHeight="1">
      <c r="A47" s="1492" t="s">
        <v>1192</v>
      </c>
      <c r="B47" s="770"/>
      <c r="C47" s="1365"/>
      <c r="D47" s="1365"/>
      <c r="E47" s="1365"/>
      <c r="F47" s="1365"/>
      <c r="G47" s="1365"/>
      <c r="H47" s="1365"/>
      <c r="I47" s="1365"/>
      <c r="J47" s="392"/>
      <c r="K47" s="392"/>
      <c r="L47" s="392"/>
      <c r="M47" s="392"/>
      <c r="N47" s="392"/>
      <c r="O47" s="392"/>
      <c r="P47" s="392"/>
      <c r="Q47" s="392"/>
      <c r="R47" s="392"/>
      <c r="S47" s="392"/>
      <c r="T47" s="392"/>
      <c r="U47" s="392"/>
      <c r="V47" s="392"/>
    </row>
    <row r="48" spans="1:22" ht="12.75" customHeight="1">
      <c r="A48" s="1492" t="s">
        <v>122</v>
      </c>
      <c r="B48" s="771"/>
      <c r="C48" s="1363">
        <f>[1]!F001P200F2100SBBudgFY</f>
        <v>2079869</v>
      </c>
      <c r="D48" s="1363">
        <f>F001P200F2100O6100+F001P200F2100O6200</f>
        <v>1988719</v>
      </c>
      <c r="E48" s="1363">
        <f>[1]!F001P200F2100OthBudgFY</f>
        <v>238950</v>
      </c>
      <c r="F48" s="1363">
        <f>F001P200F2100O630064006500+F001P200F2100O6600+F001P200F2100O6800</f>
        <v>225932</v>
      </c>
      <c r="G48" s="1363">
        <f>C48+E48</f>
        <v>2318819</v>
      </c>
      <c r="H48" s="1363">
        <f>D48+F48</f>
        <v>2214651</v>
      </c>
      <c r="I48" s="1364">
        <f>IF(G48=H48,0,IF(G48&gt;0,(H48-G48)/G48,""))</f>
        <v>-4.4999999999999998E-2</v>
      </c>
      <c r="J48" s="392"/>
      <c r="K48" s="392"/>
      <c r="L48" s="392"/>
      <c r="M48" s="392"/>
      <c r="N48" s="392"/>
      <c r="O48" s="392"/>
      <c r="P48" s="392"/>
      <c r="Q48" s="392"/>
      <c r="R48" s="392"/>
      <c r="S48" s="392"/>
      <c r="T48" s="392"/>
      <c r="U48" s="392"/>
      <c r="V48" s="392"/>
    </row>
    <row r="49" spans="1:22" ht="13.5" customHeight="1">
      <c r="A49" s="766" t="s">
        <v>1193</v>
      </c>
      <c r="B49" s="770"/>
      <c r="C49" s="772">
        <f>[1]!F001P200F2200SBBudgFY</f>
        <v>327662</v>
      </c>
      <c r="D49" s="772">
        <f>F001P200F2200O6100+F001P200F2200O6200</f>
        <v>317996</v>
      </c>
      <c r="E49" s="772">
        <f>[1]!F001P200F2200OthBudgFY</f>
        <v>7769</v>
      </c>
      <c r="F49" s="772">
        <f>F001P200F2200O630064006500+F001P200F2200O6600+F001P200F2200O6800</f>
        <v>7622</v>
      </c>
      <c r="G49" s="772">
        <f t="shared" ref="G49:G57" si="3">C49+E49</f>
        <v>335431</v>
      </c>
      <c r="H49" s="772">
        <f t="shared" ref="H49:H57" si="4">D49+F49</f>
        <v>325618</v>
      </c>
      <c r="I49" s="779">
        <f t="shared" ref="I49:I57" si="5">IF(G49=H49,0,IF(G49&gt;0,(H49-G49)/G49,""))</f>
        <v>-2.9000000000000001E-2</v>
      </c>
      <c r="J49" s="392"/>
      <c r="K49" s="392"/>
      <c r="L49" s="392"/>
      <c r="M49" s="392"/>
      <c r="N49" s="392"/>
      <c r="O49" s="392"/>
      <c r="P49" s="392"/>
      <c r="Q49" s="392"/>
      <c r="R49" s="392"/>
      <c r="S49" s="392"/>
      <c r="T49" s="392"/>
      <c r="U49" s="392"/>
      <c r="V49" s="392"/>
    </row>
    <row r="50" spans="1:22" ht="13.5" customHeight="1">
      <c r="A50" s="766" t="s">
        <v>384</v>
      </c>
      <c r="B50" s="770"/>
      <c r="C50" s="773">
        <f>[1]!F001P200F230024002500SBBudgFY</f>
        <v>759</v>
      </c>
      <c r="D50" s="773">
        <f>F001P200F2300O6100+F001P200F2300O6200+F001P200F2400O6100+F001P200F2400O6200+F001P200F2500O6100+F001P200F2500O6200</f>
        <v>717</v>
      </c>
      <c r="E50" s="773">
        <f>[1]!F001P200F230024002500OthBudgFY</f>
        <v>3493</v>
      </c>
      <c r="F50" s="773">
        <f>F001P200F2300O630064006500+F001P200F2300O6600+F001P200F2300O6800+F001P200F2400O630064006500+F001P200F2400O6600+F001P200F2400O6800+F001P200F2500O630064006500+F001P200F2500O6600+F001P200F2500O6800</f>
        <v>3300</v>
      </c>
      <c r="G50" s="773">
        <f t="shared" si="3"/>
        <v>4252</v>
      </c>
      <c r="H50" s="772">
        <f t="shared" si="4"/>
        <v>4017</v>
      </c>
      <c r="I50" s="777">
        <f t="shared" si="5"/>
        <v>-5.5E-2</v>
      </c>
      <c r="J50" s="392"/>
      <c r="K50" s="392"/>
      <c r="L50" s="392"/>
      <c r="M50" s="392"/>
      <c r="N50" s="392"/>
      <c r="O50" s="392"/>
      <c r="P50" s="392"/>
      <c r="Q50" s="392"/>
      <c r="R50" s="392"/>
      <c r="S50" s="392"/>
      <c r="T50" s="392"/>
      <c r="U50" s="392"/>
      <c r="V50" s="392"/>
    </row>
    <row r="51" spans="1:22" ht="13.5" customHeight="1">
      <c r="A51" s="766" t="s">
        <v>1251</v>
      </c>
      <c r="B51" s="771"/>
      <c r="C51" s="773">
        <f>[1]!F001P200F2600SBBudgFY</f>
        <v>0</v>
      </c>
      <c r="D51" s="773">
        <f>F001P200F2600O6100+F001P200F2600O6200</f>
        <v>0</v>
      </c>
      <c r="E51" s="773">
        <f>[1]!F001P200F2600OthBudgFY</f>
        <v>302</v>
      </c>
      <c r="F51" s="773">
        <f>F001P200F2600O630064006500+F001P200F2600O6600+F001P200F2600O6800</f>
        <v>285</v>
      </c>
      <c r="G51" s="773">
        <f t="shared" si="3"/>
        <v>302</v>
      </c>
      <c r="H51" s="772">
        <f t="shared" si="4"/>
        <v>285</v>
      </c>
      <c r="I51" s="777">
        <f t="shared" si="5"/>
        <v>-5.6000000000000001E-2</v>
      </c>
      <c r="J51" s="392"/>
      <c r="K51" s="392"/>
      <c r="L51" s="392"/>
      <c r="M51" s="392"/>
      <c r="N51" s="392"/>
      <c r="O51" s="392"/>
      <c r="P51" s="392"/>
      <c r="Q51" s="392"/>
      <c r="R51" s="392"/>
      <c r="S51" s="392"/>
      <c r="T51" s="392"/>
      <c r="U51" s="392"/>
      <c r="V51" s="392"/>
    </row>
    <row r="52" spans="1:22" ht="13.5" customHeight="1">
      <c r="A52" s="1492" t="s">
        <v>385</v>
      </c>
      <c r="B52" s="770"/>
      <c r="C52" s="773">
        <f>[1]!F001P200F2900SBBudgFY</f>
        <v>0</v>
      </c>
      <c r="D52" s="773">
        <f>F001P200F2900O6100+F001P200F2900O6200</f>
        <v>0</v>
      </c>
      <c r="E52" s="773">
        <f>[1]!F001P200F2900OthBudgFY</f>
        <v>0</v>
      </c>
      <c r="F52" s="773">
        <f>F001P200F2900O630064006500+F001P200F2900O6600+F001P200F2900O6800</f>
        <v>0</v>
      </c>
      <c r="G52" s="773">
        <f t="shared" si="3"/>
        <v>0</v>
      </c>
      <c r="H52" s="772">
        <f t="shared" si="4"/>
        <v>0</v>
      </c>
      <c r="I52" s="777">
        <f t="shared" si="5"/>
        <v>0</v>
      </c>
      <c r="J52" s="392"/>
      <c r="K52" s="392"/>
      <c r="L52" s="392"/>
      <c r="M52" s="392"/>
      <c r="N52" s="392"/>
      <c r="O52" s="392"/>
      <c r="P52" s="392"/>
      <c r="Q52" s="392"/>
      <c r="R52" s="392"/>
      <c r="S52" s="392"/>
      <c r="T52" s="392"/>
      <c r="U52" s="392"/>
      <c r="V52" s="392"/>
    </row>
    <row r="53" spans="1:22" ht="13.5" customHeight="1">
      <c r="A53" s="1492" t="s">
        <v>1252</v>
      </c>
      <c r="B53" s="770"/>
      <c r="C53" s="773">
        <f>[1]!F001P200F3000SBBudgFY</f>
        <v>0</v>
      </c>
      <c r="D53" s="773">
        <f>F001P200F3000O6100+F001P200F3000O6200</f>
        <v>0</v>
      </c>
      <c r="E53" s="773">
        <f>[1]!F001P200F3000OthBudgFY</f>
        <v>0</v>
      </c>
      <c r="F53" s="773">
        <f>F001P200F3000O630064006500+F001P200F3000O6600+F001P200F3000O6800</f>
        <v>0</v>
      </c>
      <c r="G53" s="773">
        <f t="shared" si="3"/>
        <v>0</v>
      </c>
      <c r="H53" s="772">
        <f t="shared" si="4"/>
        <v>0</v>
      </c>
      <c r="I53" s="777">
        <f t="shared" si="5"/>
        <v>0</v>
      </c>
      <c r="J53" s="392"/>
      <c r="K53" s="392"/>
      <c r="L53" s="392"/>
      <c r="M53" s="392"/>
      <c r="N53" s="392"/>
      <c r="O53" s="392"/>
      <c r="P53" s="392"/>
      <c r="Q53" s="392"/>
      <c r="R53" s="392"/>
      <c r="S53" s="392"/>
      <c r="T53" s="392"/>
      <c r="U53" s="392"/>
      <c r="V53" s="392"/>
    </row>
    <row r="54" spans="1:22" ht="13.5" customHeight="1">
      <c r="A54" s="1494" t="s">
        <v>1256</v>
      </c>
      <c r="B54" s="770"/>
      <c r="C54" s="776">
        <f t="shared" ref="C54:H54" si="6">SUM(C46:C53)</f>
        <v>5664671</v>
      </c>
      <c r="D54" s="776">
        <f t="shared" si="6"/>
        <v>5673802</v>
      </c>
      <c r="E54" s="776">
        <f t="shared" si="6"/>
        <v>252504</v>
      </c>
      <c r="F54" s="776">
        <f t="shared" si="6"/>
        <v>239255</v>
      </c>
      <c r="G54" s="773">
        <f t="shared" si="6"/>
        <v>5917175</v>
      </c>
      <c r="H54" s="773">
        <f t="shared" si="6"/>
        <v>5913057</v>
      </c>
      <c r="I54" s="777">
        <f t="shared" si="5"/>
        <v>-1E-3</v>
      </c>
      <c r="J54" s="392"/>
      <c r="K54" s="392"/>
      <c r="L54" s="392"/>
      <c r="M54" s="392"/>
      <c r="N54" s="392"/>
      <c r="O54" s="392"/>
      <c r="P54" s="392"/>
      <c r="Q54" s="392"/>
      <c r="R54" s="392"/>
      <c r="S54" s="392"/>
      <c r="T54" s="392"/>
      <c r="U54" s="392"/>
      <c r="V54" s="392"/>
    </row>
    <row r="55" spans="1:22" ht="13.5" customHeight="1">
      <c r="A55" s="1492" t="s">
        <v>1205</v>
      </c>
      <c r="B55" s="775"/>
      <c r="C55" s="773">
        <f>[1]!F001P400SBBudgFY</f>
        <v>1244185</v>
      </c>
      <c r="D55" s="776">
        <f>F001P400O6100+F001P400O6200</f>
        <v>1237941</v>
      </c>
      <c r="E55" s="773">
        <f>[1]!F001P400OthBudgFy</f>
        <v>671811</v>
      </c>
      <c r="F55" s="776">
        <f>F001P400O630064006500+F001P400O6600+F001P400O6800</f>
        <v>670906</v>
      </c>
      <c r="G55" s="773">
        <f t="shared" si="3"/>
        <v>1915996</v>
      </c>
      <c r="H55" s="772">
        <f t="shared" si="4"/>
        <v>1908847</v>
      </c>
      <c r="I55" s="777">
        <f t="shared" si="5"/>
        <v>-4.0000000000000001E-3</v>
      </c>
      <c r="J55" s="392"/>
      <c r="K55" s="392"/>
      <c r="L55" s="392"/>
      <c r="M55" s="392"/>
      <c r="N55" s="392"/>
      <c r="O55" s="392"/>
      <c r="P55" s="392"/>
      <c r="Q55" s="392"/>
      <c r="R55" s="392"/>
      <c r="S55" s="392"/>
      <c r="T55" s="392"/>
      <c r="U55" s="392"/>
      <c r="V55" s="392"/>
    </row>
    <row r="56" spans="1:22" ht="13.5" customHeight="1">
      <c r="A56" s="766" t="s">
        <v>386</v>
      </c>
      <c r="B56" s="775"/>
      <c r="C56" s="773">
        <f>[1]!F001P510SBBudgFY</f>
        <v>0</v>
      </c>
      <c r="D56" s="776">
        <f>F001P510O6100+F001P510O6200</f>
        <v>0</v>
      </c>
      <c r="E56" s="773">
        <f>[1]!F001P510OthBudgFY</f>
        <v>0</v>
      </c>
      <c r="F56" s="776">
        <f>F001P510O630064006500+F001P510O6600+F001P510O6800</f>
        <v>0</v>
      </c>
      <c r="G56" s="773">
        <f t="shared" si="3"/>
        <v>0</v>
      </c>
      <c r="H56" s="772">
        <f t="shared" si="4"/>
        <v>0</v>
      </c>
      <c r="I56" s="777">
        <f t="shared" si="5"/>
        <v>0</v>
      </c>
      <c r="J56" s="392"/>
      <c r="K56" s="392"/>
      <c r="L56" s="392"/>
      <c r="M56" s="392"/>
      <c r="N56" s="392"/>
      <c r="O56" s="392"/>
      <c r="P56" s="392"/>
      <c r="Q56" s="392"/>
      <c r="R56" s="392"/>
      <c r="S56" s="392"/>
      <c r="T56" s="392"/>
      <c r="U56" s="392"/>
      <c r="V56" s="392"/>
    </row>
    <row r="57" spans="1:22" ht="13.5" customHeight="1">
      <c r="A57" s="1492" t="s">
        <v>1207</v>
      </c>
      <c r="B57" s="775"/>
      <c r="C57" s="765">
        <f>[1]!F001P530SBBudgFY</f>
        <v>0</v>
      </c>
      <c r="D57" s="1368">
        <f>F001P530O6100+F001P530O6200</f>
        <v>0</v>
      </c>
      <c r="E57" s="765">
        <f>[1]!F001P530OthBudgFY</f>
        <v>0</v>
      </c>
      <c r="F57" s="1368">
        <f>F001P530O630064006500+F001P530O6600+F001P530O6800</f>
        <v>0</v>
      </c>
      <c r="G57" s="765">
        <f t="shared" si="3"/>
        <v>0</v>
      </c>
      <c r="H57" s="1366">
        <f t="shared" si="4"/>
        <v>0</v>
      </c>
      <c r="I57" s="1367">
        <f t="shared" si="5"/>
        <v>0</v>
      </c>
      <c r="J57" s="392"/>
      <c r="K57" s="392"/>
      <c r="L57" s="392"/>
      <c r="M57" s="392"/>
      <c r="N57" s="392"/>
      <c r="O57" s="392"/>
      <c r="P57" s="392"/>
      <c r="Q57" s="392"/>
      <c r="R57" s="392"/>
      <c r="S57" s="392"/>
      <c r="T57" s="392"/>
      <c r="U57" s="392"/>
      <c r="V57" s="392"/>
    </row>
    <row r="58" spans="1:22" ht="12.75" customHeight="1">
      <c r="A58" s="1492" t="s">
        <v>1257</v>
      </c>
      <c r="B58" s="1454"/>
      <c r="C58" s="1365"/>
      <c r="D58" s="1365"/>
      <c r="E58" s="1365"/>
      <c r="F58" s="1365"/>
      <c r="G58" s="1365"/>
      <c r="H58" s="1365"/>
      <c r="I58" s="1365"/>
      <c r="J58" s="392"/>
      <c r="K58" s="392"/>
      <c r="L58" s="392"/>
      <c r="M58" s="392"/>
      <c r="N58" s="392"/>
      <c r="O58" s="392"/>
      <c r="P58" s="392"/>
      <c r="Q58" s="392"/>
      <c r="R58" s="392"/>
      <c r="S58" s="392"/>
      <c r="T58" s="392"/>
      <c r="U58" s="392"/>
      <c r="V58" s="392"/>
    </row>
    <row r="59" spans="1:22" ht="12.75" customHeight="1">
      <c r="A59" s="1492" t="s">
        <v>1258</v>
      </c>
      <c r="B59" s="1454"/>
      <c r="C59" s="1363">
        <f>[1]!F001P540SBBudgFY</f>
        <v>0</v>
      </c>
      <c r="D59" s="1369">
        <f>F001P540O6100+F001P540O6200</f>
        <v>0</v>
      </c>
      <c r="E59" s="1363">
        <f>[1]!F001P540OthBudgFY</f>
        <v>0</v>
      </c>
      <c r="F59" s="1369">
        <f>F001P540O630064006500+F001P540O6600+F001P540O6800</f>
        <v>0</v>
      </c>
      <c r="G59" s="1363">
        <f>C59+E59</f>
        <v>0</v>
      </c>
      <c r="H59" s="1363">
        <f>D59+F59</f>
        <v>0</v>
      </c>
      <c r="I59" s="1364">
        <f>IF(G59=H59,0,IF(G59&gt;0,(H59-G59)/G59,""))</f>
        <v>0</v>
      </c>
      <c r="J59" s="392"/>
      <c r="K59" s="392"/>
      <c r="L59" s="392"/>
      <c r="M59" s="392"/>
      <c r="N59" s="392"/>
      <c r="O59" s="392"/>
      <c r="P59" s="392"/>
      <c r="Q59" s="392"/>
      <c r="R59" s="392"/>
      <c r="S59" s="392"/>
      <c r="T59" s="392"/>
      <c r="U59" s="392"/>
      <c r="V59" s="392"/>
    </row>
    <row r="60" spans="1:22" ht="9.75" customHeight="1">
      <c r="A60" s="766" t="s">
        <v>1210</v>
      </c>
      <c r="B60" s="1454"/>
      <c r="C60" s="768">
        <f>[1]!F001P550SBBudgFY</f>
        <v>151956</v>
      </c>
      <c r="D60" s="778">
        <f>F001P550O6100+F001P550O6200</f>
        <v>143571</v>
      </c>
      <c r="E60" s="768">
        <f>[1]!F001P550OthBudgFY</f>
        <v>0</v>
      </c>
      <c r="F60" s="778">
        <f>F001P550O630064006500+F001P550O6600+F001P550O6800</f>
        <v>0</v>
      </c>
      <c r="G60" s="768">
        <f>C60+E60</f>
        <v>151956</v>
      </c>
      <c r="H60" s="772">
        <f>D60+F60</f>
        <v>143571</v>
      </c>
      <c r="I60" s="779">
        <f>IF(G60=H60,0,IF(G60&gt;0,(H60-G60)/G60,""))</f>
        <v>-5.5E-2</v>
      </c>
      <c r="J60" s="392"/>
      <c r="K60" s="392"/>
      <c r="L60" s="392"/>
      <c r="M60" s="392"/>
      <c r="N60" s="392"/>
      <c r="O60" s="392"/>
      <c r="P60" s="392"/>
      <c r="Q60" s="392"/>
      <c r="R60" s="392"/>
      <c r="S60" s="392"/>
      <c r="T60" s="392"/>
      <c r="U60" s="392"/>
      <c r="V60" s="392"/>
    </row>
    <row r="61" spans="1:22" ht="12.75" customHeight="1">
      <c r="A61" s="1362" t="s">
        <v>955</v>
      </c>
      <c r="B61" s="780"/>
      <c r="C61" s="774">
        <f t="shared" ref="C61:H61" si="7">SUM(C54:C60)+C44</f>
        <v>26490534</v>
      </c>
      <c r="D61" s="774">
        <f t="shared" si="7"/>
        <v>26148993</v>
      </c>
      <c r="E61" s="774">
        <f t="shared" si="7"/>
        <v>6760038</v>
      </c>
      <c r="F61" s="774">
        <f t="shared" si="7"/>
        <v>6537380</v>
      </c>
      <c r="G61" s="774">
        <f t="shared" si="7"/>
        <v>33250572</v>
      </c>
      <c r="H61" s="774">
        <f t="shared" si="7"/>
        <v>32686373</v>
      </c>
      <c r="I61" s="769">
        <f>IF(G61=H61,0,IF(G61&gt;0,(H61-G61)/G61,""))</f>
        <v>-1.7000000000000001E-2</v>
      </c>
      <c r="J61" s="392"/>
      <c r="K61" s="392"/>
      <c r="L61" s="392"/>
      <c r="M61" s="392"/>
      <c r="N61" s="392"/>
      <c r="O61" s="392"/>
      <c r="P61" s="392"/>
      <c r="Q61" s="392"/>
      <c r="R61" s="392"/>
      <c r="S61" s="392"/>
      <c r="T61" s="392"/>
      <c r="U61" s="392"/>
      <c r="V61" s="392"/>
    </row>
    <row r="62" spans="1:22" ht="13.5" customHeight="1">
      <c r="A62" s="716"/>
      <c r="B62" s="713"/>
      <c r="C62" s="713"/>
      <c r="D62" s="713"/>
      <c r="E62" s="713"/>
      <c r="F62" s="713"/>
      <c r="G62" s="713"/>
      <c r="H62" s="713"/>
      <c r="I62" s="713"/>
      <c r="J62" s="392"/>
      <c r="K62" s="392"/>
      <c r="L62" s="392"/>
      <c r="M62" s="392"/>
      <c r="N62" s="392"/>
      <c r="O62" s="392"/>
      <c r="P62" s="392"/>
      <c r="Q62" s="392"/>
      <c r="R62" s="392"/>
      <c r="S62" s="392"/>
      <c r="T62" s="392"/>
      <c r="U62" s="392"/>
      <c r="V62" s="392"/>
    </row>
    <row r="63" spans="1:22" ht="12">
      <c r="A63" s="714"/>
      <c r="B63" s="781"/>
      <c r="C63" s="782"/>
      <c r="D63" s="782"/>
      <c r="E63" s="782"/>
      <c r="F63" s="782"/>
      <c r="G63" s="782"/>
      <c r="H63" s="782"/>
      <c r="I63" s="783"/>
      <c r="J63" s="392"/>
      <c r="K63" s="392"/>
      <c r="L63" s="392"/>
      <c r="M63" s="392"/>
      <c r="N63" s="392"/>
      <c r="O63" s="392"/>
      <c r="P63" s="392"/>
      <c r="Q63" s="392"/>
      <c r="R63" s="392"/>
      <c r="S63" s="392"/>
      <c r="T63" s="392"/>
      <c r="U63" s="392"/>
      <c r="V63" s="392"/>
    </row>
    <row r="64" spans="1:22" ht="12">
      <c r="A64" s="713"/>
      <c r="B64" s="713"/>
      <c r="H64" s="716"/>
      <c r="I64" s="713"/>
      <c r="J64" s="392"/>
      <c r="K64" s="392"/>
      <c r="L64" s="392"/>
      <c r="M64" s="392"/>
      <c r="N64" s="392"/>
      <c r="O64" s="392"/>
      <c r="P64" s="392"/>
      <c r="Q64" s="392"/>
      <c r="R64" s="392"/>
      <c r="S64" s="392"/>
      <c r="T64" s="392"/>
      <c r="U64" s="392"/>
      <c r="V64" s="392"/>
    </row>
    <row r="65" spans="1:22" ht="12">
      <c r="B65" s="713"/>
      <c r="H65" s="716"/>
      <c r="J65" s="392"/>
      <c r="K65" s="392"/>
      <c r="L65" s="392"/>
      <c r="M65" s="392"/>
      <c r="N65" s="392"/>
      <c r="O65" s="392"/>
      <c r="P65" s="392"/>
      <c r="Q65" s="392"/>
      <c r="R65" s="392"/>
      <c r="S65" s="392"/>
      <c r="T65" s="392"/>
      <c r="U65" s="392"/>
      <c r="V65" s="392"/>
    </row>
    <row r="66" spans="1:22" ht="12">
      <c r="A66" s="713"/>
      <c r="B66" s="713"/>
      <c r="H66" s="716"/>
      <c r="I66" s="713"/>
      <c r="J66" s="392"/>
      <c r="K66" s="392"/>
      <c r="L66" s="392"/>
      <c r="M66" s="392"/>
      <c r="N66" s="392"/>
      <c r="O66" s="392"/>
      <c r="P66" s="392"/>
      <c r="Q66" s="392"/>
      <c r="R66" s="392"/>
      <c r="S66" s="392"/>
      <c r="T66" s="392"/>
      <c r="U66" s="392"/>
      <c r="V66" s="392"/>
    </row>
    <row r="67" spans="1:22" ht="12">
      <c r="A67" s="713"/>
      <c r="B67" s="713"/>
      <c r="C67" s="714"/>
      <c r="D67" s="716"/>
      <c r="E67" s="716"/>
      <c r="F67" s="716"/>
      <c r="G67" s="716"/>
      <c r="H67" s="716"/>
      <c r="I67" s="713"/>
      <c r="J67" s="392"/>
      <c r="K67" s="392"/>
      <c r="L67" s="392"/>
      <c r="M67" s="392"/>
      <c r="N67" s="392"/>
      <c r="O67" s="392"/>
      <c r="P67" s="392"/>
      <c r="Q67" s="392"/>
      <c r="R67" s="392"/>
      <c r="S67" s="392"/>
      <c r="T67" s="392"/>
      <c r="U67" s="392"/>
      <c r="V67" s="392"/>
    </row>
    <row r="68" spans="1:22" ht="12">
      <c r="B68" s="713"/>
      <c r="D68" s="716"/>
      <c r="E68" s="716"/>
      <c r="F68" s="716"/>
      <c r="G68" s="716"/>
      <c r="H68" s="716"/>
      <c r="I68" s="713"/>
      <c r="J68" s="392"/>
      <c r="K68" s="392"/>
      <c r="L68" s="392"/>
      <c r="M68" s="392"/>
      <c r="N68" s="392"/>
      <c r="O68" s="392"/>
      <c r="P68" s="392"/>
      <c r="Q68" s="392"/>
      <c r="R68" s="392"/>
      <c r="S68" s="392"/>
      <c r="T68" s="392"/>
      <c r="U68" s="392"/>
      <c r="V68" s="392"/>
    </row>
    <row r="69" spans="1:22" ht="12">
      <c r="A69" s="713"/>
      <c r="B69" s="713"/>
      <c r="C69" s="713"/>
      <c r="D69" s="713"/>
      <c r="E69" s="713"/>
      <c r="F69" s="713"/>
      <c r="G69" s="713"/>
      <c r="H69" s="713"/>
      <c r="I69" s="713"/>
      <c r="J69" s="392"/>
      <c r="K69" s="392"/>
      <c r="L69" s="392"/>
      <c r="M69" s="392"/>
      <c r="N69" s="392"/>
      <c r="O69" s="392"/>
      <c r="P69" s="392"/>
      <c r="Q69" s="392"/>
      <c r="R69" s="392"/>
      <c r="S69" s="392"/>
      <c r="T69" s="392"/>
      <c r="U69" s="392"/>
      <c r="V69" s="392"/>
    </row>
    <row r="70" spans="1:22" ht="12">
      <c r="A70" s="713"/>
      <c r="B70" s="713"/>
      <c r="C70" s="713"/>
      <c r="D70" s="713"/>
      <c r="E70" s="713"/>
      <c r="F70" s="713"/>
      <c r="G70" s="713"/>
      <c r="H70" s="713"/>
      <c r="I70" s="713"/>
      <c r="J70" s="392"/>
      <c r="K70" s="392"/>
      <c r="L70" s="392"/>
      <c r="M70" s="392"/>
      <c r="N70" s="392"/>
      <c r="O70" s="392"/>
      <c r="P70" s="392"/>
      <c r="Q70" s="392"/>
      <c r="R70" s="392"/>
      <c r="S70" s="392"/>
      <c r="T70" s="392"/>
      <c r="U70" s="392"/>
      <c r="V70" s="392"/>
    </row>
    <row r="71" spans="1:22" ht="12">
      <c r="A71" s="713"/>
      <c r="B71" s="713"/>
      <c r="C71" s="713"/>
      <c r="D71" s="713"/>
      <c r="E71" s="713"/>
      <c r="F71" s="713"/>
      <c r="G71" s="713"/>
      <c r="H71" s="713"/>
      <c r="I71" s="713"/>
      <c r="J71" s="392"/>
      <c r="K71" s="392"/>
      <c r="L71" s="392"/>
      <c r="M71" s="392"/>
      <c r="N71" s="392"/>
      <c r="O71" s="392"/>
      <c r="P71" s="392"/>
      <c r="Q71" s="392"/>
      <c r="R71" s="392"/>
      <c r="S71" s="392"/>
      <c r="T71" s="392"/>
      <c r="U71" s="392"/>
      <c r="V71" s="392"/>
    </row>
    <row r="72" spans="1:22" ht="12">
      <c r="A72" s="713"/>
      <c r="B72" s="713"/>
      <c r="C72" s="713"/>
      <c r="D72" s="713"/>
      <c r="E72" s="713"/>
      <c r="F72" s="713"/>
      <c r="G72" s="713"/>
      <c r="H72" s="713"/>
      <c r="I72" s="713"/>
      <c r="J72" s="392"/>
      <c r="K72" s="392"/>
      <c r="L72" s="392"/>
      <c r="M72" s="392"/>
      <c r="N72" s="392"/>
      <c r="O72" s="392"/>
      <c r="P72" s="392"/>
      <c r="Q72" s="392"/>
      <c r="R72" s="392"/>
      <c r="S72" s="392"/>
      <c r="T72" s="392"/>
      <c r="U72" s="392"/>
      <c r="V72" s="392"/>
    </row>
    <row r="73" spans="1:22" ht="12">
      <c r="A73" s="713"/>
      <c r="B73" s="713"/>
      <c r="C73" s="713"/>
      <c r="D73" s="713"/>
      <c r="E73" s="713"/>
      <c r="F73" s="713"/>
      <c r="G73" s="713"/>
      <c r="H73" s="713"/>
      <c r="I73" s="713"/>
      <c r="J73" s="392"/>
      <c r="K73" s="392"/>
      <c r="L73" s="392"/>
      <c r="M73" s="392"/>
      <c r="N73" s="392"/>
      <c r="O73" s="392"/>
      <c r="P73" s="392"/>
      <c r="Q73" s="392"/>
      <c r="R73" s="392"/>
      <c r="S73" s="392"/>
      <c r="T73" s="392"/>
      <c r="U73" s="392"/>
      <c r="V73" s="392"/>
    </row>
    <row r="74" spans="1:22" ht="12">
      <c r="A74" s="713"/>
      <c r="B74" s="713"/>
      <c r="C74" s="713"/>
      <c r="D74" s="713"/>
      <c r="E74" s="713"/>
      <c r="F74" s="713"/>
      <c r="G74" s="713"/>
      <c r="H74" s="713"/>
      <c r="I74" s="713"/>
      <c r="J74" s="392"/>
      <c r="K74" s="392"/>
      <c r="L74" s="392"/>
      <c r="M74" s="392"/>
      <c r="N74" s="392"/>
      <c r="O74" s="392"/>
      <c r="P74" s="392"/>
      <c r="Q74" s="392"/>
      <c r="R74" s="392"/>
      <c r="S74" s="392"/>
      <c r="T74" s="392"/>
      <c r="U74" s="392"/>
      <c r="V74" s="392"/>
    </row>
    <row r="75" spans="1:22" ht="12">
      <c r="A75" s="713"/>
      <c r="B75" s="713"/>
      <c r="C75" s="713"/>
      <c r="D75" s="713"/>
      <c r="E75" s="713"/>
      <c r="F75" s="713"/>
      <c r="G75" s="713"/>
      <c r="H75" s="713"/>
      <c r="I75" s="713"/>
      <c r="J75" s="392"/>
      <c r="K75" s="392"/>
      <c r="L75" s="392"/>
      <c r="M75" s="392"/>
      <c r="N75" s="392"/>
      <c r="O75" s="392"/>
      <c r="P75" s="392"/>
      <c r="Q75" s="392"/>
      <c r="R75" s="392"/>
      <c r="S75" s="392"/>
      <c r="T75" s="392"/>
      <c r="U75" s="392"/>
      <c r="V75" s="392"/>
    </row>
    <row r="76" spans="1:22" ht="12">
      <c r="A76" s="713"/>
      <c r="B76" s="713"/>
      <c r="C76" s="713"/>
      <c r="D76" s="713"/>
      <c r="E76" s="713"/>
      <c r="F76" s="713"/>
      <c r="G76" s="713"/>
      <c r="H76" s="713"/>
      <c r="I76" s="713"/>
      <c r="J76" s="392"/>
      <c r="K76" s="392"/>
      <c r="L76" s="392"/>
      <c r="M76" s="392"/>
      <c r="N76" s="392"/>
      <c r="O76" s="392"/>
      <c r="P76" s="392"/>
      <c r="Q76" s="392"/>
      <c r="R76" s="392"/>
      <c r="S76" s="392"/>
      <c r="T76" s="392"/>
      <c r="U76" s="392"/>
      <c r="V76" s="392"/>
    </row>
    <row r="77" spans="1:22" ht="12">
      <c r="J77" s="392"/>
      <c r="K77" s="392"/>
      <c r="L77" s="392"/>
      <c r="M77" s="392"/>
      <c r="N77" s="392"/>
      <c r="O77" s="392"/>
      <c r="P77" s="392"/>
      <c r="Q77" s="392"/>
      <c r="R77" s="392"/>
      <c r="S77" s="392"/>
      <c r="T77" s="392"/>
      <c r="U77" s="392"/>
      <c r="V77" s="392"/>
    </row>
    <row r="78" spans="1:22" ht="12">
      <c r="J78" s="392"/>
      <c r="K78" s="392"/>
      <c r="L78" s="392"/>
      <c r="M78" s="392"/>
      <c r="N78" s="392"/>
      <c r="O78" s="392"/>
      <c r="P78" s="392"/>
      <c r="Q78" s="392"/>
      <c r="R78" s="392"/>
      <c r="S78" s="392"/>
      <c r="T78" s="392"/>
      <c r="U78" s="392"/>
      <c r="V78" s="392"/>
    </row>
    <row r="79" spans="1:22" ht="12">
      <c r="J79" s="392"/>
      <c r="K79" s="392"/>
      <c r="L79" s="392"/>
      <c r="M79" s="392"/>
      <c r="N79" s="392"/>
      <c r="O79" s="392"/>
      <c r="P79" s="392"/>
      <c r="Q79" s="392"/>
      <c r="R79" s="392"/>
      <c r="S79" s="392"/>
      <c r="T79" s="392"/>
      <c r="U79" s="392"/>
      <c r="V79" s="392"/>
    </row>
    <row r="80" spans="1:22" ht="12">
      <c r="J80" s="392"/>
      <c r="K80" s="392"/>
      <c r="L80" s="392"/>
      <c r="M80" s="392"/>
      <c r="N80" s="392"/>
      <c r="O80" s="392"/>
      <c r="P80" s="392"/>
      <c r="Q80" s="392"/>
      <c r="R80" s="392"/>
      <c r="S80" s="392"/>
      <c r="T80" s="392"/>
      <c r="U80" s="392"/>
      <c r="V80" s="392"/>
    </row>
    <row r="81" spans="10:22" ht="12">
      <c r="J81" s="392"/>
      <c r="K81" s="392"/>
      <c r="L81" s="392"/>
      <c r="M81" s="392"/>
      <c r="N81" s="392"/>
      <c r="O81" s="392"/>
      <c r="P81" s="392"/>
      <c r="Q81" s="392"/>
      <c r="R81" s="392"/>
      <c r="S81" s="392"/>
      <c r="T81" s="392"/>
      <c r="U81" s="392"/>
      <c r="V81" s="392"/>
    </row>
    <row r="82" spans="10:22" ht="12">
      <c r="J82" s="392"/>
      <c r="K82" s="392"/>
      <c r="L82" s="392"/>
      <c r="M82" s="392"/>
      <c r="N82" s="392"/>
      <c r="O82" s="392"/>
      <c r="P82" s="392"/>
      <c r="Q82" s="392"/>
      <c r="R82" s="392"/>
      <c r="S82" s="392"/>
      <c r="T82" s="392"/>
      <c r="U82" s="392"/>
      <c r="V82" s="392"/>
    </row>
    <row r="83" spans="10:22" ht="12">
      <c r="J83" s="392"/>
      <c r="K83" s="392"/>
      <c r="L83" s="392"/>
      <c r="M83" s="392"/>
      <c r="N83" s="392"/>
      <c r="O83" s="392"/>
      <c r="P83" s="392"/>
      <c r="Q83" s="392"/>
      <c r="R83" s="392"/>
      <c r="S83" s="392"/>
      <c r="T83" s="392"/>
      <c r="U83" s="392"/>
      <c r="V83" s="392"/>
    </row>
    <row r="84" spans="10:22" ht="12">
      <c r="J84" s="392"/>
      <c r="K84" s="392"/>
      <c r="L84" s="392"/>
      <c r="M84" s="392"/>
      <c r="N84" s="392"/>
      <c r="O84" s="392"/>
      <c r="P84" s="392"/>
      <c r="Q84" s="392"/>
      <c r="R84" s="392"/>
      <c r="S84" s="392"/>
      <c r="T84" s="392"/>
      <c r="U84" s="392"/>
      <c r="V84" s="392"/>
    </row>
    <row r="85" spans="10:22" ht="12">
      <c r="J85" s="392"/>
      <c r="K85" s="392"/>
      <c r="L85" s="392"/>
      <c r="M85" s="392"/>
      <c r="N85" s="392"/>
      <c r="O85" s="392"/>
      <c r="P85" s="392"/>
      <c r="Q85" s="392"/>
      <c r="R85" s="392"/>
      <c r="S85" s="392"/>
      <c r="T85" s="392"/>
      <c r="U85" s="392"/>
      <c r="V85" s="392"/>
    </row>
    <row r="86" spans="10:22" ht="12">
      <c r="J86" s="392"/>
      <c r="K86" s="392"/>
      <c r="L86" s="392"/>
      <c r="M86" s="392"/>
      <c r="N86" s="392"/>
      <c r="O86" s="392"/>
      <c r="P86" s="392"/>
      <c r="Q86" s="392"/>
      <c r="R86" s="392"/>
      <c r="S86" s="392"/>
      <c r="T86" s="392"/>
      <c r="U86" s="392"/>
      <c r="V86" s="392"/>
    </row>
    <row r="87" spans="10:22" ht="12">
      <c r="J87" s="392"/>
      <c r="K87" s="392"/>
      <c r="L87" s="392"/>
      <c r="M87" s="392"/>
      <c r="N87" s="392"/>
      <c r="O87" s="392"/>
      <c r="P87" s="392"/>
      <c r="Q87" s="392"/>
      <c r="R87" s="392"/>
      <c r="S87" s="392"/>
      <c r="T87" s="392"/>
      <c r="U87" s="392"/>
      <c r="V87" s="392"/>
    </row>
    <row r="88" spans="10:22" ht="12">
      <c r="J88" s="392"/>
      <c r="K88" s="392"/>
      <c r="L88" s="392"/>
      <c r="M88" s="392"/>
      <c r="N88" s="392"/>
      <c r="O88" s="392"/>
      <c r="P88" s="392"/>
      <c r="Q88" s="392"/>
      <c r="R88" s="392"/>
      <c r="S88" s="392"/>
      <c r="T88" s="392"/>
      <c r="U88" s="392"/>
      <c r="V88" s="392"/>
    </row>
    <row r="89" spans="10:22" ht="12">
      <c r="J89" s="392"/>
      <c r="K89" s="392"/>
      <c r="L89" s="392"/>
      <c r="M89" s="392"/>
      <c r="N89" s="392"/>
      <c r="O89" s="392"/>
      <c r="P89" s="392"/>
      <c r="Q89" s="392"/>
      <c r="R89" s="392"/>
      <c r="S89" s="392"/>
      <c r="T89" s="392"/>
      <c r="U89" s="392"/>
      <c r="V89" s="392"/>
    </row>
    <row r="90" spans="10:22" ht="12">
      <c r="J90" s="392"/>
      <c r="K90" s="392"/>
      <c r="L90" s="392"/>
      <c r="M90" s="392"/>
      <c r="N90" s="392"/>
      <c r="O90" s="392"/>
      <c r="P90" s="392"/>
      <c r="Q90" s="392"/>
      <c r="R90" s="392"/>
      <c r="S90" s="392"/>
      <c r="T90" s="392"/>
      <c r="U90" s="392"/>
      <c r="V90" s="392"/>
    </row>
    <row r="91" spans="10:22" ht="12">
      <c r="J91" s="392"/>
      <c r="K91" s="392"/>
      <c r="L91" s="392"/>
      <c r="M91" s="392"/>
      <c r="N91" s="392"/>
      <c r="O91" s="392"/>
      <c r="P91" s="392"/>
      <c r="Q91" s="392"/>
      <c r="R91" s="392"/>
      <c r="S91" s="392"/>
      <c r="T91" s="392"/>
      <c r="U91" s="392"/>
      <c r="V91" s="392"/>
    </row>
    <row r="92" spans="10:22" ht="12">
      <c r="J92" s="392"/>
      <c r="K92" s="392"/>
      <c r="L92" s="392"/>
      <c r="M92" s="392"/>
      <c r="N92" s="392"/>
      <c r="O92" s="392"/>
      <c r="P92" s="392"/>
      <c r="Q92" s="392"/>
      <c r="R92" s="392"/>
      <c r="S92" s="392"/>
      <c r="T92" s="392"/>
      <c r="U92" s="392"/>
      <c r="V92" s="392"/>
    </row>
    <row r="93" spans="10:22" ht="12">
      <c r="J93" s="392"/>
      <c r="K93" s="392"/>
      <c r="L93" s="392"/>
      <c r="M93" s="392"/>
      <c r="N93" s="392"/>
      <c r="O93" s="392"/>
      <c r="P93" s="392"/>
      <c r="Q93" s="392"/>
      <c r="R93" s="392"/>
      <c r="S93" s="392"/>
      <c r="T93" s="392"/>
      <c r="U93" s="392"/>
      <c r="V93" s="392"/>
    </row>
    <row r="94" spans="10:22" ht="12">
      <c r="J94" s="392"/>
      <c r="K94" s="392"/>
      <c r="L94" s="392"/>
      <c r="M94" s="392"/>
      <c r="N94" s="392"/>
      <c r="O94" s="392"/>
      <c r="P94" s="392"/>
      <c r="Q94" s="392"/>
      <c r="R94" s="392"/>
      <c r="S94" s="392"/>
      <c r="T94" s="392"/>
      <c r="U94" s="392"/>
      <c r="V94" s="392"/>
    </row>
    <row r="95" spans="10:22" ht="12">
      <c r="J95" s="392"/>
      <c r="K95" s="392"/>
      <c r="L95" s="392"/>
      <c r="M95" s="392"/>
      <c r="N95" s="392"/>
      <c r="O95" s="392"/>
      <c r="P95" s="392"/>
      <c r="Q95" s="392"/>
      <c r="R95" s="392"/>
      <c r="S95" s="392"/>
      <c r="T95" s="392"/>
      <c r="U95" s="392"/>
      <c r="V95" s="392"/>
    </row>
    <row r="96" spans="10:22" ht="12">
      <c r="J96" s="392"/>
      <c r="K96" s="392"/>
      <c r="L96" s="392"/>
      <c r="M96" s="392"/>
      <c r="N96" s="392"/>
      <c r="O96" s="392"/>
      <c r="P96" s="392"/>
      <c r="Q96" s="392"/>
      <c r="R96" s="392"/>
      <c r="S96" s="392"/>
      <c r="T96" s="392"/>
      <c r="U96" s="392"/>
      <c r="V96" s="392"/>
    </row>
    <row r="97" spans="10:22" ht="12">
      <c r="J97" s="392"/>
      <c r="K97" s="392"/>
      <c r="L97" s="392"/>
      <c r="M97" s="392"/>
      <c r="N97" s="392"/>
      <c r="O97" s="392"/>
      <c r="P97" s="392"/>
      <c r="Q97" s="392"/>
      <c r="R97" s="392"/>
      <c r="S97" s="392"/>
      <c r="T97" s="392"/>
      <c r="U97" s="392"/>
      <c r="V97" s="392"/>
    </row>
    <row r="98" spans="10:22" ht="12">
      <c r="J98" s="392"/>
      <c r="K98" s="392"/>
      <c r="L98" s="392"/>
      <c r="M98" s="392"/>
      <c r="N98" s="392"/>
      <c r="O98" s="392"/>
      <c r="P98" s="392"/>
      <c r="Q98" s="392"/>
      <c r="R98" s="392"/>
      <c r="S98" s="392"/>
      <c r="T98" s="392"/>
      <c r="U98" s="392"/>
      <c r="V98" s="392"/>
    </row>
    <row r="99" spans="10:22" ht="12">
      <c r="J99" s="392"/>
      <c r="K99" s="392"/>
      <c r="L99" s="392"/>
      <c r="M99" s="392"/>
      <c r="N99" s="392"/>
      <c r="O99" s="392"/>
      <c r="P99" s="392"/>
      <c r="Q99" s="392"/>
      <c r="R99" s="392"/>
      <c r="S99" s="392"/>
      <c r="T99" s="392"/>
      <c r="U99" s="392"/>
      <c r="V99" s="392"/>
    </row>
    <row r="100" spans="10:22" ht="12">
      <c r="J100" s="392"/>
      <c r="K100" s="392"/>
      <c r="L100" s="392"/>
      <c r="M100" s="392"/>
      <c r="N100" s="392"/>
      <c r="O100" s="392"/>
      <c r="P100" s="392"/>
      <c r="Q100" s="392"/>
      <c r="R100" s="392"/>
      <c r="S100" s="392"/>
      <c r="T100" s="392"/>
      <c r="U100" s="392"/>
      <c r="V100" s="392"/>
    </row>
    <row r="101" spans="10:22" ht="12">
      <c r="J101" s="392"/>
      <c r="K101" s="392"/>
      <c r="L101" s="392"/>
      <c r="M101" s="392"/>
      <c r="N101" s="392"/>
      <c r="O101" s="392"/>
      <c r="P101" s="392"/>
      <c r="Q101" s="392"/>
      <c r="R101" s="392"/>
      <c r="S101" s="392"/>
      <c r="T101" s="392"/>
      <c r="U101" s="392"/>
      <c r="V101" s="392"/>
    </row>
    <row r="102" spans="10:22" ht="12">
      <c r="J102" s="392"/>
      <c r="K102" s="392"/>
      <c r="L102" s="392"/>
      <c r="M102" s="392"/>
      <c r="N102" s="392"/>
      <c r="O102" s="392"/>
      <c r="P102" s="392"/>
      <c r="Q102" s="392"/>
      <c r="R102" s="392"/>
      <c r="S102" s="392"/>
      <c r="T102" s="392"/>
      <c r="U102" s="392"/>
      <c r="V102" s="392"/>
    </row>
    <row r="103" spans="10:22" ht="12">
      <c r="J103" s="392"/>
      <c r="K103" s="392"/>
      <c r="L103" s="392"/>
      <c r="M103" s="392"/>
      <c r="N103" s="392"/>
      <c r="O103" s="392"/>
      <c r="P103" s="392"/>
      <c r="Q103" s="392"/>
      <c r="R103" s="392"/>
      <c r="S103" s="392"/>
      <c r="T103" s="392"/>
      <c r="U103" s="392"/>
      <c r="V103" s="392"/>
    </row>
    <row r="104" spans="10:22" ht="12">
      <c r="J104" s="392"/>
      <c r="K104" s="392"/>
      <c r="L104" s="392"/>
      <c r="M104" s="392"/>
      <c r="N104" s="392"/>
      <c r="O104" s="392"/>
      <c r="P104" s="392"/>
      <c r="Q104" s="392"/>
      <c r="R104" s="392"/>
      <c r="S104" s="392"/>
      <c r="T104" s="392"/>
      <c r="U104" s="392"/>
      <c r="V104" s="392"/>
    </row>
    <row r="105" spans="10:22" ht="12">
      <c r="J105" s="392"/>
      <c r="K105" s="392"/>
      <c r="L105" s="392"/>
      <c r="M105" s="392"/>
      <c r="N105" s="392"/>
      <c r="O105" s="392"/>
      <c r="P105" s="392"/>
      <c r="Q105" s="392"/>
      <c r="R105" s="392"/>
      <c r="S105" s="392"/>
      <c r="T105" s="392"/>
      <c r="U105" s="392"/>
      <c r="V105" s="392"/>
    </row>
    <row r="106" spans="10:22" ht="12">
      <c r="J106" s="392"/>
      <c r="K106" s="392"/>
      <c r="L106" s="392"/>
      <c r="M106" s="392"/>
      <c r="N106" s="392"/>
      <c r="O106" s="392"/>
      <c r="P106" s="392"/>
      <c r="Q106" s="392"/>
      <c r="R106" s="392"/>
      <c r="S106" s="392"/>
      <c r="T106" s="392"/>
      <c r="U106" s="392"/>
      <c r="V106" s="392"/>
    </row>
    <row r="107" spans="10:22" ht="12">
      <c r="J107" s="392"/>
      <c r="K107" s="392"/>
      <c r="L107" s="392"/>
      <c r="M107" s="392"/>
      <c r="N107" s="392"/>
      <c r="O107" s="392"/>
      <c r="P107" s="392"/>
      <c r="Q107" s="392"/>
      <c r="R107" s="392"/>
      <c r="S107" s="392"/>
      <c r="T107" s="392"/>
      <c r="U107" s="392"/>
      <c r="V107" s="392"/>
    </row>
    <row r="108" spans="10:22" ht="12">
      <c r="J108" s="392"/>
      <c r="K108" s="392"/>
      <c r="L108" s="392"/>
      <c r="M108" s="392"/>
      <c r="N108" s="392"/>
      <c r="O108" s="392"/>
      <c r="P108" s="392"/>
      <c r="Q108" s="392"/>
      <c r="R108" s="392"/>
      <c r="S108" s="392"/>
      <c r="T108" s="392"/>
      <c r="U108" s="392"/>
      <c r="V108" s="392"/>
    </row>
    <row r="109" spans="10:22" ht="12">
      <c r="J109" s="392"/>
      <c r="K109" s="392"/>
      <c r="L109" s="392"/>
      <c r="M109" s="392"/>
      <c r="N109" s="392"/>
      <c r="O109" s="392"/>
      <c r="P109" s="392"/>
      <c r="Q109" s="392"/>
      <c r="R109" s="392"/>
      <c r="S109" s="392"/>
      <c r="T109" s="392"/>
      <c r="U109" s="392"/>
      <c r="V109" s="392"/>
    </row>
    <row r="110" spans="10:22" ht="12">
      <c r="J110" s="392"/>
      <c r="K110" s="392"/>
      <c r="L110" s="392"/>
      <c r="M110" s="392"/>
      <c r="N110" s="392"/>
      <c r="O110" s="392"/>
      <c r="P110" s="392"/>
      <c r="Q110" s="392"/>
      <c r="R110" s="392"/>
      <c r="S110" s="392"/>
      <c r="T110" s="392"/>
      <c r="U110" s="392"/>
      <c r="V110" s="392"/>
    </row>
    <row r="111" spans="10:22" ht="12">
      <c r="J111" s="392"/>
      <c r="K111" s="392"/>
      <c r="L111" s="392"/>
      <c r="M111" s="392"/>
      <c r="N111" s="392"/>
      <c r="O111" s="392"/>
      <c r="P111" s="392"/>
      <c r="Q111" s="392"/>
      <c r="R111" s="392"/>
      <c r="S111" s="392"/>
      <c r="T111" s="392"/>
      <c r="U111" s="392"/>
      <c r="V111" s="392"/>
    </row>
    <row r="112" spans="10:22" ht="12">
      <c r="J112" s="392"/>
      <c r="K112" s="392"/>
      <c r="L112" s="392"/>
      <c r="M112" s="392"/>
      <c r="N112" s="392"/>
      <c r="O112" s="392"/>
      <c r="P112" s="392"/>
      <c r="Q112" s="392"/>
      <c r="R112" s="392"/>
      <c r="S112" s="392"/>
      <c r="T112" s="392"/>
      <c r="U112" s="392"/>
      <c r="V112" s="392"/>
    </row>
    <row r="113" spans="10:22" ht="12">
      <c r="J113" s="392"/>
      <c r="K113" s="392"/>
      <c r="L113" s="392"/>
      <c r="M113" s="392"/>
      <c r="N113" s="392"/>
      <c r="O113" s="392"/>
      <c r="P113" s="392"/>
      <c r="Q113" s="392"/>
      <c r="R113" s="392"/>
      <c r="S113" s="392"/>
      <c r="T113" s="392"/>
      <c r="U113" s="392"/>
      <c r="V113" s="392"/>
    </row>
    <row r="114" spans="10:22" ht="12">
      <c r="J114" s="392"/>
      <c r="K114" s="392"/>
      <c r="L114" s="392"/>
      <c r="M114" s="392"/>
      <c r="N114" s="392"/>
      <c r="O114" s="392"/>
      <c r="P114" s="392"/>
      <c r="Q114" s="392"/>
      <c r="R114" s="392"/>
      <c r="S114" s="392"/>
      <c r="T114" s="392"/>
      <c r="U114" s="392"/>
      <c r="V114" s="392"/>
    </row>
    <row r="115" spans="10:22" ht="12">
      <c r="J115" s="392"/>
      <c r="K115" s="392"/>
      <c r="L115" s="392"/>
      <c r="M115" s="392"/>
      <c r="N115" s="392"/>
      <c r="O115" s="392"/>
      <c r="P115" s="392"/>
      <c r="Q115" s="392"/>
      <c r="R115" s="392"/>
      <c r="S115" s="392"/>
      <c r="T115" s="392"/>
      <c r="U115" s="392"/>
      <c r="V115" s="392"/>
    </row>
    <row r="116" spans="10:22" ht="12">
      <c r="J116" s="392"/>
      <c r="K116" s="392"/>
      <c r="L116" s="392"/>
      <c r="M116" s="392"/>
      <c r="N116" s="392"/>
      <c r="O116" s="392"/>
      <c r="P116" s="392"/>
      <c r="Q116" s="392"/>
      <c r="R116" s="392"/>
      <c r="S116" s="392"/>
      <c r="T116" s="392"/>
      <c r="U116" s="392"/>
      <c r="V116" s="392"/>
    </row>
    <row r="117" spans="10:22" ht="12">
      <c r="J117" s="392"/>
      <c r="K117" s="392"/>
      <c r="L117" s="392"/>
      <c r="M117" s="392"/>
      <c r="N117" s="392"/>
      <c r="O117" s="392"/>
      <c r="P117" s="392"/>
      <c r="Q117" s="392"/>
      <c r="R117" s="392"/>
      <c r="S117" s="392"/>
      <c r="T117" s="392"/>
      <c r="U117" s="392"/>
      <c r="V117" s="392"/>
    </row>
    <row r="118" spans="10:22" ht="12">
      <c r="J118" s="392"/>
      <c r="K118" s="392"/>
      <c r="L118" s="392"/>
      <c r="M118" s="392"/>
      <c r="N118" s="392"/>
      <c r="O118" s="392"/>
      <c r="P118" s="392"/>
      <c r="Q118" s="392"/>
      <c r="R118" s="392"/>
      <c r="S118" s="392"/>
      <c r="T118" s="392"/>
      <c r="U118" s="392"/>
      <c r="V118" s="392"/>
    </row>
    <row r="119" spans="10:22" ht="12">
      <c r="J119" s="392"/>
      <c r="K119" s="392"/>
      <c r="L119" s="392"/>
      <c r="M119" s="392"/>
      <c r="N119" s="392"/>
      <c r="O119" s="392"/>
      <c r="P119" s="392"/>
      <c r="Q119" s="392"/>
      <c r="R119" s="392"/>
      <c r="S119" s="392"/>
      <c r="T119" s="392"/>
      <c r="U119" s="392"/>
      <c r="V119" s="392"/>
    </row>
    <row r="120" spans="10:22" ht="12">
      <c r="J120" s="392"/>
      <c r="K120" s="392"/>
      <c r="L120" s="392"/>
      <c r="M120" s="392"/>
      <c r="N120" s="392"/>
      <c r="O120" s="392"/>
      <c r="P120" s="392"/>
      <c r="Q120" s="392"/>
      <c r="R120" s="392"/>
      <c r="S120" s="392"/>
      <c r="T120" s="392"/>
      <c r="U120" s="392"/>
      <c r="V120" s="392"/>
    </row>
    <row r="121" spans="10:22" ht="12">
      <c r="J121" s="392"/>
      <c r="K121" s="392"/>
      <c r="L121" s="392"/>
      <c r="M121" s="392"/>
      <c r="N121" s="392"/>
      <c r="O121" s="392"/>
      <c r="P121" s="392"/>
      <c r="Q121" s="392"/>
      <c r="R121" s="392"/>
      <c r="S121" s="392"/>
      <c r="T121" s="392"/>
      <c r="U121" s="392"/>
      <c r="V121" s="392"/>
    </row>
    <row r="122" spans="10:22" ht="12">
      <c r="J122" s="392"/>
      <c r="K122" s="392"/>
      <c r="L122" s="392"/>
      <c r="M122" s="392"/>
      <c r="N122" s="392"/>
      <c r="O122" s="392"/>
      <c r="P122" s="392"/>
      <c r="Q122" s="392"/>
      <c r="R122" s="392"/>
      <c r="S122" s="392"/>
      <c r="T122" s="392"/>
      <c r="U122" s="392"/>
      <c r="V122" s="392"/>
    </row>
    <row r="123" spans="10:22" ht="12">
      <c r="J123" s="392"/>
      <c r="K123" s="392"/>
      <c r="L123" s="392"/>
      <c r="M123" s="392"/>
      <c r="N123" s="392"/>
      <c r="O123" s="392"/>
      <c r="P123" s="392"/>
      <c r="Q123" s="392"/>
      <c r="R123" s="392"/>
      <c r="S123" s="392"/>
      <c r="T123" s="392"/>
      <c r="U123" s="392"/>
      <c r="V123" s="392"/>
    </row>
    <row r="124" spans="10:22" ht="12">
      <c r="J124" s="392"/>
      <c r="K124" s="392"/>
      <c r="L124" s="392"/>
      <c r="M124" s="392"/>
      <c r="N124" s="392"/>
      <c r="O124" s="392"/>
      <c r="P124" s="392"/>
      <c r="Q124" s="392"/>
      <c r="R124" s="392"/>
      <c r="S124" s="392"/>
      <c r="T124" s="392"/>
      <c r="U124" s="392"/>
      <c r="V124" s="392"/>
    </row>
    <row r="125" spans="10:22" ht="12">
      <c r="J125" s="392"/>
      <c r="K125" s="392"/>
      <c r="L125" s="392"/>
      <c r="M125" s="392"/>
      <c r="N125" s="392"/>
      <c r="O125" s="392"/>
      <c r="P125" s="392"/>
      <c r="Q125" s="392"/>
      <c r="R125" s="392"/>
      <c r="S125" s="392"/>
      <c r="T125" s="392"/>
      <c r="U125" s="392"/>
      <c r="V125" s="392"/>
    </row>
    <row r="126" spans="10:22" ht="12">
      <c r="J126" s="392"/>
      <c r="K126" s="392"/>
      <c r="L126" s="392"/>
      <c r="M126" s="392"/>
      <c r="N126" s="392"/>
      <c r="O126" s="392"/>
      <c r="P126" s="392"/>
      <c r="Q126" s="392"/>
      <c r="R126" s="392"/>
      <c r="S126" s="392"/>
      <c r="T126" s="392"/>
      <c r="U126" s="392"/>
      <c r="V126" s="392"/>
    </row>
    <row r="127" spans="10:22" ht="12">
      <c r="J127" s="392"/>
      <c r="K127" s="392"/>
      <c r="L127" s="392"/>
      <c r="M127" s="392"/>
      <c r="N127" s="392"/>
      <c r="O127" s="392"/>
      <c r="P127" s="392"/>
      <c r="Q127" s="392"/>
      <c r="R127" s="392"/>
      <c r="S127" s="392"/>
      <c r="T127" s="392"/>
      <c r="U127" s="392"/>
      <c r="V127" s="392"/>
    </row>
    <row r="128" spans="10:22" ht="12">
      <c r="J128" s="392"/>
      <c r="K128" s="392"/>
      <c r="L128" s="392"/>
      <c r="M128" s="392"/>
      <c r="N128" s="392"/>
      <c r="O128" s="392"/>
      <c r="P128" s="392"/>
      <c r="Q128" s="392"/>
      <c r="R128" s="392"/>
      <c r="S128" s="392"/>
      <c r="T128" s="392"/>
      <c r="U128" s="392"/>
      <c r="V128" s="392"/>
    </row>
    <row r="129" spans="10:22" ht="12">
      <c r="J129" s="392"/>
      <c r="K129" s="392"/>
      <c r="L129" s="392"/>
      <c r="M129" s="392"/>
      <c r="N129" s="392"/>
      <c r="O129" s="392"/>
      <c r="P129" s="392"/>
      <c r="Q129" s="392"/>
      <c r="R129" s="392"/>
      <c r="S129" s="392"/>
      <c r="T129" s="392"/>
      <c r="U129" s="392"/>
      <c r="V129" s="392"/>
    </row>
    <row r="130" spans="10:22" ht="12">
      <c r="J130" s="392"/>
      <c r="K130" s="392"/>
      <c r="L130" s="392"/>
      <c r="M130" s="392"/>
      <c r="N130" s="392"/>
      <c r="O130" s="392"/>
      <c r="P130" s="392"/>
      <c r="Q130" s="392"/>
      <c r="R130" s="392"/>
      <c r="S130" s="392"/>
      <c r="T130" s="392"/>
      <c r="U130" s="392"/>
      <c r="V130" s="392"/>
    </row>
    <row r="131" spans="10:22" ht="12">
      <c r="J131" s="392"/>
      <c r="K131" s="392"/>
      <c r="L131" s="392"/>
      <c r="M131" s="392"/>
      <c r="N131" s="392"/>
      <c r="O131" s="392"/>
      <c r="P131" s="392"/>
      <c r="Q131" s="392"/>
      <c r="R131" s="392"/>
      <c r="S131" s="392"/>
      <c r="T131" s="392"/>
      <c r="U131" s="392"/>
      <c r="V131" s="392"/>
    </row>
    <row r="132" spans="10:22" ht="12">
      <c r="J132" s="392"/>
      <c r="K132" s="392"/>
      <c r="L132" s="392"/>
      <c r="M132" s="392"/>
      <c r="N132" s="392"/>
      <c r="O132" s="392"/>
      <c r="P132" s="392"/>
      <c r="Q132" s="392"/>
      <c r="R132" s="392"/>
      <c r="S132" s="392"/>
      <c r="T132" s="392"/>
      <c r="U132" s="392"/>
      <c r="V132" s="392"/>
    </row>
    <row r="133" spans="10:22" ht="12">
      <c r="J133" s="392"/>
      <c r="K133" s="392"/>
      <c r="L133" s="392"/>
      <c r="M133" s="392"/>
      <c r="N133" s="392"/>
      <c r="O133" s="392"/>
      <c r="P133" s="392"/>
      <c r="Q133" s="392"/>
      <c r="R133" s="392"/>
      <c r="S133" s="392"/>
      <c r="T133" s="392"/>
      <c r="U133" s="392"/>
      <c r="V133" s="392"/>
    </row>
    <row r="134" spans="10:22" ht="12">
      <c r="J134" s="392"/>
      <c r="K134" s="392"/>
      <c r="L134" s="392"/>
      <c r="M134" s="392"/>
      <c r="N134" s="392"/>
      <c r="O134" s="392"/>
      <c r="P134" s="392"/>
      <c r="Q134" s="392"/>
      <c r="R134" s="392"/>
      <c r="S134" s="392"/>
      <c r="T134" s="392"/>
      <c r="U134" s="392"/>
      <c r="V134" s="392"/>
    </row>
    <row r="135" spans="10:22" ht="12">
      <c r="J135" s="392"/>
      <c r="K135" s="392"/>
      <c r="L135" s="392"/>
      <c r="M135" s="392"/>
      <c r="N135" s="392"/>
      <c r="O135" s="392"/>
      <c r="P135" s="392"/>
      <c r="Q135" s="392"/>
      <c r="R135" s="392"/>
      <c r="S135" s="392"/>
      <c r="T135" s="392"/>
      <c r="U135" s="392"/>
      <c r="V135" s="392"/>
    </row>
    <row r="136" spans="10:22" ht="12">
      <c r="J136" s="392"/>
      <c r="K136" s="392"/>
      <c r="L136" s="392"/>
      <c r="M136" s="392"/>
      <c r="N136" s="392"/>
      <c r="O136" s="392"/>
      <c r="P136" s="392"/>
      <c r="Q136" s="392"/>
      <c r="R136" s="392"/>
      <c r="S136" s="392"/>
      <c r="T136" s="392"/>
      <c r="U136" s="392"/>
      <c r="V136" s="392"/>
    </row>
    <row r="137" spans="10:22" ht="12">
      <c r="J137" s="392"/>
      <c r="K137" s="392"/>
      <c r="L137" s="392"/>
      <c r="M137" s="392"/>
      <c r="N137" s="392"/>
      <c r="O137" s="392"/>
      <c r="P137" s="392"/>
      <c r="Q137" s="392"/>
      <c r="R137" s="392"/>
      <c r="S137" s="392"/>
      <c r="T137" s="392"/>
      <c r="U137" s="392"/>
      <c r="V137" s="392"/>
    </row>
    <row r="138" spans="10:22" ht="12">
      <c r="J138" s="392"/>
      <c r="K138" s="392"/>
      <c r="L138" s="392"/>
      <c r="M138" s="392"/>
      <c r="N138" s="392"/>
      <c r="O138" s="392"/>
      <c r="P138" s="392"/>
      <c r="Q138" s="392"/>
      <c r="R138" s="392"/>
      <c r="S138" s="392"/>
      <c r="T138" s="392"/>
      <c r="U138" s="392"/>
      <c r="V138" s="392"/>
    </row>
    <row r="139" spans="10:22" ht="12">
      <c r="J139" s="392"/>
      <c r="K139" s="392"/>
      <c r="L139" s="392"/>
      <c r="M139" s="392"/>
      <c r="N139" s="392"/>
      <c r="O139" s="392"/>
      <c r="P139" s="392"/>
      <c r="Q139" s="392"/>
      <c r="R139" s="392"/>
      <c r="S139" s="392"/>
      <c r="T139" s="392"/>
      <c r="U139" s="392"/>
      <c r="V139" s="392"/>
    </row>
    <row r="140" spans="10:22" ht="12">
      <c r="J140" s="392"/>
      <c r="K140" s="392"/>
      <c r="L140" s="392"/>
      <c r="M140" s="392"/>
      <c r="N140" s="392"/>
      <c r="O140" s="392"/>
      <c r="P140" s="392"/>
      <c r="Q140" s="392"/>
      <c r="R140" s="392"/>
      <c r="S140" s="392"/>
      <c r="T140" s="392"/>
      <c r="U140" s="392"/>
      <c r="V140" s="392"/>
    </row>
    <row r="141" spans="10:22" ht="12">
      <c r="J141" s="392"/>
      <c r="K141" s="392"/>
      <c r="L141" s="392"/>
      <c r="M141" s="392"/>
      <c r="N141" s="392"/>
      <c r="O141" s="392"/>
      <c r="P141" s="392"/>
      <c r="Q141" s="392"/>
      <c r="R141" s="392"/>
      <c r="S141" s="392"/>
      <c r="T141" s="392"/>
      <c r="U141" s="392"/>
      <c r="V141" s="392"/>
    </row>
    <row r="142" spans="10:22" ht="12">
      <c r="J142" s="392"/>
      <c r="K142" s="392"/>
      <c r="L142" s="392"/>
      <c r="M142" s="392"/>
      <c r="N142" s="392"/>
      <c r="O142" s="392"/>
      <c r="P142" s="392"/>
      <c r="Q142" s="392"/>
      <c r="R142" s="392"/>
      <c r="S142" s="392"/>
      <c r="T142" s="392"/>
      <c r="U142" s="392"/>
      <c r="V142" s="392"/>
    </row>
    <row r="143" spans="10:22" ht="12">
      <c r="J143" s="392"/>
      <c r="K143" s="392"/>
      <c r="L143" s="392"/>
      <c r="M143" s="392"/>
      <c r="N143" s="392"/>
      <c r="O143" s="392"/>
      <c r="P143" s="392"/>
      <c r="Q143" s="392"/>
      <c r="R143" s="392"/>
      <c r="S143" s="392"/>
      <c r="T143" s="392"/>
      <c r="U143" s="392"/>
      <c r="V143" s="392"/>
    </row>
    <row r="144" spans="10:22" ht="12">
      <c r="J144" s="392"/>
      <c r="K144" s="392"/>
      <c r="L144" s="392"/>
      <c r="M144" s="392"/>
      <c r="N144" s="392"/>
      <c r="O144" s="392"/>
      <c r="P144" s="392"/>
      <c r="Q144" s="392"/>
      <c r="R144" s="392"/>
      <c r="S144" s="392"/>
      <c r="T144" s="392"/>
      <c r="U144" s="392"/>
      <c r="V144" s="392"/>
    </row>
    <row r="145" spans="10:22" ht="12">
      <c r="J145" s="392"/>
      <c r="K145" s="392"/>
      <c r="L145" s="392"/>
      <c r="M145" s="392"/>
      <c r="N145" s="392"/>
      <c r="O145" s="392"/>
      <c r="P145" s="392"/>
      <c r="Q145" s="392"/>
      <c r="R145" s="392"/>
      <c r="S145" s="392"/>
      <c r="T145" s="392"/>
      <c r="U145" s="392"/>
      <c r="V145" s="392"/>
    </row>
    <row r="146" spans="10:22" ht="12">
      <c r="J146" s="392"/>
      <c r="K146" s="392"/>
      <c r="L146" s="392"/>
      <c r="M146" s="392"/>
      <c r="N146" s="392"/>
      <c r="O146" s="392"/>
      <c r="P146" s="392"/>
      <c r="Q146" s="392"/>
      <c r="R146" s="392"/>
      <c r="S146" s="392"/>
      <c r="T146" s="392"/>
      <c r="U146" s="392"/>
      <c r="V146" s="392"/>
    </row>
    <row r="147" spans="10:22" ht="12">
      <c r="J147" s="392"/>
      <c r="K147" s="392"/>
      <c r="L147" s="392"/>
      <c r="M147" s="392"/>
      <c r="N147" s="392"/>
      <c r="O147" s="392"/>
      <c r="P147" s="392"/>
      <c r="Q147" s="392"/>
      <c r="R147" s="392"/>
      <c r="S147" s="392"/>
      <c r="T147" s="392"/>
      <c r="U147" s="392"/>
      <c r="V147" s="392"/>
    </row>
    <row r="148" spans="10:22" ht="12">
      <c r="J148" s="392"/>
      <c r="K148" s="392"/>
      <c r="L148" s="392"/>
      <c r="M148" s="392"/>
      <c r="N148" s="392"/>
      <c r="O148" s="392"/>
      <c r="P148" s="392"/>
      <c r="Q148" s="392"/>
      <c r="R148" s="392"/>
      <c r="S148" s="392"/>
      <c r="T148" s="392"/>
      <c r="U148" s="392"/>
      <c r="V148" s="392"/>
    </row>
    <row r="149" spans="10:22" ht="12">
      <c r="J149" s="392"/>
      <c r="K149" s="392"/>
      <c r="L149" s="392"/>
      <c r="M149" s="392"/>
      <c r="N149" s="392"/>
      <c r="O149" s="392"/>
      <c r="P149" s="392"/>
      <c r="Q149" s="392"/>
      <c r="R149" s="392"/>
      <c r="S149" s="392"/>
      <c r="T149" s="392"/>
      <c r="U149" s="392"/>
      <c r="V149" s="392"/>
    </row>
    <row r="150" spans="10:22" ht="12">
      <c r="J150" s="392"/>
      <c r="K150" s="392"/>
      <c r="L150" s="392"/>
      <c r="M150" s="392"/>
      <c r="N150" s="392"/>
      <c r="O150" s="392"/>
      <c r="P150" s="392"/>
      <c r="Q150" s="392"/>
      <c r="R150" s="392"/>
      <c r="S150" s="392"/>
      <c r="T150" s="392"/>
      <c r="U150" s="392"/>
      <c r="V150" s="392"/>
    </row>
    <row r="151" spans="10:22" ht="12">
      <c r="J151" s="392"/>
      <c r="K151" s="392"/>
      <c r="L151" s="392"/>
      <c r="M151" s="392"/>
      <c r="N151" s="392"/>
      <c r="O151" s="392"/>
      <c r="P151" s="392"/>
      <c r="Q151" s="392"/>
      <c r="R151" s="392"/>
      <c r="S151" s="392"/>
      <c r="T151" s="392"/>
      <c r="U151" s="392"/>
      <c r="V151" s="392"/>
    </row>
    <row r="152" spans="10:22" ht="12">
      <c r="J152" s="392"/>
      <c r="K152" s="392"/>
      <c r="L152" s="392"/>
      <c r="M152" s="392"/>
      <c r="N152" s="392"/>
      <c r="O152" s="392"/>
      <c r="P152" s="392"/>
      <c r="Q152" s="392"/>
      <c r="R152" s="392"/>
      <c r="S152" s="392"/>
      <c r="T152" s="392"/>
      <c r="U152" s="392"/>
      <c r="V152" s="392"/>
    </row>
    <row r="153" spans="10:22" ht="12">
      <c r="J153" s="392"/>
      <c r="K153" s="392"/>
      <c r="L153" s="392"/>
      <c r="M153" s="392"/>
      <c r="N153" s="392"/>
      <c r="O153" s="392"/>
      <c r="P153" s="392"/>
      <c r="Q153" s="392"/>
      <c r="R153" s="392"/>
      <c r="S153" s="392"/>
      <c r="T153" s="392"/>
      <c r="U153" s="392"/>
      <c r="V153" s="392"/>
    </row>
    <row r="154" spans="10:22" ht="12">
      <c r="J154" s="392"/>
      <c r="K154" s="392"/>
      <c r="L154" s="392"/>
      <c r="M154" s="392"/>
      <c r="N154" s="392"/>
      <c r="O154" s="392"/>
      <c r="P154" s="392"/>
      <c r="Q154" s="392"/>
      <c r="R154" s="392"/>
      <c r="S154" s="392"/>
      <c r="T154" s="392"/>
      <c r="U154" s="392"/>
      <c r="V154" s="392"/>
    </row>
    <row r="155" spans="10:22" ht="12">
      <c r="J155" s="392"/>
      <c r="K155" s="392"/>
      <c r="L155" s="392"/>
      <c r="M155" s="392"/>
      <c r="N155" s="392"/>
      <c r="O155" s="392"/>
      <c r="P155" s="392"/>
      <c r="Q155" s="392"/>
      <c r="R155" s="392"/>
      <c r="S155" s="392"/>
      <c r="T155" s="392"/>
      <c r="U155" s="392"/>
      <c r="V155" s="392"/>
    </row>
    <row r="156" spans="10:22" ht="12">
      <c r="J156" s="392"/>
      <c r="K156" s="392"/>
      <c r="L156" s="392"/>
      <c r="M156" s="392"/>
      <c r="N156" s="392"/>
      <c r="O156" s="392"/>
      <c r="P156" s="392"/>
      <c r="Q156" s="392"/>
      <c r="R156" s="392"/>
      <c r="S156" s="392"/>
      <c r="T156" s="392"/>
      <c r="U156" s="392"/>
      <c r="V156" s="392"/>
    </row>
    <row r="157" spans="10:22" ht="12">
      <c r="J157" s="392"/>
      <c r="K157" s="392"/>
      <c r="L157" s="392"/>
      <c r="M157" s="392"/>
      <c r="N157" s="392"/>
      <c r="O157" s="392"/>
      <c r="P157" s="392"/>
      <c r="Q157" s="392"/>
      <c r="R157" s="392"/>
      <c r="S157" s="392"/>
      <c r="T157" s="392"/>
      <c r="U157" s="392"/>
      <c r="V157" s="392"/>
    </row>
    <row r="158" spans="10:22" ht="12">
      <c r="J158" s="392"/>
      <c r="K158" s="392"/>
      <c r="L158" s="392"/>
      <c r="M158" s="392"/>
      <c r="N158" s="392"/>
      <c r="O158" s="392"/>
      <c r="P158" s="392"/>
      <c r="Q158" s="392"/>
      <c r="R158" s="392"/>
      <c r="S158" s="392"/>
      <c r="T158" s="392"/>
      <c r="U158" s="392"/>
      <c r="V158" s="392"/>
    </row>
    <row r="159" spans="10:22" ht="12">
      <c r="J159" s="392"/>
      <c r="K159" s="392"/>
      <c r="L159" s="392"/>
      <c r="M159" s="392"/>
      <c r="N159" s="392"/>
      <c r="O159" s="392"/>
      <c r="P159" s="392"/>
      <c r="Q159" s="392"/>
      <c r="R159" s="392"/>
      <c r="S159" s="392"/>
      <c r="T159" s="392"/>
      <c r="U159" s="392"/>
      <c r="V159" s="392"/>
    </row>
    <row r="160" spans="10:22" ht="12">
      <c r="J160" s="392"/>
      <c r="K160" s="392"/>
      <c r="L160" s="392"/>
      <c r="M160" s="392"/>
      <c r="N160" s="392"/>
      <c r="O160" s="392"/>
      <c r="P160" s="392"/>
      <c r="Q160" s="392"/>
      <c r="R160" s="392"/>
      <c r="S160" s="392"/>
      <c r="T160" s="392"/>
      <c r="U160" s="392"/>
      <c r="V160" s="392"/>
    </row>
    <row r="161" spans="10:22" ht="12">
      <c r="J161" s="392"/>
      <c r="K161" s="392"/>
      <c r="L161" s="392"/>
      <c r="M161" s="392"/>
      <c r="N161" s="392"/>
      <c r="O161" s="392"/>
      <c r="P161" s="392"/>
      <c r="Q161" s="392"/>
      <c r="R161" s="392"/>
      <c r="S161" s="392"/>
      <c r="T161" s="392"/>
      <c r="U161" s="392"/>
      <c r="V161" s="392"/>
    </row>
    <row r="162" spans="10:22" ht="12">
      <c r="J162" s="392"/>
      <c r="K162" s="392"/>
      <c r="L162" s="392"/>
      <c r="M162" s="392"/>
      <c r="N162" s="392"/>
      <c r="O162" s="392"/>
      <c r="P162" s="392"/>
      <c r="Q162" s="392"/>
      <c r="R162" s="392"/>
      <c r="S162" s="392"/>
      <c r="T162" s="392"/>
      <c r="U162" s="392"/>
      <c r="V162" s="392"/>
    </row>
    <row r="163" spans="10:22" ht="12">
      <c r="J163" s="392"/>
      <c r="K163" s="392"/>
      <c r="L163" s="392"/>
      <c r="M163" s="392"/>
      <c r="N163" s="392"/>
      <c r="O163" s="392"/>
      <c r="P163" s="392"/>
      <c r="Q163" s="392"/>
      <c r="R163" s="392"/>
      <c r="S163" s="392"/>
      <c r="T163" s="392"/>
      <c r="U163" s="392"/>
      <c r="V163" s="392"/>
    </row>
    <row r="164" spans="10:22" ht="12">
      <c r="J164" s="392"/>
      <c r="K164" s="392"/>
      <c r="L164" s="392"/>
      <c r="M164" s="392"/>
      <c r="N164" s="392"/>
      <c r="O164" s="392"/>
      <c r="P164" s="392"/>
      <c r="Q164" s="392"/>
      <c r="R164" s="392"/>
      <c r="S164" s="392"/>
      <c r="T164" s="392"/>
      <c r="U164" s="392"/>
      <c r="V164" s="392"/>
    </row>
    <row r="165" spans="10:22" ht="12">
      <c r="J165" s="392"/>
      <c r="K165" s="392"/>
      <c r="L165" s="392"/>
      <c r="M165" s="392"/>
      <c r="N165" s="392"/>
      <c r="O165" s="392"/>
      <c r="P165" s="392"/>
      <c r="Q165" s="392"/>
      <c r="R165" s="392"/>
      <c r="S165" s="392"/>
      <c r="T165" s="392"/>
      <c r="U165" s="392"/>
      <c r="V165" s="392"/>
    </row>
    <row r="166" spans="10:22" ht="12">
      <c r="J166" s="392"/>
      <c r="K166" s="392"/>
      <c r="L166" s="392"/>
      <c r="M166" s="392"/>
      <c r="N166" s="392"/>
      <c r="O166" s="392"/>
      <c r="P166" s="392"/>
      <c r="Q166" s="392"/>
      <c r="R166" s="392"/>
      <c r="S166" s="392"/>
      <c r="T166" s="392"/>
      <c r="U166" s="392"/>
      <c r="V166" s="392"/>
    </row>
    <row r="167" spans="10:22" ht="12">
      <c r="J167" s="392"/>
      <c r="K167" s="392"/>
      <c r="L167" s="392"/>
      <c r="M167" s="392"/>
      <c r="N167" s="392"/>
      <c r="O167" s="392"/>
      <c r="P167" s="392"/>
      <c r="Q167" s="392"/>
      <c r="R167" s="392"/>
      <c r="S167" s="392"/>
      <c r="T167" s="392"/>
      <c r="U167" s="392"/>
      <c r="V167" s="392"/>
    </row>
    <row r="168" spans="10:22" ht="12">
      <c r="J168" s="392"/>
      <c r="K168" s="392"/>
      <c r="L168" s="392"/>
      <c r="M168" s="392"/>
      <c r="N168" s="392"/>
      <c r="O168" s="392"/>
      <c r="P168" s="392"/>
      <c r="Q168" s="392"/>
      <c r="R168" s="392"/>
      <c r="S168" s="392"/>
      <c r="T168" s="392"/>
      <c r="U168" s="392"/>
      <c r="V168" s="392"/>
    </row>
    <row r="169" spans="10:22" ht="12">
      <c r="J169" s="392"/>
      <c r="K169" s="392"/>
      <c r="L169" s="392"/>
      <c r="M169" s="392"/>
      <c r="N169" s="392"/>
      <c r="O169" s="392"/>
      <c r="P169" s="392"/>
      <c r="Q169" s="392"/>
      <c r="R169" s="392"/>
      <c r="S169" s="392"/>
      <c r="T169" s="392"/>
      <c r="U169" s="392"/>
      <c r="V169" s="392"/>
    </row>
    <row r="170" spans="10:22" ht="12">
      <c r="J170" s="392"/>
      <c r="K170" s="392"/>
      <c r="L170" s="392"/>
      <c r="M170" s="392"/>
      <c r="N170" s="392"/>
      <c r="O170" s="392"/>
      <c r="P170" s="392"/>
      <c r="Q170" s="392"/>
      <c r="R170" s="392"/>
      <c r="S170" s="392"/>
      <c r="T170" s="392"/>
      <c r="U170" s="392"/>
      <c r="V170" s="392"/>
    </row>
    <row r="171" spans="10:22" ht="12">
      <c r="J171" s="392"/>
      <c r="K171" s="392"/>
      <c r="L171" s="392"/>
      <c r="M171" s="392"/>
      <c r="N171" s="392"/>
      <c r="O171" s="392"/>
      <c r="P171" s="392"/>
      <c r="Q171" s="392"/>
      <c r="R171" s="392"/>
      <c r="S171" s="392"/>
      <c r="T171" s="392"/>
      <c r="U171" s="392"/>
      <c r="V171" s="392"/>
    </row>
    <row r="172" spans="10:22" ht="12">
      <c r="J172" s="392"/>
      <c r="K172" s="392"/>
      <c r="L172" s="392"/>
      <c r="M172" s="392"/>
      <c r="N172" s="392"/>
      <c r="O172" s="392"/>
      <c r="P172" s="392"/>
      <c r="Q172" s="392"/>
      <c r="R172" s="392"/>
      <c r="S172" s="392"/>
      <c r="T172" s="392"/>
      <c r="U172" s="392"/>
      <c r="V172" s="392"/>
    </row>
    <row r="173" spans="10:22" ht="12">
      <c r="J173" s="392"/>
      <c r="K173" s="392"/>
      <c r="L173" s="392"/>
      <c r="M173" s="392"/>
      <c r="N173" s="392"/>
      <c r="O173" s="392"/>
      <c r="P173" s="392"/>
      <c r="Q173" s="392"/>
      <c r="R173" s="392"/>
      <c r="S173" s="392"/>
      <c r="T173" s="392"/>
      <c r="U173" s="392"/>
      <c r="V173" s="392"/>
    </row>
    <row r="174" spans="10:22" ht="12">
      <c r="J174" s="392"/>
      <c r="K174" s="392"/>
      <c r="L174" s="392"/>
      <c r="M174" s="392"/>
      <c r="N174" s="392"/>
      <c r="O174" s="392"/>
      <c r="P174" s="392"/>
      <c r="Q174" s="392"/>
      <c r="R174" s="392"/>
      <c r="S174" s="392"/>
      <c r="T174" s="392"/>
      <c r="U174" s="392"/>
      <c r="V174" s="392"/>
    </row>
    <row r="175" spans="10:22" ht="12">
      <c r="J175" s="392"/>
      <c r="K175" s="392"/>
      <c r="L175" s="392"/>
      <c r="M175" s="392"/>
      <c r="N175" s="392"/>
      <c r="O175" s="392"/>
      <c r="P175" s="392"/>
      <c r="Q175" s="392"/>
      <c r="R175" s="392"/>
      <c r="S175" s="392"/>
      <c r="T175" s="392"/>
      <c r="U175" s="392"/>
      <c r="V175" s="392"/>
    </row>
    <row r="176" spans="10:22" ht="12">
      <c r="J176" s="392"/>
      <c r="K176" s="392"/>
      <c r="L176" s="392"/>
      <c r="M176" s="392"/>
      <c r="N176" s="392"/>
      <c r="O176" s="392"/>
      <c r="P176" s="392"/>
      <c r="Q176" s="392"/>
      <c r="R176" s="392"/>
      <c r="S176" s="392"/>
      <c r="T176" s="392"/>
      <c r="U176" s="392"/>
      <c r="V176" s="392"/>
    </row>
    <row r="177" spans="10:22" ht="12">
      <c r="J177" s="392"/>
      <c r="K177" s="392"/>
      <c r="L177" s="392"/>
      <c r="M177" s="392"/>
      <c r="N177" s="392"/>
      <c r="O177" s="392"/>
      <c r="P177" s="392"/>
      <c r="Q177" s="392"/>
      <c r="R177" s="392"/>
      <c r="S177" s="392"/>
      <c r="T177" s="392"/>
      <c r="U177" s="392"/>
      <c r="V177" s="392"/>
    </row>
    <row r="178" spans="10:22" ht="12">
      <c r="J178" s="392"/>
      <c r="K178" s="392"/>
      <c r="L178" s="392"/>
      <c r="M178" s="392"/>
      <c r="N178" s="392"/>
      <c r="O178" s="392"/>
      <c r="P178" s="392"/>
      <c r="Q178" s="392"/>
      <c r="R178" s="392"/>
      <c r="S178" s="392"/>
      <c r="T178" s="392"/>
      <c r="U178" s="392"/>
      <c r="V178" s="392"/>
    </row>
    <row r="179" spans="10:22" ht="12">
      <c r="J179" s="392"/>
      <c r="K179" s="392"/>
      <c r="L179" s="392"/>
      <c r="M179" s="392"/>
      <c r="N179" s="392"/>
      <c r="O179" s="392"/>
      <c r="P179" s="392"/>
      <c r="Q179" s="392"/>
      <c r="R179" s="392"/>
      <c r="S179" s="392"/>
      <c r="T179" s="392"/>
      <c r="U179" s="392"/>
      <c r="V179" s="392"/>
    </row>
    <row r="180" spans="10:22" ht="12">
      <c r="J180" s="392"/>
      <c r="K180" s="392"/>
      <c r="L180" s="392"/>
      <c r="M180" s="392"/>
      <c r="N180" s="392"/>
      <c r="O180" s="392"/>
      <c r="P180" s="392"/>
      <c r="Q180" s="392"/>
      <c r="R180" s="392"/>
      <c r="S180" s="392"/>
      <c r="T180" s="392"/>
      <c r="U180" s="392"/>
      <c r="V180" s="392"/>
    </row>
    <row r="181" spans="10:22" ht="12">
      <c r="J181" s="392"/>
      <c r="K181" s="392"/>
      <c r="L181" s="392"/>
      <c r="M181" s="392"/>
      <c r="N181" s="392"/>
      <c r="O181" s="392"/>
      <c r="P181" s="392"/>
      <c r="Q181" s="392"/>
      <c r="R181" s="392"/>
      <c r="S181" s="392"/>
      <c r="T181" s="392"/>
      <c r="U181" s="392"/>
      <c r="V181" s="392"/>
    </row>
    <row r="182" spans="10:22" ht="12">
      <c r="J182" s="392"/>
      <c r="K182" s="392"/>
      <c r="L182" s="392"/>
      <c r="M182" s="392"/>
      <c r="N182" s="392"/>
      <c r="O182" s="392"/>
      <c r="P182" s="392"/>
      <c r="Q182" s="392"/>
      <c r="R182" s="392"/>
      <c r="S182" s="392"/>
      <c r="T182" s="392"/>
      <c r="U182" s="392"/>
      <c r="V182" s="392"/>
    </row>
    <row r="183" spans="10:22" ht="12">
      <c r="J183" s="392"/>
      <c r="K183" s="392"/>
      <c r="L183" s="392"/>
      <c r="M183" s="392"/>
      <c r="N183" s="392"/>
      <c r="O183" s="392"/>
      <c r="P183" s="392"/>
      <c r="Q183" s="392"/>
      <c r="R183" s="392"/>
      <c r="S183" s="392"/>
      <c r="T183" s="392"/>
      <c r="U183" s="392"/>
      <c r="V183" s="392"/>
    </row>
    <row r="184" spans="10:22" ht="12">
      <c r="J184" s="392"/>
      <c r="K184" s="392"/>
      <c r="L184" s="392"/>
      <c r="M184" s="392"/>
      <c r="N184" s="392"/>
      <c r="O184" s="392"/>
      <c r="P184" s="392"/>
      <c r="Q184" s="392"/>
      <c r="R184" s="392"/>
      <c r="S184" s="392"/>
      <c r="T184" s="392"/>
      <c r="U184" s="392"/>
      <c r="V184" s="392"/>
    </row>
    <row r="185" spans="10:22" ht="12">
      <c r="J185" s="392"/>
      <c r="K185" s="392"/>
      <c r="L185" s="392"/>
      <c r="M185" s="392"/>
      <c r="N185" s="392"/>
      <c r="O185" s="392"/>
      <c r="P185" s="392"/>
      <c r="Q185" s="392"/>
      <c r="R185" s="392"/>
      <c r="S185" s="392"/>
      <c r="T185" s="392"/>
      <c r="U185" s="392"/>
      <c r="V185" s="392"/>
    </row>
    <row r="186" spans="10:22" ht="12">
      <c r="J186" s="392"/>
      <c r="K186" s="392"/>
      <c r="L186" s="392"/>
      <c r="M186" s="392"/>
      <c r="N186" s="392"/>
      <c r="O186" s="392"/>
      <c r="P186" s="392"/>
      <c r="Q186" s="392"/>
      <c r="R186" s="392"/>
      <c r="S186" s="392"/>
      <c r="T186" s="392"/>
      <c r="U186" s="392"/>
      <c r="V186" s="392"/>
    </row>
    <row r="187" spans="10:22" ht="12">
      <c r="J187" s="392"/>
      <c r="K187" s="392"/>
      <c r="L187" s="392"/>
      <c r="M187" s="392"/>
      <c r="N187" s="392"/>
      <c r="O187" s="392"/>
      <c r="P187" s="392"/>
      <c r="Q187" s="392"/>
      <c r="R187" s="392"/>
      <c r="S187" s="392"/>
      <c r="T187" s="392"/>
      <c r="U187" s="392"/>
      <c r="V187" s="392"/>
    </row>
    <row r="188" spans="10:22" ht="12">
      <c r="J188" s="392"/>
      <c r="K188" s="392"/>
      <c r="L188" s="392"/>
      <c r="M188" s="392"/>
      <c r="N188" s="392"/>
      <c r="O188" s="392"/>
      <c r="P188" s="392"/>
      <c r="Q188" s="392"/>
      <c r="R188" s="392"/>
      <c r="S188" s="392"/>
      <c r="T188" s="392"/>
      <c r="U188" s="392"/>
      <c r="V188" s="392"/>
    </row>
    <row r="189" spans="10:22" ht="12">
      <c r="J189" s="392"/>
      <c r="K189" s="392"/>
      <c r="L189" s="392"/>
      <c r="M189" s="392"/>
      <c r="N189" s="392"/>
      <c r="O189" s="392"/>
      <c r="P189" s="392"/>
      <c r="Q189" s="392"/>
      <c r="R189" s="392"/>
      <c r="S189" s="392"/>
      <c r="T189" s="392"/>
      <c r="U189" s="392"/>
      <c r="V189" s="392"/>
    </row>
    <row r="190" spans="10:22" ht="12">
      <c r="J190" s="392"/>
      <c r="K190" s="392"/>
      <c r="L190" s="392"/>
      <c r="M190" s="392"/>
      <c r="N190" s="392"/>
      <c r="O190" s="392"/>
      <c r="P190" s="392"/>
      <c r="Q190" s="392"/>
      <c r="R190" s="392"/>
      <c r="S190" s="392"/>
      <c r="T190" s="392"/>
      <c r="U190" s="392"/>
      <c r="V190" s="392"/>
    </row>
    <row r="191" spans="10:22" ht="12">
      <c r="J191" s="392"/>
      <c r="K191" s="392"/>
      <c r="L191" s="392"/>
      <c r="M191" s="392"/>
      <c r="N191" s="392"/>
      <c r="O191" s="392"/>
      <c r="P191" s="392"/>
      <c r="Q191" s="392"/>
      <c r="R191" s="392"/>
      <c r="S191" s="392"/>
      <c r="T191" s="392"/>
      <c r="U191" s="392"/>
      <c r="V191" s="392"/>
    </row>
    <row r="192" spans="10:22" ht="12">
      <c r="J192" s="392"/>
      <c r="K192" s="392"/>
      <c r="L192" s="392"/>
      <c r="M192" s="392"/>
      <c r="N192" s="392"/>
      <c r="O192" s="392"/>
      <c r="P192" s="392"/>
      <c r="Q192" s="392"/>
      <c r="R192" s="392"/>
      <c r="S192" s="392"/>
      <c r="T192" s="392"/>
      <c r="U192" s="392"/>
      <c r="V192" s="392"/>
    </row>
    <row r="193" spans="10:22" ht="12">
      <c r="J193" s="392"/>
      <c r="K193" s="392"/>
      <c r="L193" s="392"/>
      <c r="M193" s="392"/>
      <c r="N193" s="392"/>
      <c r="O193" s="392"/>
      <c r="P193" s="392"/>
      <c r="Q193" s="392"/>
      <c r="R193" s="392"/>
      <c r="S193" s="392"/>
      <c r="T193" s="392"/>
      <c r="U193" s="392"/>
      <c r="V193" s="392"/>
    </row>
    <row r="194" spans="10:22" ht="12">
      <c r="J194" s="392"/>
      <c r="K194" s="392"/>
      <c r="L194" s="392"/>
      <c r="M194" s="392"/>
      <c r="N194" s="392"/>
      <c r="O194" s="392"/>
      <c r="P194" s="392"/>
      <c r="Q194" s="392"/>
      <c r="R194" s="392"/>
      <c r="S194" s="392"/>
      <c r="T194" s="392"/>
      <c r="U194" s="392"/>
      <c r="V194" s="392"/>
    </row>
    <row r="195" spans="10:22" ht="12">
      <c r="J195" s="392"/>
      <c r="K195" s="392"/>
      <c r="L195" s="392"/>
      <c r="M195" s="392"/>
      <c r="N195" s="392"/>
      <c r="O195" s="392"/>
      <c r="P195" s="392"/>
      <c r="Q195" s="392"/>
      <c r="R195" s="392"/>
      <c r="S195" s="392"/>
      <c r="T195" s="392"/>
      <c r="U195" s="392"/>
      <c r="V195" s="392"/>
    </row>
    <row r="196" spans="10:22" ht="12">
      <c r="J196" s="392"/>
      <c r="K196" s="392"/>
      <c r="L196" s="392"/>
      <c r="M196" s="392"/>
      <c r="N196" s="392"/>
      <c r="O196" s="392"/>
      <c r="P196" s="392"/>
      <c r="Q196" s="392"/>
      <c r="R196" s="392"/>
      <c r="S196" s="392"/>
      <c r="T196" s="392"/>
      <c r="U196" s="392"/>
      <c r="V196" s="392"/>
    </row>
    <row r="197" spans="10:22" ht="12">
      <c r="J197" s="392"/>
      <c r="K197" s="392"/>
      <c r="L197" s="392"/>
      <c r="M197" s="392"/>
      <c r="N197" s="392"/>
      <c r="O197" s="392"/>
      <c r="P197" s="392"/>
      <c r="Q197" s="392"/>
      <c r="R197" s="392"/>
      <c r="S197" s="392"/>
      <c r="T197" s="392"/>
      <c r="U197" s="392"/>
      <c r="V197" s="392"/>
    </row>
    <row r="198" spans="10:22" ht="12">
      <c r="J198" s="392"/>
      <c r="K198" s="392"/>
      <c r="L198" s="392"/>
      <c r="M198" s="392"/>
      <c r="N198" s="392"/>
      <c r="O198" s="392"/>
      <c r="P198" s="392"/>
      <c r="Q198" s="392"/>
      <c r="R198" s="392"/>
      <c r="S198" s="392"/>
      <c r="T198" s="392"/>
      <c r="U198" s="392"/>
      <c r="V198" s="392"/>
    </row>
    <row r="199" spans="10:22" ht="12">
      <c r="J199" s="392"/>
      <c r="K199" s="392"/>
      <c r="L199" s="392"/>
      <c r="M199" s="392"/>
      <c r="N199" s="392"/>
      <c r="O199" s="392"/>
      <c r="P199" s="392"/>
      <c r="Q199" s="392"/>
      <c r="R199" s="392"/>
      <c r="S199" s="392"/>
      <c r="T199" s="392"/>
      <c r="U199" s="392"/>
      <c r="V199" s="392"/>
    </row>
    <row r="200" spans="10:22" ht="12">
      <c r="J200" s="392"/>
      <c r="K200" s="392"/>
      <c r="L200" s="392"/>
      <c r="M200" s="392"/>
      <c r="N200" s="392"/>
      <c r="O200" s="392"/>
      <c r="P200" s="392"/>
      <c r="Q200" s="392"/>
      <c r="R200" s="392"/>
      <c r="S200" s="392"/>
      <c r="T200" s="392"/>
      <c r="U200" s="392"/>
      <c r="V200" s="392"/>
    </row>
    <row r="201" spans="10:22" ht="12">
      <c r="J201" s="392"/>
      <c r="K201" s="392"/>
      <c r="L201" s="392"/>
      <c r="M201" s="392"/>
      <c r="N201" s="392"/>
      <c r="O201" s="392"/>
      <c r="P201" s="392"/>
      <c r="Q201" s="392"/>
      <c r="R201" s="392"/>
      <c r="S201" s="392"/>
      <c r="T201" s="392"/>
      <c r="U201" s="392"/>
      <c r="V201" s="392"/>
    </row>
    <row r="202" spans="10:22" ht="12">
      <c r="J202" s="392"/>
      <c r="K202" s="392"/>
      <c r="L202" s="392"/>
      <c r="M202" s="392"/>
      <c r="N202" s="392"/>
      <c r="O202" s="392"/>
      <c r="P202" s="392"/>
      <c r="Q202" s="392"/>
      <c r="R202" s="392"/>
      <c r="S202" s="392"/>
      <c r="T202" s="392"/>
      <c r="U202" s="392"/>
      <c r="V202" s="392"/>
    </row>
    <row r="203" spans="10:22" ht="12">
      <c r="J203" s="392"/>
      <c r="K203" s="392"/>
      <c r="L203" s="392"/>
      <c r="M203" s="392"/>
      <c r="N203" s="392"/>
      <c r="O203" s="392"/>
      <c r="P203" s="392"/>
      <c r="Q203" s="392"/>
      <c r="R203" s="392"/>
      <c r="S203" s="392"/>
      <c r="T203" s="392"/>
      <c r="U203" s="392"/>
      <c r="V203" s="392"/>
    </row>
    <row r="204" spans="10:22" ht="12">
      <c r="J204" s="392"/>
      <c r="K204" s="392"/>
      <c r="L204" s="392"/>
      <c r="M204" s="392"/>
      <c r="N204" s="392"/>
      <c r="O204" s="392"/>
      <c r="P204" s="392"/>
      <c r="Q204" s="392"/>
      <c r="R204" s="392"/>
      <c r="S204" s="392"/>
      <c r="T204" s="392"/>
      <c r="U204" s="392"/>
      <c r="V204" s="392"/>
    </row>
    <row r="205" spans="10:22" ht="12">
      <c r="J205" s="392"/>
      <c r="K205" s="392"/>
      <c r="L205" s="392"/>
      <c r="M205" s="392"/>
      <c r="N205" s="392"/>
      <c r="O205" s="392"/>
      <c r="P205" s="392"/>
      <c r="Q205" s="392"/>
      <c r="R205" s="392"/>
      <c r="S205" s="392"/>
      <c r="T205" s="392"/>
      <c r="U205" s="392"/>
      <c r="V205" s="392"/>
    </row>
    <row r="206" spans="10:22" ht="12">
      <c r="J206" s="392"/>
      <c r="K206" s="392"/>
      <c r="L206" s="392"/>
      <c r="M206" s="392"/>
      <c r="N206" s="392"/>
      <c r="O206" s="392"/>
      <c r="P206" s="392"/>
      <c r="Q206" s="392"/>
      <c r="R206" s="392"/>
      <c r="S206" s="392"/>
      <c r="T206" s="392"/>
      <c r="U206" s="392"/>
      <c r="V206" s="392"/>
    </row>
    <row r="207" spans="10:22" ht="12">
      <c r="J207" s="392"/>
      <c r="K207" s="392"/>
      <c r="L207" s="392"/>
      <c r="M207" s="392"/>
      <c r="N207" s="392"/>
      <c r="O207" s="392"/>
      <c r="P207" s="392"/>
      <c r="Q207" s="392"/>
      <c r="R207" s="392"/>
      <c r="S207" s="392"/>
      <c r="T207" s="392"/>
      <c r="U207" s="392"/>
      <c r="V207" s="392"/>
    </row>
    <row r="208" spans="10:22" ht="12">
      <c r="J208" s="392"/>
      <c r="K208" s="392"/>
      <c r="L208" s="392"/>
      <c r="M208" s="392"/>
      <c r="N208" s="392"/>
      <c r="O208" s="392"/>
      <c r="P208" s="392"/>
      <c r="Q208" s="392"/>
      <c r="R208" s="392"/>
      <c r="S208" s="392"/>
      <c r="T208" s="392"/>
      <c r="U208" s="392"/>
      <c r="V208" s="392"/>
    </row>
    <row r="209" spans="10:22" ht="12">
      <c r="J209" s="392"/>
      <c r="K209" s="392"/>
      <c r="L209" s="392"/>
      <c r="M209" s="392"/>
      <c r="N209" s="392"/>
      <c r="O209" s="392"/>
      <c r="P209" s="392"/>
      <c r="Q209" s="392"/>
      <c r="R209" s="392"/>
      <c r="S209" s="392"/>
      <c r="T209" s="392"/>
      <c r="U209" s="392"/>
      <c r="V209" s="392"/>
    </row>
    <row r="210" spans="10:22" ht="12">
      <c r="J210" s="392"/>
      <c r="K210" s="392"/>
      <c r="L210" s="392"/>
      <c r="M210" s="392"/>
      <c r="N210" s="392"/>
      <c r="O210" s="392"/>
      <c r="P210" s="392"/>
      <c r="Q210" s="392"/>
      <c r="R210" s="392"/>
      <c r="S210" s="392"/>
      <c r="T210" s="392"/>
      <c r="U210" s="392"/>
      <c r="V210" s="392"/>
    </row>
    <row r="211" spans="10:22" ht="12">
      <c r="J211" s="392"/>
      <c r="K211" s="392"/>
      <c r="L211" s="392"/>
      <c r="M211" s="392"/>
      <c r="N211" s="392"/>
      <c r="O211" s="392"/>
      <c r="P211" s="392"/>
      <c r="Q211" s="392"/>
      <c r="R211" s="392"/>
      <c r="S211" s="392"/>
      <c r="T211" s="392"/>
      <c r="U211" s="392"/>
      <c r="V211" s="392"/>
    </row>
    <row r="212" spans="10:22" ht="12">
      <c r="J212" s="392"/>
      <c r="K212" s="392"/>
      <c r="L212" s="392"/>
      <c r="M212" s="392"/>
      <c r="N212" s="392"/>
      <c r="O212" s="392"/>
      <c r="P212" s="392"/>
      <c r="Q212" s="392"/>
      <c r="R212" s="392"/>
      <c r="S212" s="392"/>
      <c r="T212" s="392"/>
      <c r="U212" s="392"/>
      <c r="V212" s="392"/>
    </row>
    <row r="213" spans="10:22" ht="12">
      <c r="J213" s="392"/>
      <c r="K213" s="392"/>
      <c r="L213" s="392"/>
      <c r="M213" s="392"/>
      <c r="N213" s="392"/>
      <c r="O213" s="392"/>
      <c r="P213" s="392"/>
      <c r="Q213" s="392"/>
      <c r="R213" s="392"/>
      <c r="S213" s="392"/>
      <c r="T213" s="392"/>
      <c r="U213" s="392"/>
      <c r="V213" s="392"/>
    </row>
    <row r="214" spans="10:22" ht="12">
      <c r="J214" s="392"/>
      <c r="K214" s="392"/>
      <c r="L214" s="392"/>
      <c r="M214" s="392"/>
      <c r="N214" s="392"/>
      <c r="O214" s="392"/>
      <c r="P214" s="392"/>
      <c r="Q214" s="392"/>
      <c r="R214" s="392"/>
      <c r="S214" s="392"/>
      <c r="T214" s="392"/>
      <c r="U214" s="392"/>
      <c r="V214" s="392"/>
    </row>
    <row r="215" spans="10:22" ht="12">
      <c r="J215" s="392"/>
      <c r="K215" s="392"/>
      <c r="L215" s="392"/>
      <c r="M215" s="392"/>
      <c r="N215" s="392"/>
      <c r="O215" s="392"/>
      <c r="P215" s="392"/>
      <c r="Q215" s="392"/>
      <c r="R215" s="392"/>
      <c r="S215" s="392"/>
      <c r="T215" s="392"/>
      <c r="U215" s="392"/>
      <c r="V215" s="392"/>
    </row>
    <row r="216" spans="10:22" ht="12">
      <c r="J216" s="392"/>
      <c r="K216" s="392"/>
      <c r="L216" s="392"/>
      <c r="M216" s="392"/>
      <c r="N216" s="392"/>
      <c r="O216" s="392"/>
      <c r="P216" s="392"/>
      <c r="Q216" s="392"/>
      <c r="R216" s="392"/>
      <c r="S216" s="392"/>
      <c r="T216" s="392"/>
      <c r="U216" s="392"/>
      <c r="V216" s="392"/>
    </row>
    <row r="217" spans="10:22" ht="12">
      <c r="J217" s="392"/>
      <c r="K217" s="392"/>
      <c r="L217" s="392"/>
      <c r="M217" s="392"/>
      <c r="N217" s="392"/>
      <c r="O217" s="392"/>
      <c r="P217" s="392"/>
      <c r="Q217" s="392"/>
      <c r="R217" s="392"/>
      <c r="S217" s="392"/>
      <c r="T217" s="392"/>
      <c r="U217" s="392"/>
      <c r="V217" s="392"/>
    </row>
    <row r="218" spans="10:22" ht="12">
      <c r="J218" s="392"/>
      <c r="K218" s="392"/>
      <c r="L218" s="392"/>
      <c r="M218" s="392"/>
      <c r="N218" s="392"/>
      <c r="O218" s="392"/>
      <c r="P218" s="392"/>
      <c r="Q218" s="392"/>
      <c r="R218" s="392"/>
      <c r="S218" s="392"/>
      <c r="T218" s="392"/>
      <c r="U218" s="392"/>
      <c r="V218" s="392"/>
    </row>
    <row r="219" spans="10:22" ht="12">
      <c r="J219" s="392"/>
      <c r="K219" s="392"/>
      <c r="L219" s="392"/>
      <c r="M219" s="392"/>
      <c r="N219" s="392"/>
      <c r="O219" s="392"/>
      <c r="P219" s="392"/>
      <c r="Q219" s="392"/>
      <c r="R219" s="392"/>
      <c r="S219" s="392"/>
      <c r="T219" s="392"/>
      <c r="U219" s="392"/>
      <c r="V219" s="392"/>
    </row>
    <row r="220" spans="10:22" ht="12">
      <c r="J220" s="392"/>
      <c r="K220" s="392"/>
      <c r="L220" s="392"/>
      <c r="M220" s="392"/>
      <c r="N220" s="392"/>
      <c r="O220" s="392"/>
      <c r="P220" s="392"/>
      <c r="Q220" s="392"/>
      <c r="R220" s="392"/>
      <c r="S220" s="392"/>
      <c r="T220" s="392"/>
      <c r="U220" s="392"/>
      <c r="V220" s="392"/>
    </row>
    <row r="221" spans="10:22" ht="12">
      <c r="J221" s="392"/>
      <c r="K221" s="392"/>
      <c r="L221" s="392"/>
      <c r="M221" s="392"/>
      <c r="N221" s="392"/>
      <c r="O221" s="392"/>
      <c r="P221" s="392"/>
      <c r="Q221" s="392"/>
      <c r="R221" s="392"/>
      <c r="S221" s="392"/>
      <c r="T221" s="392"/>
      <c r="U221" s="392"/>
      <c r="V221" s="392"/>
    </row>
    <row r="222" spans="10:22" ht="12">
      <c r="J222" s="392"/>
      <c r="K222" s="392"/>
      <c r="L222" s="392"/>
      <c r="M222" s="392"/>
      <c r="N222" s="392"/>
      <c r="O222" s="392"/>
      <c r="P222" s="392"/>
      <c r="Q222" s="392"/>
      <c r="R222" s="392"/>
      <c r="S222" s="392"/>
      <c r="T222" s="392"/>
      <c r="U222" s="392"/>
      <c r="V222" s="392"/>
    </row>
    <row r="223" spans="10:22" ht="12">
      <c r="J223" s="392"/>
      <c r="K223" s="392"/>
      <c r="L223" s="392"/>
      <c r="M223" s="392"/>
      <c r="N223" s="392"/>
      <c r="O223" s="392"/>
      <c r="P223" s="392"/>
      <c r="Q223" s="392"/>
      <c r="R223" s="392"/>
      <c r="S223" s="392"/>
      <c r="T223" s="392"/>
      <c r="U223" s="392"/>
      <c r="V223" s="392"/>
    </row>
    <row r="224" spans="10:22" ht="12">
      <c r="J224" s="392"/>
      <c r="K224" s="392"/>
      <c r="L224" s="392"/>
      <c r="M224" s="392"/>
      <c r="N224" s="392"/>
      <c r="O224" s="392"/>
      <c r="P224" s="392"/>
      <c r="Q224" s="392"/>
      <c r="R224" s="392"/>
      <c r="S224" s="392"/>
      <c r="T224" s="392"/>
      <c r="U224" s="392"/>
      <c r="V224" s="392"/>
    </row>
    <row r="225" spans="10:22" ht="12">
      <c r="J225" s="392"/>
      <c r="K225" s="392"/>
      <c r="L225" s="392"/>
      <c r="M225" s="392"/>
      <c r="N225" s="392"/>
      <c r="O225" s="392"/>
      <c r="P225" s="392"/>
      <c r="Q225" s="392"/>
      <c r="R225" s="392"/>
      <c r="S225" s="392"/>
      <c r="T225" s="392"/>
      <c r="U225" s="392"/>
      <c r="V225" s="392"/>
    </row>
    <row r="226" spans="10:22" ht="12">
      <c r="J226" s="392"/>
      <c r="K226" s="392"/>
      <c r="L226" s="392"/>
      <c r="M226" s="392"/>
      <c r="N226" s="392"/>
      <c r="O226" s="392"/>
      <c r="P226" s="392"/>
      <c r="Q226" s="392"/>
      <c r="R226" s="392"/>
      <c r="S226" s="392"/>
      <c r="T226" s="392"/>
      <c r="U226" s="392"/>
      <c r="V226" s="392"/>
    </row>
    <row r="227" spans="10:22" ht="12">
      <c r="J227" s="392"/>
      <c r="K227" s="392"/>
      <c r="L227" s="392"/>
      <c r="M227" s="392"/>
      <c r="N227" s="392"/>
      <c r="O227" s="392"/>
      <c r="P227" s="392"/>
      <c r="Q227" s="392"/>
      <c r="R227" s="392"/>
      <c r="S227" s="392"/>
      <c r="T227" s="392"/>
      <c r="U227" s="392"/>
      <c r="V227" s="392"/>
    </row>
    <row r="228" spans="10:22" ht="12">
      <c r="J228" s="392"/>
      <c r="K228" s="392"/>
      <c r="L228" s="392"/>
      <c r="M228" s="392"/>
      <c r="N228" s="392"/>
      <c r="O228" s="392"/>
      <c r="P228" s="392"/>
      <c r="Q228" s="392"/>
      <c r="R228" s="392"/>
      <c r="S228" s="392"/>
      <c r="T228" s="392"/>
      <c r="U228" s="392"/>
      <c r="V228" s="392"/>
    </row>
    <row r="229" spans="10:22" ht="12">
      <c r="J229" s="392"/>
      <c r="K229" s="392"/>
      <c r="L229" s="392"/>
      <c r="M229" s="392"/>
      <c r="N229" s="392"/>
      <c r="O229" s="392"/>
      <c r="P229" s="392"/>
      <c r="Q229" s="392"/>
      <c r="R229" s="392"/>
      <c r="S229" s="392"/>
      <c r="T229" s="392"/>
      <c r="U229" s="392"/>
      <c r="V229" s="392"/>
    </row>
    <row r="230" spans="10:22" ht="12">
      <c r="J230" s="392"/>
      <c r="K230" s="392"/>
      <c r="L230" s="392"/>
      <c r="M230" s="392"/>
      <c r="N230" s="392"/>
      <c r="O230" s="392"/>
      <c r="P230" s="392"/>
      <c r="Q230" s="392"/>
      <c r="R230" s="392"/>
      <c r="S230" s="392"/>
      <c r="T230" s="392"/>
      <c r="U230" s="392"/>
      <c r="V230" s="392"/>
    </row>
    <row r="231" spans="10:22" ht="12">
      <c r="J231" s="392"/>
      <c r="K231" s="392"/>
      <c r="L231" s="392"/>
      <c r="M231" s="392"/>
      <c r="N231" s="392"/>
      <c r="O231" s="392"/>
      <c r="P231" s="392"/>
      <c r="Q231" s="392"/>
      <c r="R231" s="392"/>
      <c r="S231" s="392"/>
      <c r="T231" s="392"/>
      <c r="U231" s="392"/>
      <c r="V231" s="392"/>
    </row>
    <row r="232" spans="10:22" ht="12">
      <c r="J232" s="392"/>
      <c r="K232" s="392"/>
      <c r="L232" s="392"/>
      <c r="M232" s="392"/>
      <c r="N232" s="392"/>
      <c r="O232" s="392"/>
      <c r="P232" s="392"/>
      <c r="Q232" s="392"/>
      <c r="R232" s="392"/>
      <c r="S232" s="392"/>
      <c r="T232" s="392"/>
      <c r="U232" s="392"/>
      <c r="V232" s="392"/>
    </row>
    <row r="233" spans="10:22" ht="12">
      <c r="J233" s="392"/>
      <c r="K233" s="392"/>
      <c r="L233" s="392"/>
      <c r="M233" s="392"/>
      <c r="N233" s="392"/>
      <c r="O233" s="392"/>
      <c r="P233" s="392"/>
      <c r="Q233" s="392"/>
      <c r="R233" s="392"/>
      <c r="S233" s="392"/>
      <c r="T233" s="392"/>
      <c r="U233" s="392"/>
      <c r="V233" s="392"/>
    </row>
    <row r="234" spans="10:22" ht="12">
      <c r="J234" s="392"/>
      <c r="K234" s="392"/>
      <c r="L234" s="392"/>
      <c r="M234" s="392"/>
      <c r="N234" s="392"/>
      <c r="O234" s="392"/>
      <c r="P234" s="392"/>
      <c r="Q234" s="392"/>
      <c r="R234" s="392"/>
      <c r="S234" s="392"/>
      <c r="T234" s="392"/>
      <c r="U234" s="392"/>
      <c r="V234" s="392"/>
    </row>
    <row r="235" spans="10:22" ht="12">
      <c r="J235" s="392"/>
      <c r="K235" s="392"/>
      <c r="L235" s="392"/>
      <c r="M235" s="392"/>
      <c r="N235" s="392"/>
      <c r="O235" s="392"/>
      <c r="P235" s="392"/>
      <c r="Q235" s="392"/>
      <c r="R235" s="392"/>
      <c r="S235" s="392"/>
      <c r="T235" s="392"/>
      <c r="U235" s="392"/>
      <c r="V235" s="392"/>
    </row>
    <row r="236" spans="10:22" ht="12">
      <c r="J236" s="392"/>
      <c r="K236" s="392"/>
      <c r="L236" s="392"/>
      <c r="M236" s="392"/>
      <c r="N236" s="392"/>
      <c r="O236" s="392"/>
      <c r="P236" s="392"/>
      <c r="Q236" s="392"/>
      <c r="R236" s="392"/>
      <c r="S236" s="392"/>
      <c r="T236" s="392"/>
      <c r="U236" s="392"/>
      <c r="V236" s="392"/>
    </row>
    <row r="237" spans="10:22" ht="12">
      <c r="J237" s="392"/>
      <c r="K237" s="392"/>
      <c r="L237" s="392"/>
      <c r="M237" s="392"/>
      <c r="N237" s="392"/>
      <c r="O237" s="392"/>
      <c r="P237" s="392"/>
      <c r="Q237" s="392"/>
      <c r="R237" s="392"/>
      <c r="S237" s="392"/>
      <c r="T237" s="392"/>
      <c r="U237" s="392"/>
      <c r="V237" s="392"/>
    </row>
    <row r="238" spans="10:22" ht="12">
      <c r="J238" s="392"/>
      <c r="K238" s="392"/>
      <c r="L238" s="392"/>
      <c r="M238" s="392"/>
      <c r="N238" s="392"/>
      <c r="O238" s="392"/>
      <c r="P238" s="392"/>
      <c r="Q238" s="392"/>
      <c r="R238" s="392"/>
      <c r="S238" s="392"/>
      <c r="T238" s="392"/>
      <c r="U238" s="392"/>
      <c r="V238" s="392"/>
    </row>
    <row r="239" spans="10:22" ht="12">
      <c r="J239" s="392"/>
      <c r="K239" s="392"/>
      <c r="L239" s="392"/>
      <c r="M239" s="392"/>
      <c r="N239" s="392"/>
      <c r="O239" s="392"/>
      <c r="P239" s="392"/>
      <c r="Q239" s="392"/>
      <c r="R239" s="392"/>
      <c r="S239" s="392"/>
      <c r="T239" s="392"/>
      <c r="U239" s="392"/>
      <c r="V239" s="392"/>
    </row>
    <row r="240" spans="10:22" ht="12">
      <c r="J240" s="392"/>
      <c r="K240" s="392"/>
      <c r="L240" s="392"/>
      <c r="M240" s="392"/>
      <c r="N240" s="392"/>
      <c r="O240" s="392"/>
      <c r="P240" s="392"/>
      <c r="Q240" s="392"/>
      <c r="R240" s="392"/>
      <c r="S240" s="392"/>
      <c r="T240" s="392"/>
      <c r="U240" s="392"/>
      <c r="V240" s="392"/>
    </row>
    <row r="241" spans="10:22" ht="12">
      <c r="J241" s="392"/>
      <c r="K241" s="392"/>
      <c r="L241" s="392"/>
      <c r="M241" s="392"/>
      <c r="N241" s="392"/>
      <c r="O241" s="392"/>
      <c r="P241" s="392"/>
      <c r="Q241" s="392"/>
      <c r="R241" s="392"/>
      <c r="S241" s="392"/>
      <c r="T241" s="392"/>
      <c r="U241" s="392"/>
      <c r="V241" s="392"/>
    </row>
    <row r="242" spans="10:22" ht="12">
      <c r="J242" s="392"/>
      <c r="K242" s="392"/>
      <c r="L242" s="392"/>
      <c r="M242" s="392"/>
      <c r="N242" s="392"/>
      <c r="O242" s="392"/>
      <c r="P242" s="392"/>
      <c r="Q242" s="392"/>
      <c r="R242" s="392"/>
      <c r="S242" s="392"/>
      <c r="T242" s="392"/>
      <c r="U242" s="392"/>
      <c r="V242" s="392"/>
    </row>
    <row r="243" spans="10:22" ht="12">
      <c r="J243" s="392"/>
      <c r="K243" s="392"/>
      <c r="L243" s="392"/>
      <c r="M243" s="392"/>
      <c r="N243" s="392"/>
      <c r="O243" s="392"/>
      <c r="P243" s="392"/>
      <c r="Q243" s="392"/>
      <c r="R243" s="392"/>
      <c r="S243" s="392"/>
      <c r="T243" s="392"/>
      <c r="U243" s="392"/>
      <c r="V243" s="392"/>
    </row>
    <row r="244" spans="10:22" ht="12">
      <c r="J244" s="392"/>
      <c r="K244" s="392"/>
      <c r="L244" s="392"/>
      <c r="M244" s="392"/>
      <c r="N244" s="392"/>
      <c r="O244" s="392"/>
      <c r="P244" s="392"/>
      <c r="Q244" s="392"/>
      <c r="R244" s="392"/>
      <c r="S244" s="392"/>
      <c r="T244" s="392"/>
      <c r="U244" s="392"/>
      <c r="V244" s="392"/>
    </row>
    <row r="245" spans="10:22" ht="12">
      <c r="J245" s="392"/>
      <c r="K245" s="392"/>
      <c r="L245" s="392"/>
      <c r="M245" s="392"/>
      <c r="N245" s="392"/>
      <c r="O245" s="392"/>
      <c r="P245" s="392"/>
      <c r="Q245" s="392"/>
      <c r="R245" s="392"/>
      <c r="S245" s="392"/>
      <c r="T245" s="392"/>
      <c r="U245" s="392"/>
      <c r="V245" s="392"/>
    </row>
    <row r="246" spans="10:22" ht="12">
      <c r="J246" s="392"/>
      <c r="K246" s="392"/>
      <c r="L246" s="392"/>
      <c r="M246" s="392"/>
      <c r="N246" s="392"/>
      <c r="O246" s="392"/>
      <c r="P246" s="392"/>
      <c r="Q246" s="392"/>
      <c r="R246" s="392"/>
      <c r="S246" s="392"/>
      <c r="T246" s="392"/>
      <c r="U246" s="392"/>
      <c r="V246" s="392"/>
    </row>
    <row r="247" spans="10:22" ht="12">
      <c r="J247" s="392"/>
      <c r="K247" s="392"/>
      <c r="L247" s="392"/>
      <c r="M247" s="392"/>
      <c r="N247" s="392"/>
      <c r="O247" s="392"/>
      <c r="P247" s="392"/>
      <c r="Q247" s="392"/>
      <c r="R247" s="392"/>
      <c r="S247" s="392"/>
      <c r="T247" s="392"/>
      <c r="U247" s="392"/>
      <c r="V247" s="392"/>
    </row>
    <row r="248" spans="10:22" ht="12">
      <c r="J248" s="392"/>
      <c r="K248" s="392"/>
      <c r="L248" s="392"/>
      <c r="M248" s="392"/>
      <c r="N248" s="392"/>
      <c r="O248" s="392"/>
      <c r="P248" s="392"/>
      <c r="Q248" s="392"/>
      <c r="R248" s="392"/>
      <c r="S248" s="392"/>
      <c r="T248" s="392"/>
      <c r="U248" s="392"/>
      <c r="V248" s="392"/>
    </row>
    <row r="249" spans="10:22" ht="12">
      <c r="J249" s="392"/>
      <c r="K249" s="392"/>
      <c r="L249" s="392"/>
      <c r="M249" s="392"/>
      <c r="N249" s="392"/>
      <c r="O249" s="392"/>
      <c r="P249" s="392"/>
      <c r="Q249" s="392"/>
      <c r="R249" s="392"/>
      <c r="S249" s="392"/>
      <c r="T249" s="392"/>
      <c r="U249" s="392"/>
      <c r="V249" s="392"/>
    </row>
    <row r="250" spans="10:22" ht="12">
      <c r="J250" s="392"/>
      <c r="K250" s="392"/>
      <c r="L250" s="392"/>
      <c r="M250" s="392"/>
      <c r="N250" s="392"/>
      <c r="O250" s="392"/>
      <c r="P250" s="392"/>
      <c r="Q250" s="392"/>
      <c r="R250" s="392"/>
      <c r="S250" s="392"/>
      <c r="T250" s="392"/>
      <c r="U250" s="392"/>
      <c r="V250" s="392"/>
    </row>
    <row r="251" spans="10:22" ht="12">
      <c r="J251" s="392"/>
      <c r="K251" s="392"/>
      <c r="L251" s="392"/>
      <c r="M251" s="392"/>
      <c r="N251" s="392"/>
      <c r="O251" s="392"/>
      <c r="P251" s="392"/>
      <c r="Q251" s="392"/>
      <c r="R251" s="392"/>
      <c r="S251" s="392"/>
      <c r="T251" s="392"/>
      <c r="U251" s="392"/>
      <c r="V251" s="392"/>
    </row>
    <row r="252" spans="10:22" ht="12">
      <c r="J252" s="392"/>
      <c r="K252" s="392"/>
      <c r="L252" s="392"/>
      <c r="M252" s="392"/>
      <c r="N252" s="392"/>
      <c r="O252" s="392"/>
      <c r="P252" s="392"/>
      <c r="Q252" s="392"/>
      <c r="R252" s="392"/>
      <c r="S252" s="392"/>
      <c r="T252" s="392"/>
      <c r="U252" s="392"/>
      <c r="V252" s="392"/>
    </row>
    <row r="253" spans="10:22" ht="12">
      <c r="J253" s="392"/>
      <c r="K253" s="392"/>
      <c r="L253" s="392"/>
      <c r="M253" s="392"/>
      <c r="N253" s="392"/>
      <c r="O253" s="392"/>
      <c r="P253" s="392"/>
      <c r="Q253" s="392"/>
      <c r="R253" s="392"/>
      <c r="S253" s="392"/>
      <c r="T253" s="392"/>
      <c r="U253" s="392"/>
      <c r="V253" s="392"/>
    </row>
    <row r="254" spans="10:22" ht="12">
      <c r="J254" s="392"/>
      <c r="K254" s="392"/>
      <c r="L254" s="392"/>
      <c r="M254" s="392"/>
      <c r="N254" s="392"/>
      <c r="O254" s="392"/>
      <c r="P254" s="392"/>
      <c r="Q254" s="392"/>
      <c r="R254" s="392"/>
      <c r="S254" s="392"/>
      <c r="T254" s="392"/>
      <c r="U254" s="392"/>
      <c r="V254" s="392"/>
    </row>
    <row r="255" spans="10:22" ht="12">
      <c r="J255" s="392"/>
      <c r="K255" s="392"/>
      <c r="L255" s="392"/>
      <c r="M255" s="392"/>
      <c r="N255" s="392"/>
      <c r="O255" s="392"/>
      <c r="P255" s="392"/>
      <c r="Q255" s="392"/>
      <c r="R255" s="392"/>
      <c r="S255" s="392"/>
      <c r="T255" s="392"/>
      <c r="U255" s="392"/>
      <c r="V255" s="392"/>
    </row>
    <row r="256" spans="10:22" ht="12">
      <c r="J256" s="392"/>
      <c r="K256" s="392"/>
      <c r="L256" s="392"/>
      <c r="M256" s="392"/>
      <c r="N256" s="392"/>
      <c r="O256" s="392"/>
      <c r="P256" s="392"/>
      <c r="Q256" s="392"/>
      <c r="R256" s="392"/>
      <c r="S256" s="392"/>
      <c r="T256" s="392"/>
      <c r="U256" s="392"/>
      <c r="V256" s="392"/>
    </row>
    <row r="257" spans="10:22" ht="12">
      <c r="J257" s="392"/>
      <c r="K257" s="392"/>
      <c r="L257" s="392"/>
      <c r="M257" s="392"/>
      <c r="N257" s="392"/>
      <c r="O257" s="392"/>
      <c r="P257" s="392"/>
      <c r="Q257" s="392"/>
      <c r="R257" s="392"/>
      <c r="S257" s="392"/>
      <c r="T257" s="392"/>
      <c r="U257" s="392"/>
      <c r="V257" s="392"/>
    </row>
    <row r="258" spans="10:22" ht="12">
      <c r="J258" s="392"/>
      <c r="K258" s="392"/>
      <c r="L258" s="392"/>
      <c r="M258" s="392"/>
      <c r="N258" s="392"/>
      <c r="O258" s="392"/>
      <c r="P258" s="392"/>
      <c r="Q258" s="392"/>
      <c r="R258" s="392"/>
      <c r="S258" s="392"/>
      <c r="T258" s="392"/>
      <c r="U258" s="392"/>
      <c r="V258" s="392"/>
    </row>
    <row r="259" spans="10:22" ht="12">
      <c r="J259" s="392"/>
      <c r="K259" s="392"/>
      <c r="L259" s="392"/>
      <c r="M259" s="392"/>
      <c r="N259" s="392"/>
      <c r="O259" s="392"/>
      <c r="P259" s="392"/>
      <c r="Q259" s="392"/>
      <c r="R259" s="392"/>
      <c r="S259" s="392"/>
      <c r="T259" s="392"/>
      <c r="U259" s="392"/>
      <c r="V259" s="392"/>
    </row>
    <row r="260" spans="10:22" ht="12">
      <c r="J260" s="392"/>
      <c r="K260" s="392"/>
      <c r="L260" s="392"/>
      <c r="M260" s="392"/>
      <c r="N260" s="392"/>
      <c r="O260" s="392"/>
      <c r="P260" s="392"/>
      <c r="Q260" s="392"/>
      <c r="R260" s="392"/>
      <c r="S260" s="392"/>
      <c r="T260" s="392"/>
      <c r="U260" s="392"/>
      <c r="V260" s="392"/>
    </row>
    <row r="261" spans="10:22" ht="12">
      <c r="J261" s="392"/>
      <c r="K261" s="392"/>
      <c r="L261" s="392"/>
      <c r="M261" s="392"/>
      <c r="N261" s="392"/>
      <c r="O261" s="392"/>
      <c r="P261" s="392"/>
      <c r="Q261" s="392"/>
      <c r="R261" s="392"/>
      <c r="S261" s="392"/>
      <c r="T261" s="392"/>
      <c r="U261" s="392"/>
      <c r="V261" s="392"/>
    </row>
    <row r="262" spans="10:22" ht="12">
      <c r="J262" s="392"/>
      <c r="K262" s="392"/>
      <c r="L262" s="392"/>
      <c r="M262" s="392"/>
      <c r="N262" s="392"/>
      <c r="O262" s="392"/>
      <c r="P262" s="392"/>
      <c r="Q262" s="392"/>
      <c r="R262" s="392"/>
      <c r="S262" s="392"/>
      <c r="T262" s="392"/>
      <c r="U262" s="392"/>
      <c r="V262" s="392"/>
    </row>
    <row r="263" spans="10:22" ht="12">
      <c r="J263" s="392"/>
      <c r="K263" s="392"/>
      <c r="L263" s="392"/>
      <c r="M263" s="392"/>
      <c r="N263" s="392"/>
      <c r="O263" s="392"/>
      <c r="P263" s="392"/>
      <c r="Q263" s="392"/>
      <c r="R263" s="392"/>
      <c r="S263" s="392"/>
      <c r="T263" s="392"/>
      <c r="U263" s="392"/>
      <c r="V263" s="392"/>
    </row>
    <row r="264" spans="10:22" ht="12">
      <c r="J264" s="392"/>
      <c r="K264" s="392"/>
      <c r="L264" s="392"/>
      <c r="M264" s="392"/>
      <c r="N264" s="392"/>
      <c r="O264" s="392"/>
      <c r="P264" s="392"/>
      <c r="Q264" s="392"/>
      <c r="R264" s="392"/>
      <c r="S264" s="392"/>
      <c r="T264" s="392"/>
      <c r="U264" s="392"/>
      <c r="V264" s="392"/>
    </row>
    <row r="265" spans="10:22" ht="12">
      <c r="J265" s="392"/>
      <c r="K265" s="392"/>
      <c r="L265" s="392"/>
      <c r="M265" s="392"/>
      <c r="N265" s="392"/>
      <c r="O265" s="392"/>
      <c r="P265" s="392"/>
      <c r="Q265" s="392"/>
      <c r="R265" s="392"/>
      <c r="S265" s="392"/>
      <c r="T265" s="392"/>
      <c r="U265" s="392"/>
      <c r="V265" s="392"/>
    </row>
    <row r="266" spans="10:22" ht="12">
      <c r="J266" s="392"/>
      <c r="K266" s="392"/>
      <c r="L266" s="392"/>
      <c r="M266" s="392"/>
      <c r="N266" s="392"/>
      <c r="O266" s="392"/>
      <c r="P266" s="392"/>
      <c r="Q266" s="392"/>
      <c r="R266" s="392"/>
      <c r="S266" s="392"/>
      <c r="T266" s="392"/>
      <c r="U266" s="392"/>
      <c r="V266" s="392"/>
    </row>
    <row r="267" spans="10:22" ht="12">
      <c r="J267" s="392"/>
      <c r="K267" s="392"/>
      <c r="L267" s="392"/>
      <c r="M267" s="392"/>
      <c r="N267" s="392"/>
      <c r="O267" s="392"/>
      <c r="P267" s="392"/>
      <c r="Q267" s="392"/>
      <c r="R267" s="392"/>
      <c r="S267" s="392"/>
      <c r="T267" s="392"/>
      <c r="U267" s="392"/>
      <c r="V267" s="392"/>
    </row>
    <row r="268" spans="10:22" ht="12">
      <c r="J268" s="392"/>
      <c r="K268" s="392"/>
      <c r="L268" s="392"/>
      <c r="M268" s="392"/>
      <c r="N268" s="392"/>
      <c r="O268" s="392"/>
      <c r="P268" s="392"/>
      <c r="Q268" s="392"/>
      <c r="R268" s="392"/>
      <c r="S268" s="392"/>
      <c r="T268" s="392"/>
      <c r="U268" s="392"/>
      <c r="V268" s="392"/>
    </row>
    <row r="269" spans="10:22" ht="12">
      <c r="J269" s="392"/>
      <c r="K269" s="392"/>
      <c r="L269" s="392"/>
      <c r="M269" s="392"/>
      <c r="N269" s="392"/>
      <c r="O269" s="392"/>
      <c r="P269" s="392"/>
      <c r="Q269" s="392"/>
      <c r="R269" s="392"/>
      <c r="S269" s="392"/>
      <c r="T269" s="392"/>
      <c r="U269" s="392"/>
      <c r="V269" s="392"/>
    </row>
    <row r="270" spans="10:22" ht="12">
      <c r="J270" s="392"/>
      <c r="K270" s="392"/>
      <c r="L270" s="392"/>
      <c r="M270" s="392"/>
      <c r="N270" s="392"/>
      <c r="O270" s="392"/>
      <c r="P270" s="392"/>
      <c r="Q270" s="392"/>
      <c r="R270" s="392"/>
      <c r="S270" s="392"/>
      <c r="T270" s="392"/>
      <c r="U270" s="392"/>
      <c r="V270" s="392"/>
    </row>
    <row r="271" spans="10:22" ht="12">
      <c r="J271" s="392"/>
      <c r="K271" s="392"/>
      <c r="L271" s="392"/>
      <c r="M271" s="392"/>
      <c r="N271" s="392"/>
      <c r="O271" s="392"/>
      <c r="P271" s="392"/>
      <c r="Q271" s="392"/>
      <c r="R271" s="392"/>
      <c r="S271" s="392"/>
      <c r="T271" s="392"/>
      <c r="U271" s="392"/>
      <c r="V271" s="392"/>
    </row>
  </sheetData>
  <sheetProtection sheet="1" formatCells="0" formatColumns="0" formatRows="0"/>
  <mergeCells count="19">
    <mergeCell ref="G3:I3"/>
    <mergeCell ref="B3:D3"/>
    <mergeCell ref="D4:I4"/>
    <mergeCell ref="E6:G6"/>
    <mergeCell ref="F5:H5"/>
    <mergeCell ref="I5:I7"/>
    <mergeCell ref="B5:C5"/>
    <mergeCell ref="K5:K7"/>
    <mergeCell ref="A27:I27"/>
    <mergeCell ref="C20:C21"/>
    <mergeCell ref="D5:E5"/>
    <mergeCell ref="A17:B19"/>
    <mergeCell ref="A22:B22"/>
    <mergeCell ref="A23:B23"/>
    <mergeCell ref="A24:B24"/>
    <mergeCell ref="A11:A12"/>
    <mergeCell ref="A14:B16"/>
    <mergeCell ref="E7:G7"/>
    <mergeCell ref="E15:I24"/>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5"/>
  <sheetViews>
    <sheetView showGridLines="0" zoomScale="130" zoomScaleNormal="130" workbookViewId="0">
      <selection activeCell="O36" sqref="O36"/>
    </sheetView>
  </sheetViews>
  <sheetFormatPr defaultColWidth="5.88671875" defaultRowHeight="11.25"/>
  <cols>
    <col min="1" max="1" width="1.88671875" style="785" customWidth="1"/>
    <col min="2" max="2" width="14.109375" style="785" customWidth="1"/>
    <col min="3" max="3" width="10.5546875" style="785" customWidth="1"/>
    <col min="4" max="4" width="10.88671875" style="785" customWidth="1"/>
    <col min="5" max="5" width="13" style="785" customWidth="1"/>
    <col min="6" max="6" width="13.109375" style="785" customWidth="1"/>
    <col min="7" max="7" width="6" style="785" customWidth="1"/>
    <col min="8" max="8" width="5.109375" style="785" customWidth="1"/>
    <col min="9" max="9" width="4.88671875" style="785" customWidth="1"/>
    <col min="10" max="10" width="4" style="785" customWidth="1"/>
    <col min="11" max="11" width="5.88671875" style="785" customWidth="1"/>
    <col min="12" max="12" width="25.5546875" style="785" customWidth="1"/>
    <col min="13" max="13" width="8" style="785" customWidth="1"/>
    <col min="14" max="14" width="8.44140625" style="785" customWidth="1"/>
    <col min="15" max="18" width="5.88671875" style="785" customWidth="1"/>
    <col min="19" max="16384" width="5.88671875" style="785"/>
  </cols>
  <sheetData>
    <row r="1" spans="1:21" ht="12.75" customHeight="1">
      <c r="A1" s="1755"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55"/>
      <c r="C1" s="1755"/>
      <c r="D1" s="1755"/>
      <c r="E1" s="1755"/>
      <c r="F1" s="1755"/>
      <c r="G1" s="784"/>
      <c r="H1" s="1309" t="s">
        <v>912</v>
      </c>
      <c r="I1" s="1753" t="str">
        <f>Cover!S1</f>
        <v>130201000</v>
      </c>
      <c r="J1" s="1754"/>
      <c r="K1" s="707"/>
      <c r="L1" s="1751" t="s">
        <v>1004</v>
      </c>
      <c r="M1" s="1751"/>
      <c r="N1" s="1751"/>
      <c r="O1" s="707"/>
      <c r="P1" s="707"/>
      <c r="Q1" s="707"/>
      <c r="R1" s="707"/>
      <c r="S1" s="707"/>
      <c r="T1" s="707"/>
      <c r="U1" s="707"/>
    </row>
    <row r="2" spans="1:21" ht="12" customHeight="1">
      <c r="A2" s="1761" t="s">
        <v>1003</v>
      </c>
      <c r="B2" s="1762"/>
      <c r="C2" s="1762"/>
      <c r="D2" s="1762"/>
      <c r="E2" s="1762"/>
      <c r="F2" s="1762"/>
      <c r="G2" s="784"/>
      <c r="H2" s="1309" t="s">
        <v>9</v>
      </c>
      <c r="I2" s="1756" t="str">
        <f>Cover!C8</f>
        <v>Adopted</v>
      </c>
      <c r="J2" s="1757"/>
      <c r="K2" s="782"/>
      <c r="L2" s="1751"/>
      <c r="M2" s="1751"/>
      <c r="N2" s="1751"/>
      <c r="O2" s="707"/>
      <c r="P2" s="707"/>
      <c r="Q2" s="707"/>
      <c r="R2" s="707"/>
      <c r="S2" s="707"/>
      <c r="T2" s="707"/>
      <c r="U2" s="707"/>
    </row>
    <row r="3" spans="1:21" ht="9.75" customHeight="1">
      <c r="A3" s="752"/>
      <c r="B3" s="786"/>
      <c r="C3" s="1758" t="s">
        <v>29</v>
      </c>
      <c r="D3" s="1763"/>
      <c r="E3" s="787" t="s">
        <v>387</v>
      </c>
      <c r="F3" s="788" t="s">
        <v>388</v>
      </c>
      <c r="G3" s="784"/>
      <c r="H3" s="784"/>
      <c r="I3" s="784"/>
      <c r="J3" s="714"/>
      <c r="K3" s="789"/>
      <c r="L3" s="1752"/>
      <c r="M3" s="1752"/>
      <c r="N3" s="1752"/>
      <c r="O3" s="707"/>
      <c r="P3" s="707"/>
      <c r="Q3" s="707"/>
      <c r="R3" s="707"/>
      <c r="S3" s="707"/>
      <c r="T3" s="707"/>
      <c r="U3" s="707"/>
    </row>
    <row r="4" spans="1:21" ht="9" customHeight="1">
      <c r="A4" s="1772" t="s">
        <v>389</v>
      </c>
      <c r="B4" s="1773"/>
      <c r="C4" s="787"/>
      <c r="D4" s="758"/>
      <c r="E4" s="790" t="s">
        <v>383</v>
      </c>
      <c r="F4" s="791" t="s">
        <v>383</v>
      </c>
      <c r="G4" s="1760" t="str">
        <f>IF((F001TotalExp&gt;0)*AND(OR(TotalFTECertSubtotal=0,TotalFTEClassSubtotal=0)),"Incomplete: Please complete the Certified and Classified sections of the Proposed Staffing Table below."," ")</f>
        <v xml:space="preserve"> </v>
      </c>
      <c r="H4" s="1760"/>
      <c r="I4" s="1760"/>
      <c r="J4" s="1760"/>
      <c r="K4" s="789"/>
      <c r="L4" s="792" t="s">
        <v>390</v>
      </c>
      <c r="M4" s="793" t="s">
        <v>155</v>
      </c>
      <c r="N4" s="794" t="s">
        <v>156</v>
      </c>
      <c r="O4" s="707"/>
      <c r="P4" s="707"/>
      <c r="Q4" s="707"/>
      <c r="R4" s="707"/>
      <c r="S4" s="707"/>
      <c r="T4" s="707"/>
      <c r="U4" s="707"/>
    </row>
    <row r="5" spans="1:21" ht="10.5" customHeight="1">
      <c r="A5" s="795"/>
      <c r="B5" s="796"/>
      <c r="C5" s="797" t="s">
        <v>155</v>
      </c>
      <c r="D5" s="798" t="s">
        <v>156</v>
      </c>
      <c r="E5" s="798" t="s">
        <v>391</v>
      </c>
      <c r="F5" s="799" t="s">
        <v>155</v>
      </c>
      <c r="G5" s="1760"/>
      <c r="H5" s="1760"/>
      <c r="I5" s="1760"/>
      <c r="J5" s="1760"/>
      <c r="K5" s="713"/>
      <c r="L5" s="800" t="s">
        <v>238</v>
      </c>
      <c r="M5" s="801">
        <f>F050CurrFY</f>
        <v>6600</v>
      </c>
      <c r="N5" s="802">
        <f>F050BudgFY</f>
        <v>6814</v>
      </c>
      <c r="O5" s="707"/>
      <c r="P5" s="707"/>
      <c r="Q5" s="707"/>
      <c r="R5" s="707"/>
      <c r="S5" s="707"/>
      <c r="T5" s="707"/>
      <c r="U5" s="707"/>
    </row>
    <row r="6" spans="1:21" ht="10.5" customHeight="1">
      <c r="A6" s="765" t="s">
        <v>392</v>
      </c>
      <c r="B6" s="803"/>
      <c r="C6" s="765">
        <f>F001TotExpCurrFY</f>
        <v>33250572</v>
      </c>
      <c r="D6" s="765">
        <f>F001TotalExp</f>
        <v>32686373</v>
      </c>
      <c r="E6" s="804">
        <f t="shared" ref="E6:E14" si="0">D6-C6</f>
        <v>-564199</v>
      </c>
      <c r="F6" s="805">
        <f t="shared" ref="F6:F21" si="1">IF(C6=D6,0,IF(C6&gt;0,E6/C6,""))</f>
        <v>-1.7000000000000001E-2</v>
      </c>
      <c r="G6" s="1760"/>
      <c r="H6" s="1760"/>
      <c r="I6" s="1760"/>
      <c r="J6" s="1760"/>
      <c r="K6" s="713"/>
      <c r="L6" s="800" t="s">
        <v>247</v>
      </c>
      <c r="M6" s="801">
        <f>F515CurrFY</f>
        <v>400000</v>
      </c>
      <c r="N6" s="802">
        <f>F515BudgFY</f>
        <v>275000</v>
      </c>
      <c r="O6" s="707"/>
      <c r="P6" s="707"/>
      <c r="Q6" s="707"/>
      <c r="R6" s="707"/>
      <c r="S6" s="707"/>
      <c r="T6" s="707"/>
      <c r="U6" s="707"/>
    </row>
    <row r="7" spans="1:21" ht="10.5" customHeight="1">
      <c r="A7" s="806" t="s">
        <v>393</v>
      </c>
      <c r="B7" s="803"/>
      <c r="C7" s="807">
        <f>F020TotCurrFY</f>
        <v>250000</v>
      </c>
      <c r="D7" s="807">
        <f>F020TotBudgFY</f>
        <v>250000</v>
      </c>
      <c r="E7" s="804">
        <f t="shared" si="0"/>
        <v>0</v>
      </c>
      <c r="F7" s="805">
        <f t="shared" si="1"/>
        <v>0</v>
      </c>
      <c r="G7" s="1760"/>
      <c r="H7" s="1760"/>
      <c r="I7" s="1760"/>
      <c r="J7" s="1760"/>
      <c r="K7" s="713"/>
      <c r="L7" s="800" t="s">
        <v>249</v>
      </c>
      <c r="M7" s="801">
        <f>F520CurrFY</f>
        <v>0</v>
      </c>
      <c r="N7" s="802">
        <f>F520BudgFY</f>
        <v>0</v>
      </c>
      <c r="O7" s="707"/>
      <c r="P7" s="707"/>
      <c r="Q7" s="707"/>
      <c r="R7" s="707"/>
      <c r="S7" s="707"/>
      <c r="T7" s="707"/>
      <c r="U7" s="707"/>
    </row>
    <row r="8" spans="1:21" ht="10.5" customHeight="1">
      <c r="A8" s="808" t="s">
        <v>394</v>
      </c>
      <c r="B8" s="809"/>
      <c r="C8" s="807">
        <f>F071CurrFY</f>
        <v>25100</v>
      </c>
      <c r="D8" s="773">
        <f>F071BudgFY</f>
        <v>16453</v>
      </c>
      <c r="E8" s="804">
        <f t="shared" si="0"/>
        <v>-8647</v>
      </c>
      <c r="F8" s="805">
        <f t="shared" si="1"/>
        <v>-0.34499999999999997</v>
      </c>
      <c r="G8" s="1760"/>
      <c r="H8" s="1760"/>
      <c r="I8" s="1760"/>
      <c r="J8" s="1760"/>
      <c r="K8" s="713"/>
      <c r="L8" s="800" t="s">
        <v>253</v>
      </c>
      <c r="M8" s="801">
        <f>F526CurrFY</f>
        <v>1300000</v>
      </c>
      <c r="N8" s="802">
        <f>F526BudgFY</f>
        <v>1250346</v>
      </c>
      <c r="O8" s="707"/>
      <c r="P8" s="707"/>
      <c r="Q8" s="707"/>
      <c r="R8" s="707"/>
      <c r="S8" s="707"/>
      <c r="T8" s="707"/>
      <c r="U8" s="707"/>
    </row>
    <row r="9" spans="1:21" ht="12" customHeight="1">
      <c r="A9" s="806" t="s">
        <v>395</v>
      </c>
      <c r="B9" s="803"/>
      <c r="C9" s="807">
        <f>F072CurrFY</f>
        <v>0</v>
      </c>
      <c r="D9" s="773">
        <f>F072BudgFY</f>
        <v>0</v>
      </c>
      <c r="E9" s="810">
        <f t="shared" si="0"/>
        <v>0</v>
      </c>
      <c r="F9" s="811">
        <f t="shared" si="1"/>
        <v>0</v>
      </c>
      <c r="G9" s="1760"/>
      <c r="H9" s="1760"/>
      <c r="I9" s="1760"/>
      <c r="J9" s="1760"/>
      <c r="K9" s="812"/>
      <c r="L9" s="800" t="s">
        <v>255</v>
      </c>
      <c r="M9" s="801">
        <f>F530CurrFY</f>
        <v>1350000</v>
      </c>
      <c r="N9" s="802">
        <f>F530BudgFY</f>
        <v>1496229</v>
      </c>
      <c r="O9" s="707"/>
      <c r="P9" s="707"/>
      <c r="Q9" s="707"/>
      <c r="R9" s="707"/>
      <c r="S9" s="707"/>
      <c r="T9" s="707"/>
      <c r="U9" s="707"/>
    </row>
    <row r="10" spans="1:21" ht="12" customHeight="1">
      <c r="A10" s="813" t="s">
        <v>396</v>
      </c>
      <c r="B10" s="814"/>
      <c r="C10" s="744">
        <f>F010TotalExpPY</f>
        <v>4010002</v>
      </c>
      <c r="D10" s="744">
        <f>F010TotalExp</f>
        <v>4188135</v>
      </c>
      <c r="E10" s="810">
        <f>D10-C10</f>
        <v>178133</v>
      </c>
      <c r="F10" s="811">
        <f t="shared" si="1"/>
        <v>4.3999999999999997E-2</v>
      </c>
      <c r="G10" s="1760"/>
      <c r="H10" s="1760"/>
      <c r="I10" s="1760"/>
      <c r="J10" s="1760"/>
      <c r="K10" s="812"/>
      <c r="L10" s="815" t="s">
        <v>257</v>
      </c>
      <c r="M10" s="801">
        <f>F535CurrFY</f>
        <v>0</v>
      </c>
      <c r="N10" s="802">
        <f>F535BudgFY</f>
        <v>0</v>
      </c>
      <c r="O10" s="707"/>
      <c r="P10" s="707"/>
      <c r="Q10" s="707"/>
      <c r="R10" s="707"/>
      <c r="S10" s="707"/>
      <c r="T10" s="707"/>
      <c r="U10" s="707"/>
    </row>
    <row r="11" spans="1:21" ht="12" customHeight="1">
      <c r="A11" s="816" t="s">
        <v>397</v>
      </c>
      <c r="B11" s="817"/>
      <c r="C11" s="768">
        <f>TotFedProjFundCurrFY</f>
        <v>6912402</v>
      </c>
      <c r="D11" s="768">
        <f>TotFedProjFundBudgFY</f>
        <v>4680539</v>
      </c>
      <c r="E11" s="768">
        <f t="shared" si="0"/>
        <v>-2231863</v>
      </c>
      <c r="F11" s="818">
        <f t="shared" si="1"/>
        <v>-0.32300000000000001</v>
      </c>
      <c r="G11" s="1760"/>
      <c r="H11" s="1760"/>
      <c r="I11" s="1760"/>
      <c r="J11" s="1760"/>
      <c r="K11" s="812"/>
      <c r="L11" s="819" t="s">
        <v>259</v>
      </c>
      <c r="M11" s="801">
        <f>F540CurrFY</f>
        <v>20</v>
      </c>
      <c r="N11" s="802">
        <f>F540BudgFY</f>
        <v>20</v>
      </c>
      <c r="O11" s="707"/>
      <c r="P11" s="707"/>
      <c r="Q11" s="707"/>
      <c r="R11" s="707"/>
      <c r="S11" s="707"/>
      <c r="T11" s="707"/>
      <c r="U11" s="707"/>
    </row>
    <row r="12" spans="1:21" ht="12" customHeight="1">
      <c r="A12" s="820" t="s">
        <v>398</v>
      </c>
      <c r="B12" s="817"/>
      <c r="C12" s="767">
        <f>TotStateProjFundCurrFY</f>
        <v>850000</v>
      </c>
      <c r="D12" s="767">
        <f>TotStateProjFundBudgFY</f>
        <v>672000</v>
      </c>
      <c r="E12" s="767">
        <f t="shared" si="0"/>
        <v>-178000</v>
      </c>
      <c r="F12" s="818">
        <f t="shared" si="1"/>
        <v>-0.20899999999999999</v>
      </c>
      <c r="G12" s="1760"/>
      <c r="H12" s="1760"/>
      <c r="I12" s="1760"/>
      <c r="J12" s="1760"/>
      <c r="K12" s="812"/>
      <c r="L12" s="819" t="s">
        <v>261</v>
      </c>
      <c r="M12" s="801">
        <f>F545CurrFY</f>
        <v>0</v>
      </c>
      <c r="N12" s="802">
        <f>F545BudgFY</f>
        <v>0</v>
      </c>
      <c r="O12" s="707"/>
      <c r="P12" s="707"/>
      <c r="Q12" s="707"/>
      <c r="R12" s="707"/>
      <c r="S12" s="707"/>
      <c r="T12" s="707"/>
      <c r="U12" s="707"/>
    </row>
    <row r="13" spans="1:21" ht="12" customHeight="1">
      <c r="A13" s="816" t="s">
        <v>200</v>
      </c>
      <c r="B13" s="817"/>
      <c r="C13" s="767">
        <f>F610TotalCurrFY</f>
        <v>3165442</v>
      </c>
      <c r="D13" s="767">
        <f>F610TotalBudgFY</f>
        <v>2449329</v>
      </c>
      <c r="E13" s="767">
        <f t="shared" si="0"/>
        <v>-716113</v>
      </c>
      <c r="F13" s="818">
        <f t="shared" si="1"/>
        <v>-0.22600000000000001</v>
      </c>
      <c r="G13" s="1760"/>
      <c r="H13" s="1760"/>
      <c r="I13" s="1760"/>
      <c r="J13" s="1760"/>
      <c r="K13" s="812"/>
      <c r="L13" s="800" t="s">
        <v>263</v>
      </c>
      <c r="M13" s="801">
        <f>F550CurrFY</f>
        <v>134000</v>
      </c>
      <c r="N13" s="802">
        <f>F550BudgFY</f>
        <v>138213</v>
      </c>
      <c r="O13" s="707"/>
      <c r="P13" s="707"/>
      <c r="Q13" s="707"/>
      <c r="R13" s="707"/>
      <c r="S13" s="707"/>
      <c r="T13" s="707"/>
      <c r="U13" s="707"/>
    </row>
    <row r="14" spans="1:21" ht="12" customHeight="1">
      <c r="A14" s="816" t="s">
        <v>399</v>
      </c>
      <c r="B14" s="817"/>
      <c r="C14" s="767">
        <f>F695TotalCurrFY</f>
        <v>0</v>
      </c>
      <c r="D14" s="767">
        <f>F695TotalBudgFY</f>
        <v>0</v>
      </c>
      <c r="E14" s="767">
        <f t="shared" si="0"/>
        <v>0</v>
      </c>
      <c r="F14" s="818">
        <f t="shared" si="1"/>
        <v>0</v>
      </c>
      <c r="G14" s="1760"/>
      <c r="H14" s="1760"/>
      <c r="I14" s="1760"/>
      <c r="J14" s="1760"/>
      <c r="K14" s="812"/>
      <c r="L14" s="800" t="s">
        <v>265</v>
      </c>
      <c r="M14" s="801">
        <f>F555CurrFY</f>
        <v>40</v>
      </c>
      <c r="N14" s="802">
        <f>F555BudgFY</f>
        <v>40</v>
      </c>
      <c r="O14" s="707"/>
      <c r="P14" s="707"/>
      <c r="Q14" s="707"/>
      <c r="R14" s="707"/>
      <c r="S14" s="707"/>
      <c r="T14" s="707"/>
      <c r="U14" s="707"/>
    </row>
    <row r="15" spans="1:21" ht="12" customHeight="1">
      <c r="A15" s="816" t="s">
        <v>400</v>
      </c>
      <c r="B15" s="817"/>
      <c r="C15" s="767">
        <f>F620TotalCurrFY</f>
        <v>42000</v>
      </c>
      <c r="D15" s="767">
        <f>F620TotalBudgFY</f>
        <v>42000</v>
      </c>
      <c r="E15" s="767">
        <f t="shared" ref="E15:E21" si="2">D15-C15</f>
        <v>0</v>
      </c>
      <c r="F15" s="818">
        <f t="shared" si="1"/>
        <v>0</v>
      </c>
      <c r="G15" s="713"/>
      <c r="H15" s="713"/>
      <c r="I15" s="713"/>
      <c r="J15" s="713"/>
      <c r="K15" s="812"/>
      <c r="L15" s="800" t="s">
        <v>267</v>
      </c>
      <c r="M15" s="801">
        <f>F565CurrFY</f>
        <v>0</v>
      </c>
      <c r="N15" s="802">
        <f>F565BudgFY</f>
        <v>0</v>
      </c>
      <c r="O15" s="707"/>
      <c r="P15" s="707"/>
      <c r="Q15" s="707"/>
      <c r="R15" s="707"/>
      <c r="S15" s="707"/>
      <c r="T15" s="707"/>
      <c r="U15" s="707"/>
    </row>
    <row r="16" spans="1:21" ht="12" customHeight="1">
      <c r="A16" s="816" t="s">
        <v>177</v>
      </c>
      <c r="B16" s="817"/>
      <c r="C16" s="767">
        <f>F700CurrFY</f>
        <v>1300000</v>
      </c>
      <c r="D16" s="767">
        <f>F700BudgFY</f>
        <v>1300000</v>
      </c>
      <c r="E16" s="767">
        <f t="shared" si="2"/>
        <v>0</v>
      </c>
      <c r="F16" s="818">
        <f t="shared" si="1"/>
        <v>0</v>
      </c>
      <c r="G16" s="1760" t="str">
        <f>IF((F001P200Subtotal&gt;0)*AND(OR((SUM(TotalFTESpecEdTeacher+TotalFTESpecEdStaff=0,(SUM(SPEDTeacher+SPEDStaff=0)))))),"Incomplete: Please complete the Special Education section of the Proposed Staffing Table below."," ")</f>
        <v xml:space="preserve"> </v>
      </c>
      <c r="H16" s="1760"/>
      <c r="I16" s="1760"/>
      <c r="J16" s="1760"/>
      <c r="K16" s="713"/>
      <c r="L16" s="800" t="s">
        <v>269</v>
      </c>
      <c r="M16" s="801">
        <f>F570CurrFY</f>
        <v>650000</v>
      </c>
      <c r="N16" s="802">
        <f>F570BudgFY</f>
        <v>680264</v>
      </c>
      <c r="O16" s="707"/>
      <c r="P16" s="707"/>
      <c r="Q16" s="707"/>
      <c r="R16" s="707"/>
      <c r="S16" s="707"/>
      <c r="T16" s="707"/>
      <c r="U16" s="707"/>
    </row>
    <row r="17" spans="1:21" ht="12" customHeight="1">
      <c r="A17" s="337" t="s">
        <v>401</v>
      </c>
      <c r="B17" s="821"/>
      <c r="C17" s="773">
        <f>F500CurrFY</f>
        <v>1700000</v>
      </c>
      <c r="D17" s="767">
        <f>F500BudgFY</f>
        <v>1383381</v>
      </c>
      <c r="E17" s="767">
        <f t="shared" si="2"/>
        <v>-316619</v>
      </c>
      <c r="F17" s="818">
        <f t="shared" si="1"/>
        <v>-0.186</v>
      </c>
      <c r="G17" s="1760"/>
      <c r="H17" s="1760"/>
      <c r="I17" s="1760"/>
      <c r="J17" s="1760"/>
      <c r="K17" s="812"/>
      <c r="L17" s="800" t="s">
        <v>271</v>
      </c>
      <c r="M17" s="801">
        <f>F575CurrFY</f>
        <v>0</v>
      </c>
      <c r="N17" s="802">
        <f>F575BudgFY</f>
        <v>0</v>
      </c>
      <c r="O17" s="707"/>
      <c r="P17" s="707"/>
      <c r="Q17" s="707"/>
      <c r="R17" s="707"/>
      <c r="S17" s="707"/>
      <c r="T17" s="707"/>
      <c r="U17" s="707"/>
    </row>
    <row r="18" spans="1:21" ht="12" customHeight="1">
      <c r="A18" s="816" t="s">
        <v>402</v>
      </c>
      <c r="B18" s="817"/>
      <c r="C18" s="767">
        <f>F525CurrFY</f>
        <v>1250000</v>
      </c>
      <c r="D18" s="767">
        <f>F525BudgFY</f>
        <v>1488107</v>
      </c>
      <c r="E18" s="767">
        <f t="shared" si="2"/>
        <v>238107</v>
      </c>
      <c r="F18" s="818">
        <f t="shared" si="1"/>
        <v>0.19</v>
      </c>
      <c r="G18" s="1760"/>
      <c r="H18" s="1760"/>
      <c r="I18" s="1760"/>
      <c r="J18" s="1760"/>
      <c r="K18" s="812"/>
      <c r="L18" s="800" t="s">
        <v>272</v>
      </c>
      <c r="M18" s="801">
        <f>F580CurrFY</f>
        <v>0</v>
      </c>
      <c r="N18" s="802">
        <f>F580BudgFY</f>
        <v>0</v>
      </c>
      <c r="O18" s="707"/>
      <c r="P18" s="707"/>
      <c r="Q18" s="707"/>
      <c r="R18" s="707"/>
      <c r="S18" s="707"/>
      <c r="T18" s="707"/>
      <c r="U18" s="707"/>
    </row>
    <row r="19" spans="1:21" ht="12" customHeight="1">
      <c r="A19" s="816" t="s">
        <v>403</v>
      </c>
      <c r="B19" s="817"/>
      <c r="C19" s="767">
        <f>F630TotalCurrFY</f>
        <v>0</v>
      </c>
      <c r="D19" s="767">
        <f>F630TotalBudgFY</f>
        <v>0</v>
      </c>
      <c r="E19" s="767">
        <f t="shared" si="2"/>
        <v>0</v>
      </c>
      <c r="F19" s="818">
        <f t="shared" si="1"/>
        <v>0</v>
      </c>
      <c r="G19" s="1760"/>
      <c r="H19" s="1760"/>
      <c r="I19" s="1760"/>
      <c r="J19" s="1760"/>
      <c r="K19" s="812"/>
      <c r="L19" s="800" t="s">
        <v>273</v>
      </c>
      <c r="M19" s="801">
        <f>F585CurrFY</f>
        <v>0</v>
      </c>
      <c r="N19" s="802">
        <f>F585BudgFY</f>
        <v>0</v>
      </c>
      <c r="O19" s="707"/>
      <c r="P19" s="707"/>
      <c r="Q19" s="707"/>
      <c r="R19" s="707"/>
      <c r="S19" s="707"/>
      <c r="T19" s="707"/>
      <c r="U19" s="707"/>
    </row>
    <row r="20" spans="1:21" ht="12" customHeight="1">
      <c r="A20" s="816" t="s">
        <v>404</v>
      </c>
      <c r="B20" s="817"/>
      <c r="C20" s="767">
        <f>F510CurrFY</f>
        <v>2000000</v>
      </c>
      <c r="D20" s="767">
        <f>F510BudgFY</f>
        <v>1500000</v>
      </c>
      <c r="E20" s="767">
        <f t="shared" si="2"/>
        <v>-500000</v>
      </c>
      <c r="F20" s="818">
        <f t="shared" si="1"/>
        <v>-0.25</v>
      </c>
      <c r="G20" s="1760"/>
      <c r="H20" s="1760"/>
      <c r="I20" s="1760"/>
      <c r="J20" s="1760"/>
      <c r="K20" s="812"/>
      <c r="L20" s="819" t="s">
        <v>274</v>
      </c>
      <c r="M20" s="801">
        <f>F590CurrFY</f>
        <v>12000</v>
      </c>
      <c r="N20" s="802">
        <f>F590BudgFY</f>
        <v>11740</v>
      </c>
      <c r="O20" s="707"/>
      <c r="P20" s="707"/>
      <c r="Q20" s="707"/>
      <c r="R20" s="707"/>
      <c r="S20" s="707"/>
      <c r="T20" s="707"/>
      <c r="U20" s="707"/>
    </row>
    <row r="21" spans="1:21" ht="12" customHeight="1">
      <c r="A21" s="772" t="s">
        <v>108</v>
      </c>
      <c r="B21" s="822"/>
      <c r="C21" s="773">
        <f>M37</f>
        <v>14460160</v>
      </c>
      <c r="D21" s="773">
        <f>N37</f>
        <v>17049648</v>
      </c>
      <c r="E21" s="773">
        <f t="shared" si="2"/>
        <v>2589488</v>
      </c>
      <c r="F21" s="823">
        <f t="shared" si="1"/>
        <v>0.17899999999999999</v>
      </c>
      <c r="G21" s="1760"/>
      <c r="H21" s="1760"/>
      <c r="I21" s="1760"/>
      <c r="J21" s="1760"/>
      <c r="K21" s="812"/>
      <c r="L21" s="800" t="s">
        <v>276</v>
      </c>
      <c r="M21" s="801">
        <f>F595CurrFY</f>
        <v>0</v>
      </c>
      <c r="N21" s="802">
        <f>F595BudgFY</f>
        <v>0</v>
      </c>
      <c r="O21" s="707"/>
      <c r="P21" s="707"/>
      <c r="Q21" s="707"/>
      <c r="R21" s="707"/>
      <c r="S21" s="707"/>
      <c r="T21" s="707"/>
      <c r="U21" s="707"/>
    </row>
    <row r="22" spans="1:21" ht="12" customHeight="1">
      <c r="A22" s="707"/>
      <c r="B22" s="707"/>
      <c r="C22" s="707"/>
      <c r="D22" s="707"/>
      <c r="E22" s="707"/>
      <c r="F22" s="707"/>
      <c r="G22" s="1760"/>
      <c r="H22" s="1760"/>
      <c r="I22" s="1760"/>
      <c r="J22" s="1760"/>
      <c r="K22" s="812"/>
      <c r="L22" s="800" t="s">
        <v>278</v>
      </c>
      <c r="M22" s="801">
        <f>F596CurrFY</f>
        <v>750000</v>
      </c>
      <c r="N22" s="802">
        <f>F596BudgFY</f>
        <v>855901</v>
      </c>
      <c r="O22" s="707"/>
      <c r="P22" s="707"/>
      <c r="Q22" s="707"/>
      <c r="R22" s="707"/>
      <c r="S22" s="707"/>
      <c r="T22" s="707"/>
      <c r="U22" s="707"/>
    </row>
    <row r="23" spans="1:21" ht="14.25" customHeight="1">
      <c r="A23" s="1766" t="s">
        <v>956</v>
      </c>
      <c r="B23" s="1767"/>
      <c r="C23" s="1767"/>
      <c r="D23" s="1767"/>
      <c r="E23" s="1768"/>
      <c r="F23" s="824"/>
      <c r="G23" s="1760"/>
      <c r="H23" s="1760"/>
      <c r="I23" s="1760"/>
      <c r="J23" s="1760"/>
      <c r="K23" s="812"/>
      <c r="L23" s="815" t="s">
        <v>280</v>
      </c>
      <c r="M23" s="801">
        <f>F597CurrFY</f>
        <v>0</v>
      </c>
      <c r="N23" s="802">
        <f>F597BudgFY</f>
        <v>0</v>
      </c>
      <c r="O23" s="707"/>
      <c r="P23" s="707"/>
      <c r="Q23" s="707"/>
      <c r="R23" s="707"/>
      <c r="S23" s="707"/>
      <c r="T23" s="707"/>
      <c r="U23" s="707"/>
    </row>
    <row r="24" spans="1:21" ht="12" customHeight="1" thickBot="1">
      <c r="A24" s="1764" t="s">
        <v>405</v>
      </c>
      <c r="B24" s="1765"/>
      <c r="C24" s="1765"/>
      <c r="D24" s="798" t="s">
        <v>155</v>
      </c>
      <c r="E24" s="798" t="s">
        <v>156</v>
      </c>
      <c r="F24" s="707"/>
      <c r="G24" s="1760"/>
      <c r="H24" s="1760"/>
      <c r="I24" s="1760"/>
      <c r="J24" s="1760"/>
      <c r="K24" s="713"/>
      <c r="L24" s="819" t="s">
        <v>282</v>
      </c>
      <c r="M24" s="801">
        <f>F639CurrFY</f>
        <v>0</v>
      </c>
      <c r="N24" s="802">
        <f>F639BudgFY</f>
        <v>0</v>
      </c>
      <c r="O24" s="707"/>
      <c r="P24" s="707"/>
      <c r="Q24" s="707"/>
      <c r="R24" s="707"/>
      <c r="S24" s="707"/>
      <c r="T24" s="707"/>
      <c r="U24" s="707"/>
    </row>
    <row r="25" spans="1:21" ht="12" customHeight="1">
      <c r="A25" s="825" t="s">
        <v>157</v>
      </c>
      <c r="B25" s="826"/>
      <c r="C25" s="826"/>
      <c r="D25" s="827">
        <f>F001P200PYDisabilityTot</f>
        <v>5330000</v>
      </c>
      <c r="E25" s="827">
        <f>F001P200Subtotal</f>
        <v>5330000</v>
      </c>
      <c r="F25" s="707"/>
      <c r="G25" s="1760"/>
      <c r="H25" s="1760"/>
      <c r="I25" s="1760"/>
      <c r="J25" s="1760"/>
      <c r="K25" s="713"/>
      <c r="L25" s="819" t="s">
        <v>284</v>
      </c>
      <c r="M25" s="801">
        <f>F650CurrFY</f>
        <v>0</v>
      </c>
      <c r="N25" s="802">
        <f>F650BudgFY</f>
        <v>0</v>
      </c>
      <c r="O25" s="707"/>
      <c r="P25" s="707"/>
      <c r="Q25" s="707"/>
      <c r="R25" s="707"/>
      <c r="S25" s="707"/>
      <c r="T25" s="707"/>
      <c r="U25" s="707"/>
    </row>
    <row r="26" spans="1:21" ht="11.25" customHeight="1">
      <c r="A26" s="828" t="s">
        <v>158</v>
      </c>
      <c r="B26" s="714"/>
      <c r="C26" s="714"/>
      <c r="D26" s="772">
        <f>SPEDGiftedEdCurrFY</f>
        <v>45000</v>
      </c>
      <c r="E26" s="772">
        <f>SPEDGiftedEdBudgFY</f>
        <v>45000</v>
      </c>
      <c r="F26" s="707"/>
      <c r="G26" s="829"/>
      <c r="H26" s="714"/>
      <c r="I26" s="714"/>
      <c r="J26" s="714"/>
      <c r="K26" s="713"/>
      <c r="L26" s="819" t="s">
        <v>286</v>
      </c>
      <c r="M26" s="801">
        <f>F660CurrFY</f>
        <v>0</v>
      </c>
      <c r="N26" s="802">
        <f>F660BudgFY</f>
        <v>0</v>
      </c>
      <c r="O26" s="707"/>
      <c r="P26" s="707"/>
      <c r="Q26" s="707"/>
      <c r="R26" s="707"/>
      <c r="S26" s="707"/>
      <c r="T26" s="707"/>
      <c r="U26" s="707"/>
    </row>
    <row r="27" spans="1:21" ht="12" customHeight="1">
      <c r="A27" s="828" t="s">
        <v>160</v>
      </c>
      <c r="B27" s="714"/>
      <c r="C27" s="714"/>
      <c r="D27" s="772">
        <f>SPEDRemedialEdCurrFY</f>
        <v>0</v>
      </c>
      <c r="E27" s="772">
        <f>SPEDRemedialEdBudgFY</f>
        <v>0</v>
      </c>
      <c r="F27" s="707"/>
      <c r="G27" s="707"/>
      <c r="H27" s="707"/>
      <c r="I27" s="707"/>
      <c r="J27" s="707"/>
      <c r="K27" s="713"/>
      <c r="L27" s="819" t="s">
        <v>288</v>
      </c>
      <c r="M27" s="801">
        <f>F665CurrFY</f>
        <v>17500</v>
      </c>
      <c r="N27" s="802">
        <f>F665BudgFY</f>
        <v>17983</v>
      </c>
      <c r="O27" s="707"/>
      <c r="P27" s="707"/>
      <c r="Q27" s="707"/>
      <c r="R27" s="707"/>
      <c r="S27" s="707"/>
      <c r="T27" s="707"/>
      <c r="U27" s="707"/>
    </row>
    <row r="28" spans="1:21" ht="12" customHeight="1">
      <c r="A28" s="830" t="s">
        <v>161</v>
      </c>
      <c r="B28" s="826"/>
      <c r="C28" s="826"/>
      <c r="D28" s="772">
        <f>SPEDELLIncCostCurrFY</f>
        <v>50000</v>
      </c>
      <c r="E28" s="772">
        <f>SPEDELLIncCostBudgFY</f>
        <v>50000</v>
      </c>
      <c r="F28" s="707"/>
      <c r="G28" s="707"/>
      <c r="H28" s="707"/>
      <c r="I28" s="707"/>
      <c r="J28" s="707"/>
      <c r="K28" s="713"/>
      <c r="L28" s="819" t="s">
        <v>290</v>
      </c>
      <c r="M28" s="801">
        <f>F686CurrFY</f>
        <v>0</v>
      </c>
      <c r="N28" s="802">
        <f>F686BudgFY</f>
        <v>0</v>
      </c>
      <c r="O28" s="707"/>
      <c r="P28" s="707"/>
      <c r="Q28" s="707"/>
      <c r="R28" s="707"/>
      <c r="S28" s="707"/>
      <c r="T28" s="707"/>
      <c r="U28" s="707"/>
    </row>
    <row r="29" spans="1:21" ht="12" customHeight="1">
      <c r="A29" s="830" t="s">
        <v>162</v>
      </c>
      <c r="B29" s="826"/>
      <c r="C29" s="826"/>
      <c r="D29" s="772">
        <f>SPEDELLCompInstrCurrFY</f>
        <v>0</v>
      </c>
      <c r="E29" s="772">
        <f>SPEDELLCompInstrBudgFY</f>
        <v>0</v>
      </c>
      <c r="F29" s="707"/>
      <c r="G29" s="707"/>
      <c r="H29" s="707"/>
      <c r="I29" s="707"/>
      <c r="J29" s="707"/>
      <c r="K29" s="713"/>
      <c r="L29" s="819" t="s">
        <v>292</v>
      </c>
      <c r="M29" s="831">
        <f>F691CurrFY</f>
        <v>9500000</v>
      </c>
      <c r="N29" s="832">
        <f>F691BudgFY</f>
        <v>12000000</v>
      </c>
      <c r="O29" s="707"/>
      <c r="P29" s="707"/>
      <c r="Q29" s="707"/>
      <c r="R29" s="707"/>
      <c r="S29" s="707"/>
      <c r="T29" s="707"/>
      <c r="U29" s="707"/>
    </row>
    <row r="30" spans="1:21" ht="12" customHeight="1">
      <c r="A30" s="828" t="s">
        <v>163</v>
      </c>
      <c r="B30" s="714"/>
      <c r="C30" s="714"/>
      <c r="D30" s="772">
        <f>SPEDVocTechEdCurrFY</f>
        <v>5000</v>
      </c>
      <c r="E30" s="772">
        <f>SPEDVocTechEdBudgFY</f>
        <v>5000</v>
      </c>
      <c r="F30" s="707"/>
      <c r="G30" s="707"/>
      <c r="H30" s="707"/>
      <c r="I30" s="707"/>
      <c r="J30" s="707"/>
      <c r="K30" s="707"/>
      <c r="L30" s="819" t="s">
        <v>297</v>
      </c>
      <c r="M30" s="831">
        <f>F720CurrFY</f>
        <v>0</v>
      </c>
      <c r="N30" s="832">
        <f>F720BudgFY</f>
        <v>0</v>
      </c>
      <c r="O30" s="833"/>
      <c r="P30" s="432"/>
      <c r="Q30" s="432"/>
      <c r="R30" s="432"/>
      <c r="S30" s="432"/>
      <c r="T30" s="432"/>
      <c r="U30" s="724"/>
    </row>
    <row r="31" spans="1:21" ht="12" customHeight="1">
      <c r="A31" s="828" t="s">
        <v>164</v>
      </c>
      <c r="B31" s="714"/>
      <c r="C31" s="714"/>
      <c r="D31" s="773">
        <f>SPEDCareerEdCurrFY</f>
        <v>0</v>
      </c>
      <c r="E31" s="773">
        <f>SPEDCareerEdBudgFY</f>
        <v>0</v>
      </c>
      <c r="F31" s="707"/>
      <c r="G31" s="707"/>
      <c r="H31" s="707"/>
      <c r="I31" s="707"/>
      <c r="J31" s="707"/>
      <c r="K31" s="707"/>
      <c r="L31" s="834" t="s">
        <v>299</v>
      </c>
      <c r="M31" s="831">
        <f>F850CurrFY</f>
        <v>200000</v>
      </c>
      <c r="N31" s="832">
        <f>F850BudgFY</f>
        <v>163881</v>
      </c>
      <c r="O31" s="833"/>
      <c r="P31" s="432"/>
      <c r="Q31" s="432"/>
      <c r="R31" s="432"/>
      <c r="S31" s="432"/>
      <c r="T31" s="432"/>
      <c r="U31" s="707"/>
    </row>
    <row r="32" spans="1:21" ht="12" customHeight="1" thickBot="1">
      <c r="A32" s="835" t="s">
        <v>165</v>
      </c>
      <c r="B32" s="826"/>
      <c r="C32" s="826"/>
      <c r="D32" s="836">
        <f t="array" ref="D32">[1]!SummCTEDBY</f>
        <v>487175</v>
      </c>
      <c r="E32" s="836">
        <f>JTEDBudgFY</f>
        <v>483057</v>
      </c>
      <c r="F32" s="707"/>
      <c r="G32" s="707"/>
      <c r="H32" s="707"/>
      <c r="I32" s="707"/>
      <c r="J32" s="707"/>
      <c r="K32" s="707"/>
      <c r="L32" s="800" t="str">
        <f>'Page 6'!O38</f>
        <v>Other __533, 855________________________________</v>
      </c>
      <c r="M32" s="801">
        <f>OtherFundsCurrFY</f>
        <v>25000</v>
      </c>
      <c r="N32" s="802">
        <f>OtherFundsBudgFY</f>
        <v>24165</v>
      </c>
      <c r="O32" s="707"/>
      <c r="P32" s="707"/>
      <c r="Q32" s="707"/>
      <c r="R32" s="707"/>
      <c r="S32" s="707"/>
      <c r="T32" s="707"/>
      <c r="U32" s="707"/>
    </row>
    <row r="33" spans="1:21" ht="12" customHeight="1" thickBot="1">
      <c r="A33" s="837" t="s">
        <v>406</v>
      </c>
      <c r="B33" s="838"/>
      <c r="C33" s="838"/>
      <c r="D33" s="839">
        <f>SUM(D25:D32)</f>
        <v>5917175</v>
      </c>
      <c r="E33" s="839">
        <f>SUM(E25:E32)</f>
        <v>5913057</v>
      </c>
      <c r="F33" s="1774" t="str">
        <f>IF(SUM(E25:E32)=F001P200TotBudgFY,"","INVALID. The amount should equal the total budgeted amount reported on line 24, page 1.")</f>
        <v/>
      </c>
      <c r="G33" s="1774"/>
      <c r="H33" s="1774"/>
      <c r="I33" s="1774"/>
      <c r="J33" s="1774"/>
      <c r="K33" s="707"/>
      <c r="L33" s="840" t="str">
        <f>'Page 6'!O40</f>
        <v>9___ Self-Insurance</v>
      </c>
      <c r="M33" s="801">
        <f>F9__SelfInsCurrFY</f>
        <v>0</v>
      </c>
      <c r="N33" s="802">
        <f>F9__SelfInsBudgFY</f>
        <v>0</v>
      </c>
      <c r="O33" s="707"/>
      <c r="P33" s="707"/>
      <c r="Q33" s="707"/>
      <c r="R33" s="707"/>
      <c r="S33" s="707"/>
      <c r="T33" s="707"/>
      <c r="U33" s="707"/>
    </row>
    <row r="34" spans="1:21" ht="12" customHeight="1" thickTop="1">
      <c r="A34" s="707"/>
      <c r="B34" s="707"/>
      <c r="C34" s="707"/>
      <c r="D34" s="707"/>
      <c r="E34" s="707"/>
      <c r="F34" s="1774"/>
      <c r="G34" s="1774"/>
      <c r="H34" s="1774"/>
      <c r="I34" s="1774"/>
      <c r="J34" s="1774"/>
      <c r="K34" s="707"/>
      <c r="L34" s="819" t="s">
        <v>302</v>
      </c>
      <c r="M34" s="801">
        <f>F955CurrFY</f>
        <v>100000</v>
      </c>
      <c r="N34" s="802">
        <f>F955BudgFY</f>
        <v>90605</v>
      </c>
      <c r="O34" s="707"/>
      <c r="P34" s="707"/>
      <c r="Q34" s="707"/>
      <c r="R34" s="707"/>
      <c r="S34" s="707"/>
      <c r="T34" s="707"/>
      <c r="U34" s="707"/>
    </row>
    <row r="35" spans="1:21" ht="10.5" customHeight="1">
      <c r="A35" s="1769" t="s">
        <v>1005</v>
      </c>
      <c r="B35" s="1770"/>
      <c r="C35" s="1770"/>
      <c r="D35" s="1770"/>
      <c r="E35" s="1770"/>
      <c r="F35" s="1770"/>
      <c r="G35" s="1770"/>
      <c r="H35" s="1771"/>
      <c r="I35" s="707"/>
      <c r="J35" s="707"/>
      <c r="K35" s="707"/>
      <c r="L35" s="800" t="str">
        <f>'Page 6'!O42</f>
        <v>9__  OPEB</v>
      </c>
      <c r="M35" s="801">
        <f>F9__OPEBCurrFY</f>
        <v>0</v>
      </c>
      <c r="N35" s="802">
        <f>F9__OPEBBudgFY</f>
        <v>0</v>
      </c>
      <c r="O35" s="707"/>
      <c r="P35" s="707"/>
      <c r="Q35" s="707"/>
      <c r="R35" s="707"/>
      <c r="S35" s="707"/>
      <c r="T35" s="707"/>
      <c r="U35" s="707"/>
    </row>
    <row r="36" spans="1:21" ht="21" customHeight="1">
      <c r="A36" s="759" t="s">
        <v>407</v>
      </c>
      <c r="B36" s="760"/>
      <c r="C36" s="760"/>
      <c r="D36" s="841" t="s">
        <v>408</v>
      </c>
      <c r="E36" s="842" t="s">
        <v>409</v>
      </c>
      <c r="F36" s="843" t="s">
        <v>410</v>
      </c>
      <c r="G36" s="1758" t="s">
        <v>411</v>
      </c>
      <c r="H36" s="1759"/>
      <c r="I36" s="707"/>
      <c r="J36" s="707"/>
      <c r="K36" s="707"/>
      <c r="L36" s="840" t="str">
        <f>'Page 6'!O43</f>
        <v>9___   _900___________________</v>
      </c>
      <c r="M36" s="801">
        <f>F9__OtherCurrFY</f>
        <v>15000</v>
      </c>
      <c r="N36" s="802">
        <f>F9__OtherBudgFY</f>
        <v>38447</v>
      </c>
      <c r="O36" s="707"/>
      <c r="P36" s="707"/>
      <c r="Q36" s="707"/>
      <c r="R36" s="707"/>
      <c r="S36" s="707"/>
      <c r="T36" s="707"/>
      <c r="U36" s="707"/>
    </row>
    <row r="37" spans="1:21" ht="12" customHeight="1">
      <c r="A37" s="844" t="s">
        <v>412</v>
      </c>
      <c r="B37" s="714"/>
      <c r="C37" s="714"/>
      <c r="D37" s="826"/>
      <c r="E37" s="826"/>
      <c r="F37" s="714"/>
      <c r="G37" s="838"/>
      <c r="H37" s="845"/>
      <c r="I37" s="707"/>
      <c r="J37" s="707"/>
      <c r="K37" s="707"/>
      <c r="L37" s="846" t="s">
        <v>413</v>
      </c>
      <c r="M37" s="847">
        <f>SUM(M5:M36)</f>
        <v>14460160</v>
      </c>
      <c r="N37" s="802">
        <f>SUM(N5:N36)</f>
        <v>17049648</v>
      </c>
      <c r="O37" s="707"/>
      <c r="P37" s="707"/>
      <c r="Q37" s="707"/>
      <c r="R37" s="707"/>
      <c r="S37" s="707"/>
      <c r="T37" s="707"/>
      <c r="U37" s="707"/>
    </row>
    <row r="38" spans="1:21" ht="12" customHeight="1">
      <c r="A38" s="828" t="s">
        <v>1006</v>
      </c>
      <c r="B38" s="713"/>
      <c r="C38" s="713"/>
      <c r="D38" s="68">
        <v>0</v>
      </c>
      <c r="E38" s="68">
        <v>13</v>
      </c>
      <c r="F38" s="848">
        <f>D38+E38</f>
        <v>13</v>
      </c>
      <c r="G38" s="849" t="s">
        <v>414</v>
      </c>
      <c r="H38" s="850">
        <f>IF(F38&gt;0,ROUND(BudgetYearADM/F38,1)," ")</f>
        <v>281.39999999999998</v>
      </c>
      <c r="I38" s="707"/>
      <c r="J38" s="707"/>
      <c r="K38" s="707"/>
      <c r="L38" s="707"/>
      <c r="M38" s="707"/>
      <c r="N38" s="733"/>
      <c r="O38" s="707"/>
      <c r="P38" s="707"/>
      <c r="Q38" s="707"/>
      <c r="R38" s="707"/>
      <c r="S38" s="707"/>
      <c r="T38" s="707"/>
      <c r="U38" s="707"/>
    </row>
    <row r="39" spans="1:21" ht="12" customHeight="1">
      <c r="A39" s="828" t="s">
        <v>415</v>
      </c>
      <c r="B39" s="713"/>
      <c r="C39" s="713"/>
      <c r="D39" s="69">
        <v>2</v>
      </c>
      <c r="E39" s="68">
        <v>205</v>
      </c>
      <c r="F39" s="848">
        <f>D39+E39</f>
        <v>207</v>
      </c>
      <c r="G39" s="852" t="s">
        <v>414</v>
      </c>
      <c r="H39" s="850">
        <f>IF(F39&gt;0,ROUND(BudgetYearADM/F39,1)," ")</f>
        <v>17.7</v>
      </c>
      <c r="I39" s="707"/>
      <c r="J39" s="707"/>
      <c r="K39" s="707"/>
      <c r="L39" s="707"/>
      <c r="M39" s="707"/>
      <c r="N39" s="707"/>
      <c r="O39" s="707"/>
      <c r="P39" s="707"/>
      <c r="Q39" s="707"/>
      <c r="R39" s="707"/>
      <c r="S39" s="707"/>
      <c r="T39" s="707"/>
      <c r="U39" s="707"/>
    </row>
    <row r="40" spans="1:21" ht="12" customHeight="1">
      <c r="A40" s="828" t="s">
        <v>108</v>
      </c>
      <c r="B40" s="713"/>
      <c r="C40" s="713"/>
      <c r="D40" s="69">
        <v>0</v>
      </c>
      <c r="E40" s="69">
        <v>43</v>
      </c>
      <c r="F40" s="848">
        <f>D40+E40</f>
        <v>43</v>
      </c>
      <c r="G40" s="852" t="s">
        <v>414</v>
      </c>
      <c r="H40" s="850">
        <f>IF(F40&gt;0,ROUND(BudgetYearADM/F40,1)," ")</f>
        <v>85.1</v>
      </c>
      <c r="I40" s="707"/>
      <c r="J40" s="707"/>
      <c r="K40" s="707"/>
      <c r="L40" s="707"/>
      <c r="M40" s="707"/>
      <c r="N40" s="707"/>
      <c r="O40" s="707"/>
      <c r="P40" s="707"/>
      <c r="Q40" s="707"/>
      <c r="R40" s="707"/>
      <c r="S40" s="707"/>
      <c r="T40" s="707"/>
      <c r="U40" s="707"/>
    </row>
    <row r="41" spans="1:21" ht="12" customHeight="1">
      <c r="A41" s="853"/>
      <c r="B41" s="829" t="s">
        <v>416</v>
      </c>
      <c r="C41" s="829"/>
      <c r="D41" s="851">
        <f>SUM(D38:D40)</f>
        <v>2</v>
      </c>
      <c r="E41" s="851">
        <f>SUM(E38:E40)</f>
        <v>261</v>
      </c>
      <c r="F41" s="848">
        <f>D41+E41</f>
        <v>263</v>
      </c>
      <c r="G41" s="852" t="s">
        <v>414</v>
      </c>
      <c r="H41" s="850">
        <f>IF(F41&gt;0,ROUND(BudgetYearADM/F41,1)," ")</f>
        <v>13.9</v>
      </c>
      <c r="I41" s="707"/>
      <c r="J41" s="707"/>
      <c r="K41" s="707"/>
      <c r="L41" s="707"/>
      <c r="M41" s="707"/>
      <c r="N41" s="707"/>
      <c r="O41" s="707"/>
      <c r="P41" s="707"/>
      <c r="Q41" s="707"/>
      <c r="R41" s="707"/>
      <c r="S41" s="707"/>
      <c r="T41" s="707"/>
      <c r="U41" s="707"/>
    </row>
    <row r="42" spans="1:21" ht="12" customHeight="1">
      <c r="A42" s="828" t="s">
        <v>417</v>
      </c>
      <c r="B42" s="714"/>
      <c r="C42" s="714"/>
      <c r="D42" s="854"/>
      <c r="E42" s="854"/>
      <c r="F42" s="783"/>
      <c r="G42" s="855"/>
      <c r="H42" s="850"/>
      <c r="I42" s="707"/>
      <c r="J42" s="707"/>
      <c r="K42" s="707"/>
      <c r="L42" s="707"/>
      <c r="M42" s="707"/>
      <c r="N42" s="707"/>
      <c r="O42" s="707"/>
      <c r="P42" s="707"/>
      <c r="Q42" s="707"/>
      <c r="R42" s="707"/>
      <c r="S42" s="707"/>
      <c r="T42" s="707"/>
      <c r="U42" s="707"/>
    </row>
    <row r="43" spans="1:21" ht="12" customHeight="1">
      <c r="A43" s="828" t="s">
        <v>1007</v>
      </c>
      <c r="B43" s="713"/>
      <c r="C43" s="713"/>
      <c r="D43" s="68">
        <v>0</v>
      </c>
      <c r="E43" s="68">
        <v>7</v>
      </c>
      <c r="F43" s="848">
        <f>D43+E43</f>
        <v>7</v>
      </c>
      <c r="G43" s="856" t="s">
        <v>414</v>
      </c>
      <c r="H43" s="850">
        <f>IF(F43&gt;0,ROUND(BudgetYearADM/F43,1)," ")</f>
        <v>522.6</v>
      </c>
      <c r="I43" s="707"/>
      <c r="J43" s="707"/>
      <c r="K43" s="707"/>
      <c r="L43" s="707"/>
      <c r="M43" s="707"/>
      <c r="N43" s="707"/>
      <c r="O43" s="707"/>
      <c r="P43" s="707"/>
      <c r="Q43" s="707"/>
      <c r="R43" s="707"/>
      <c r="S43" s="707"/>
      <c r="T43" s="707"/>
      <c r="U43" s="707"/>
    </row>
    <row r="44" spans="1:21">
      <c r="A44" s="828" t="s">
        <v>1008</v>
      </c>
      <c r="B44" s="713"/>
      <c r="C44" s="713"/>
      <c r="D44" s="69">
        <v>0</v>
      </c>
      <c r="E44" s="68">
        <v>65</v>
      </c>
      <c r="F44" s="848">
        <f>D44+E44</f>
        <v>65</v>
      </c>
      <c r="G44" s="852" t="s">
        <v>414</v>
      </c>
      <c r="H44" s="850">
        <f>IF(F44&gt;0,ROUND(BudgetYearADM/F44,1)," ")</f>
        <v>56.3</v>
      </c>
      <c r="I44" s="707"/>
      <c r="J44" s="707"/>
      <c r="K44" s="707"/>
      <c r="L44" s="707"/>
      <c r="M44" s="707"/>
      <c r="N44" s="707"/>
      <c r="O44" s="707"/>
      <c r="P44" s="707"/>
      <c r="Q44" s="707"/>
      <c r="R44" s="707"/>
      <c r="S44" s="707"/>
      <c r="T44" s="707"/>
      <c r="U44" s="707"/>
    </row>
    <row r="45" spans="1:21" ht="12" customHeight="1">
      <c r="A45" s="857" t="s">
        <v>108</v>
      </c>
      <c r="B45" s="713"/>
      <c r="C45" s="713"/>
      <c r="D45" s="69">
        <v>2</v>
      </c>
      <c r="E45" s="68">
        <v>98</v>
      </c>
      <c r="F45" s="848">
        <f>D45+E45</f>
        <v>100</v>
      </c>
      <c r="G45" s="852" t="s">
        <v>414</v>
      </c>
      <c r="H45" s="850">
        <f>IF(F45&gt;0,ROUND(BudgetYearADM/F45,1)," ")</f>
        <v>36.6</v>
      </c>
      <c r="I45" s="713"/>
      <c r="J45" s="783"/>
      <c r="K45" s="858"/>
      <c r="L45" s="707"/>
      <c r="M45" s="707"/>
      <c r="N45" s="707"/>
      <c r="O45" s="707"/>
      <c r="P45" s="707"/>
      <c r="Q45" s="707"/>
      <c r="R45" s="707"/>
      <c r="S45" s="707"/>
      <c r="T45" s="707"/>
      <c r="U45" s="707"/>
    </row>
    <row r="46" spans="1:21" ht="12" customHeight="1">
      <c r="A46" s="859"/>
      <c r="B46" s="829" t="s">
        <v>416</v>
      </c>
      <c r="C46" s="829"/>
      <c r="D46" s="851">
        <f>SUM(D43:D45)</f>
        <v>2</v>
      </c>
      <c r="E46" s="851">
        <f>SUM(E43:E45)</f>
        <v>170</v>
      </c>
      <c r="F46" s="848">
        <f>D46+E46</f>
        <v>172</v>
      </c>
      <c r="G46" s="852" t="s">
        <v>414</v>
      </c>
      <c r="H46" s="850">
        <f>IF(F46&gt;0,ROUND(BudgetYearADM/F46,1)," ")</f>
        <v>21.3</v>
      </c>
      <c r="I46" s="707"/>
      <c r="J46" s="707"/>
      <c r="K46" s="707"/>
      <c r="L46" s="707"/>
      <c r="M46" s="707"/>
      <c r="N46" s="707"/>
      <c r="O46" s="707"/>
      <c r="P46" s="707"/>
      <c r="Q46" s="707"/>
      <c r="R46" s="707"/>
      <c r="S46" s="707"/>
      <c r="T46" s="707"/>
      <c r="U46" s="707"/>
    </row>
    <row r="47" spans="1:21" ht="12" customHeight="1">
      <c r="A47" s="860"/>
      <c r="B47" s="855" t="s">
        <v>382</v>
      </c>
      <c r="C47" s="861"/>
      <c r="D47" s="851">
        <f>D41+D46</f>
        <v>4</v>
      </c>
      <c r="E47" s="851">
        <f>E41+E46</f>
        <v>431</v>
      </c>
      <c r="F47" s="848">
        <f>D47+E47</f>
        <v>435</v>
      </c>
      <c r="G47" s="852" t="s">
        <v>414</v>
      </c>
      <c r="H47" s="850">
        <f>IF(F47&gt;0,ROUND(BudgetYearADM/F47,1)," ")</f>
        <v>8.4</v>
      </c>
      <c r="I47" s="862"/>
      <c r="J47" s="713"/>
      <c r="K47" s="713"/>
      <c r="L47" s="863"/>
      <c r="M47" s="707"/>
      <c r="N47" s="707"/>
      <c r="O47" s="707"/>
      <c r="P47" s="707"/>
      <c r="Q47" s="707"/>
      <c r="R47" s="707"/>
      <c r="S47" s="707"/>
      <c r="T47" s="707"/>
      <c r="U47" s="707"/>
    </row>
    <row r="48" spans="1:21" ht="6.75" customHeight="1">
      <c r="A48" s="864"/>
      <c r="B48" s="783"/>
      <c r="C48" s="783"/>
      <c r="D48" s="725"/>
      <c r="E48" s="725"/>
      <c r="F48" s="865"/>
      <c r="G48" s="858"/>
      <c r="H48" s="866"/>
      <c r="I48" s="713"/>
      <c r="J48" s="713"/>
      <c r="K48" s="713"/>
      <c r="L48" s="707"/>
      <c r="M48" s="707"/>
      <c r="N48" s="707"/>
      <c r="O48" s="707"/>
      <c r="P48" s="707"/>
      <c r="Q48" s="707"/>
      <c r="R48" s="707"/>
      <c r="S48" s="707"/>
      <c r="T48" s="707"/>
      <c r="U48" s="707"/>
    </row>
    <row r="49" spans="1:21" ht="12" customHeight="1">
      <c r="A49" s="864" t="s">
        <v>1009</v>
      </c>
      <c r="B49" s="783"/>
      <c r="C49" s="783"/>
      <c r="D49" s="725"/>
      <c r="E49" s="725"/>
      <c r="F49" s="865"/>
      <c r="G49" s="858"/>
      <c r="H49" s="867"/>
      <c r="I49" s="713"/>
      <c r="J49" s="713"/>
      <c r="K49" s="713"/>
      <c r="L49" s="713"/>
      <c r="M49" s="707"/>
      <c r="N49" s="707"/>
      <c r="O49" s="707"/>
      <c r="P49" s="707"/>
      <c r="Q49" s="707"/>
      <c r="R49" s="707"/>
      <c r="S49" s="707"/>
      <c r="T49" s="707"/>
      <c r="U49" s="707"/>
    </row>
    <row r="50" spans="1:21" ht="10.5" customHeight="1">
      <c r="A50" s="864" t="s">
        <v>418</v>
      </c>
      <c r="B50" s="714"/>
      <c r="C50" s="714"/>
      <c r="D50" s="70">
        <v>0</v>
      </c>
      <c r="E50" s="71">
        <v>33</v>
      </c>
      <c r="F50" s="848">
        <f>D50+E50</f>
        <v>33</v>
      </c>
      <c r="G50" s="868" t="s">
        <v>419</v>
      </c>
      <c r="H50" s="1526">
        <f>IF(F50&gt;0,ROUND(BudgetYearADM/F50,1)," ")</f>
        <v>110.9</v>
      </c>
      <c r="I50" s="713"/>
      <c r="J50" s="713"/>
      <c r="K50" s="713"/>
      <c r="L50" s="713"/>
      <c r="M50" s="707"/>
      <c r="N50" s="707"/>
      <c r="O50" s="707"/>
      <c r="P50" s="707"/>
      <c r="Q50" s="707"/>
      <c r="R50" s="707"/>
      <c r="S50" s="707"/>
      <c r="T50" s="707"/>
      <c r="U50" s="707"/>
    </row>
    <row r="51" spans="1:21">
      <c r="A51" s="869" t="s">
        <v>420</v>
      </c>
      <c r="B51" s="870"/>
      <c r="C51" s="871"/>
      <c r="D51" s="70">
        <v>2</v>
      </c>
      <c r="E51" s="71">
        <v>41</v>
      </c>
      <c r="F51" s="848">
        <f>D51+E51</f>
        <v>43</v>
      </c>
      <c r="G51" s="868" t="s">
        <v>419</v>
      </c>
      <c r="H51" s="1526">
        <f>IF(F51&gt;0,ROUND(BudgetYearADM/F51,1)," ")</f>
        <v>85.1</v>
      </c>
      <c r="I51" s="782"/>
      <c r="J51" s="782"/>
      <c r="K51" s="782"/>
      <c r="L51" s="713"/>
      <c r="M51" s="707"/>
      <c r="N51" s="707"/>
      <c r="O51" s="707"/>
      <c r="P51" s="707"/>
      <c r="Q51" s="707"/>
      <c r="R51" s="707"/>
      <c r="S51" s="707"/>
      <c r="T51" s="707"/>
      <c r="U51" s="707"/>
    </row>
    <row r="52" spans="1:21">
      <c r="A52" s="707"/>
      <c r="B52" s="707"/>
      <c r="C52" s="707"/>
      <c r="D52" s="707"/>
      <c r="E52" s="707"/>
      <c r="F52" s="707"/>
      <c r="G52" s="707"/>
      <c r="H52" s="707"/>
      <c r="I52" s="707"/>
      <c r="J52" s="707"/>
      <c r="K52" s="713"/>
      <c r="L52" s="713"/>
      <c r="M52" s="707"/>
      <c r="N52" s="707"/>
      <c r="O52" s="707"/>
      <c r="P52" s="707"/>
      <c r="Q52" s="707"/>
      <c r="R52" s="707"/>
      <c r="S52" s="707"/>
      <c r="T52" s="707"/>
      <c r="U52" s="707"/>
    </row>
    <row r="53" spans="1:21">
      <c r="A53" s="707"/>
      <c r="B53" s="707"/>
      <c r="C53" s="707"/>
      <c r="D53" s="707"/>
      <c r="E53" s="707"/>
      <c r="F53" s="707"/>
      <c r="G53" s="707"/>
      <c r="H53" s="707"/>
      <c r="I53" s="707"/>
      <c r="J53" s="707"/>
      <c r="K53" s="713"/>
      <c r="L53" s="782"/>
      <c r="M53" s="707"/>
      <c r="N53" s="707"/>
      <c r="O53" s="707"/>
      <c r="P53" s="707"/>
      <c r="Q53" s="707"/>
      <c r="R53" s="707"/>
      <c r="S53" s="707"/>
      <c r="T53" s="707"/>
      <c r="U53" s="707"/>
    </row>
    <row r="54" spans="1:21">
      <c r="A54" s="707"/>
      <c r="B54" s="707"/>
      <c r="C54" s="707"/>
      <c r="D54" s="707"/>
      <c r="E54" s="707"/>
      <c r="F54" s="707"/>
      <c r="G54" s="707"/>
      <c r="H54" s="707"/>
      <c r="I54" s="707"/>
      <c r="J54" s="707"/>
      <c r="K54" s="713"/>
      <c r="L54" s="707"/>
      <c r="M54" s="707"/>
      <c r="N54" s="707"/>
      <c r="O54" s="707"/>
      <c r="P54" s="707"/>
      <c r="Q54" s="707"/>
      <c r="R54" s="707"/>
      <c r="S54" s="707"/>
      <c r="T54" s="707"/>
      <c r="U54" s="707"/>
    </row>
    <row r="55" spans="1:21">
      <c r="A55" s="707"/>
      <c r="B55" s="707"/>
      <c r="C55" s="707"/>
      <c r="D55" s="707"/>
      <c r="E55" s="707"/>
      <c r="F55" s="707"/>
      <c r="G55" s="707"/>
      <c r="H55" s="707"/>
      <c r="I55" s="707"/>
      <c r="J55" s="707"/>
      <c r="K55" s="865"/>
      <c r="L55" s="707"/>
      <c r="M55" s="707"/>
      <c r="N55" s="707"/>
      <c r="O55" s="707"/>
      <c r="P55" s="707"/>
      <c r="Q55" s="707"/>
      <c r="R55" s="707"/>
      <c r="S55" s="707"/>
      <c r="T55" s="707"/>
      <c r="U55" s="707"/>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3"/>
  <sheetViews>
    <sheetView showGridLines="0" workbookViewId="0"/>
  </sheetViews>
  <sheetFormatPr defaultColWidth="8.88671875" defaultRowHeight="14.25"/>
  <cols>
    <col min="1" max="1" width="4" style="167" customWidth="1"/>
    <col min="2" max="2" width="1.5546875" style="167" customWidth="1"/>
    <col min="3" max="3" width="1.88671875" style="167" customWidth="1"/>
    <col min="4" max="4" width="7.5546875" style="167" customWidth="1"/>
    <col min="5" max="5" width="27.44140625" style="167" customWidth="1"/>
    <col min="6" max="6" width="1.44140625" style="167" customWidth="1"/>
    <col min="7" max="7" width="12" style="167" customWidth="1"/>
    <col min="8" max="8" width="2.88671875" style="167" customWidth="1"/>
    <col min="9" max="9" width="10" style="167" customWidth="1"/>
    <col min="10" max="10" width="3" style="167" customWidth="1"/>
    <col min="11" max="11" width="2.88671875" style="167" customWidth="1"/>
    <col min="12" max="12" width="10" style="167" customWidth="1"/>
    <col min="13" max="13" width="3.88671875" style="167" customWidth="1"/>
    <col min="14" max="14" width="6.44140625" style="167" customWidth="1"/>
    <col min="15" max="18" width="8.88671875" style="167" customWidth="1"/>
    <col min="19" max="16384" width="8.88671875" style="167"/>
  </cols>
  <sheetData>
    <row r="1" spans="1:15" ht="15" customHeight="1">
      <c r="A1" s="1288" t="s">
        <v>928</v>
      </c>
      <c r="B1" s="108"/>
      <c r="C1" s="100"/>
      <c r="E1" s="1775" t="str">
        <f>DistrictName</f>
        <v xml:space="preserve">Prescott Unified </v>
      </c>
      <c r="F1" s="1775"/>
      <c r="G1" s="1775"/>
      <c r="H1" s="108"/>
      <c r="I1" s="1594" t="s">
        <v>944</v>
      </c>
      <c r="J1" s="1776"/>
      <c r="K1" s="1776"/>
      <c r="L1" s="103" t="str">
        <f>Cover!S1</f>
        <v>130201000</v>
      </c>
      <c r="M1" s="100"/>
      <c r="O1" s="151"/>
    </row>
    <row r="2" spans="1:15" ht="14.25" customHeight="1">
      <c r="A2" s="100"/>
      <c r="B2" s="100"/>
      <c r="C2" s="106"/>
      <c r="D2" s="106"/>
      <c r="E2" s="107"/>
      <c r="F2" s="107"/>
      <c r="G2" s="107"/>
      <c r="H2" s="107"/>
      <c r="I2" s="106"/>
      <c r="J2" s="3"/>
      <c r="K2" s="1285" t="s">
        <v>9</v>
      </c>
      <c r="L2" s="872" t="str">
        <f>Cover!C8</f>
        <v>Adopted</v>
      </c>
      <c r="M2" s="100"/>
      <c r="N2" s="163"/>
      <c r="O2" s="151"/>
    </row>
    <row r="3" spans="1:15" ht="15">
      <c r="A3" s="873" t="str">
        <f>_xlfn.CONCAT("FY ",Cover!E3," Truth in Taxation Work Sheet (A.R.S. Section 15-905.01)")</f>
        <v>FY 2025 Truth in Taxation Work Sheet (A.R.S. Section 15-905.01)</v>
      </c>
      <c r="B3" s="111"/>
      <c r="C3" s="111"/>
      <c r="D3" s="111"/>
      <c r="E3" s="111"/>
      <c r="F3" s="111"/>
      <c r="G3" s="111"/>
      <c r="H3" s="111"/>
      <c r="I3" s="111"/>
      <c r="J3" s="111"/>
      <c r="K3" s="111"/>
      <c r="L3" s="111"/>
      <c r="M3" s="111"/>
      <c r="N3" s="168"/>
    </row>
    <row r="4" spans="1:15" ht="8.25" customHeight="1">
      <c r="A4" s="873"/>
      <c r="B4" s="111"/>
      <c r="C4" s="111"/>
      <c r="D4" s="111"/>
      <c r="E4" s="111"/>
      <c r="F4" s="111"/>
      <c r="G4" s="111"/>
      <c r="H4" s="111"/>
      <c r="I4" s="111"/>
      <c r="J4" s="111"/>
      <c r="K4" s="111"/>
      <c r="L4" s="111"/>
      <c r="M4" s="111"/>
      <c r="N4" s="168"/>
    </row>
    <row r="5" spans="1:15" ht="13.5" customHeight="1">
      <c r="A5" s="210" t="s">
        <v>1</v>
      </c>
      <c r="B5" s="111"/>
      <c r="C5" s="1547" t="str">
        <f>_xlfn.CONCAT("FY ",Cover!E3," Truth in Taxation Base Limit (from FY ",PriorFiscalYear," TNT work sheet, line 3 + line 11)")</f>
        <v>FY 2025 Truth in Taxation Base Limit (from FY 2024 TNT work sheet, line 3 + line 11)</v>
      </c>
      <c r="D5" s="1547"/>
      <c r="E5" s="1547"/>
      <c r="F5" s="1547"/>
      <c r="G5" s="1547"/>
      <c r="H5" s="106" t="s">
        <v>316</v>
      </c>
      <c r="I5" s="613">
        <f t="array" ref="I5">[1]!AdjTNTBaseLimit+[1]!ExcessTNTLimit</f>
        <v>0</v>
      </c>
      <c r="J5" s="111"/>
      <c r="K5" s="111"/>
      <c r="L5" s="111"/>
      <c r="M5" s="111"/>
      <c r="N5" s="168"/>
    </row>
    <row r="6" spans="1:15" ht="12" customHeight="1">
      <c r="A6" s="210" t="s">
        <v>2</v>
      </c>
      <c r="B6" s="111"/>
      <c r="C6" s="100" t="s">
        <v>421</v>
      </c>
      <c r="D6" s="100"/>
      <c r="E6" s="100"/>
      <c r="F6" s="1784" t="str">
        <f>IF(SUM(I11:I14)=0,IF(I7&gt;0,"No budget on lines 4 -7 below. Click here for Instructions",""),"")</f>
        <v/>
      </c>
      <c r="G6" s="1784"/>
      <c r="H6" s="106"/>
      <c r="I6" s="17"/>
      <c r="J6" s="111"/>
      <c r="K6" s="111"/>
      <c r="L6" s="111"/>
      <c r="M6" s="111"/>
      <c r="N6" s="168"/>
    </row>
    <row r="7" spans="1:15" ht="14.25" customHeight="1" thickBot="1">
      <c r="A7" s="205" t="s">
        <v>14</v>
      </c>
      <c r="B7" s="111"/>
      <c r="C7" s="100" t="str">
        <f>_xlfn.CONCAT("Adjusted FY ",Cover!E3," TNT Base Limit")</f>
        <v>Adjusted FY 2025 TNT Base Limit</v>
      </c>
      <c r="D7" s="100"/>
      <c r="E7" s="100"/>
      <c r="F7" s="1784"/>
      <c r="G7" s="1784"/>
      <c r="H7" s="106" t="s">
        <v>316</v>
      </c>
      <c r="I7" s="874">
        <f>I5-I6</f>
        <v>0</v>
      </c>
      <c r="J7" s="111"/>
      <c r="K7" s="111"/>
      <c r="L7" s="111"/>
      <c r="M7" s="111"/>
      <c r="N7" s="168"/>
    </row>
    <row r="8" spans="1:15" ht="13.5" customHeight="1" thickTop="1">
      <c r="A8" s="205"/>
      <c r="B8" s="100"/>
      <c r="C8" s="618"/>
      <c r="D8" s="618"/>
      <c r="E8" s="618"/>
      <c r="F8" s="1784"/>
      <c r="G8" s="1784"/>
      <c r="H8" s="106"/>
      <c r="I8" s="213"/>
      <c r="J8" s="100"/>
      <c r="K8" s="1780" t="s">
        <v>1010</v>
      </c>
      <c r="L8" s="1780"/>
      <c r="M8" s="1780"/>
      <c r="N8" s="875"/>
    </row>
    <row r="9" spans="1:15" ht="13.5" customHeight="1">
      <c r="A9" s="124" t="str">
        <f>_xlfn.CONCAT("FY ",Cover!E3," Budgeted Expenditures")</f>
        <v>FY 2025 Budgeted Expenditures</v>
      </c>
      <c r="B9" s="100"/>
      <c r="D9" s="124"/>
      <c r="E9" s="100"/>
      <c r="F9" s="100"/>
      <c r="G9" s="100"/>
      <c r="H9" s="100"/>
      <c r="I9" s="213"/>
      <c r="J9" s="873"/>
      <c r="K9" s="1780"/>
      <c r="L9" s="1780"/>
      <c r="M9" s="1780"/>
      <c r="N9" s="875"/>
    </row>
    <row r="10" spans="1:15" ht="7.5" customHeight="1">
      <c r="A10" s="106"/>
      <c r="B10" s="100"/>
      <c r="C10" s="100"/>
      <c r="D10" s="100"/>
      <c r="E10" s="100"/>
      <c r="F10" s="100"/>
      <c r="G10" s="100"/>
      <c r="H10" s="100"/>
      <c r="I10" s="213"/>
      <c r="J10" s="873"/>
      <c r="K10" s="1780"/>
      <c r="L10" s="1780"/>
      <c r="M10" s="1780"/>
      <c r="N10" s="875"/>
    </row>
    <row r="11" spans="1:15" ht="13.5" customHeight="1">
      <c r="A11" s="876" t="s">
        <v>33</v>
      </c>
      <c r="B11" s="100"/>
      <c r="C11" s="1781" t="s">
        <v>422</v>
      </c>
      <c r="D11" s="1781"/>
      <c r="E11" s="1781"/>
      <c r="F11" s="129"/>
      <c r="G11" s="129"/>
      <c r="H11" s="106" t="s">
        <v>316</v>
      </c>
      <c r="I11" s="613">
        <v>0</v>
      </c>
      <c r="J11" s="100"/>
      <c r="K11" s="106"/>
      <c r="L11" s="877" t="str">
        <f>IF(ISERROR(I11/$I$35),"",I11/$I$35)</f>
        <v/>
      </c>
      <c r="M11" s="100"/>
      <c r="N11" s="168"/>
    </row>
    <row r="12" spans="1:15" ht="13.5" customHeight="1">
      <c r="A12" s="419" t="s">
        <v>123</v>
      </c>
      <c r="B12" s="100"/>
      <c r="C12" s="100" t="s">
        <v>1011</v>
      </c>
      <c r="D12" s="100"/>
      <c r="E12" s="100"/>
      <c r="F12" s="100"/>
      <c r="G12" s="100"/>
      <c r="H12" s="106"/>
      <c r="I12" s="436">
        <f>F001P530</f>
        <v>0</v>
      </c>
      <c r="J12" s="100"/>
      <c r="K12" s="106"/>
      <c r="L12" s="877" t="str">
        <f>IF(ISERROR(I12/$I$35),"",I12/$I$35)</f>
        <v/>
      </c>
      <c r="M12" s="100"/>
      <c r="N12" s="168"/>
    </row>
    <row r="13" spans="1:15" ht="13.5" customHeight="1">
      <c r="A13" s="419" t="s">
        <v>124</v>
      </c>
      <c r="B13" s="100"/>
      <c r="C13" s="1692" t="s">
        <v>423</v>
      </c>
      <c r="D13" s="1692"/>
      <c r="E13" s="1692"/>
      <c r="F13" s="1692"/>
      <c r="G13" s="1692"/>
      <c r="H13" s="106"/>
      <c r="I13" s="613">
        <v>0</v>
      </c>
      <c r="J13" s="100"/>
      <c r="K13" s="106"/>
      <c r="L13" s="877" t="str">
        <f>IF(ISERROR(I13/$I$35),"",I13/$I$35)</f>
        <v/>
      </c>
      <c r="M13" s="100"/>
      <c r="N13" s="168"/>
    </row>
    <row r="14" spans="1:15" ht="13.5" customHeight="1">
      <c r="A14" s="419" t="s">
        <v>125</v>
      </c>
      <c r="B14" s="100"/>
      <c r="C14" s="100" t="s">
        <v>1012</v>
      </c>
      <c r="D14" s="100"/>
      <c r="E14" s="100"/>
      <c r="F14" s="100"/>
      <c r="G14" s="100"/>
      <c r="H14" s="106" t="s">
        <v>316</v>
      </c>
      <c r="I14" s="613">
        <f>SSA_MO+SSA_UCO</f>
        <v>0</v>
      </c>
      <c r="J14" s="100"/>
      <c r="K14" s="106"/>
      <c r="L14" s="877" t="str">
        <f>IF(ISERROR(I14/$I$35),"",I14/$I$35)</f>
        <v/>
      </c>
      <c r="M14" s="100"/>
      <c r="N14" s="168"/>
    </row>
    <row r="15" spans="1:15" ht="15.75" customHeight="1">
      <c r="A15" s="124" t="str">
        <f>_xlfn.CONCAT("Adjustments for FY ",PriorFiscalYear," Expenditures")</f>
        <v>Adjustments for FY 2024 Expenditures</v>
      </c>
      <c r="B15" s="100"/>
      <c r="D15" s="100"/>
      <c r="E15" s="100"/>
      <c r="F15" s="100"/>
      <c r="G15" s="100"/>
      <c r="H15" s="106"/>
      <c r="I15" s="615"/>
      <c r="J15" s="100"/>
      <c r="K15" s="106"/>
      <c r="L15" s="116"/>
      <c r="M15" s="100"/>
      <c r="N15" s="168"/>
    </row>
    <row r="16" spans="1:15" ht="24" customHeight="1">
      <c r="A16" s="876" t="s">
        <v>127</v>
      </c>
      <c r="B16" s="100"/>
      <c r="C16" s="1782" t="s">
        <v>1013</v>
      </c>
      <c r="D16" s="1782"/>
      <c r="E16" s="1782"/>
      <c r="F16" s="1782"/>
      <c r="G16" s="1782"/>
      <c r="H16" s="106"/>
      <c r="I16" s="373"/>
      <c r="J16" s="100"/>
      <c r="K16" s="106"/>
      <c r="L16" s="116"/>
      <c r="M16" s="100"/>
      <c r="N16" s="168"/>
    </row>
    <row r="17" spans="1:14" ht="13.5" customHeight="1">
      <c r="A17" s="876"/>
      <c r="B17" s="100"/>
      <c r="C17" s="879" t="s">
        <v>424</v>
      </c>
      <c r="D17" s="127" t="str">
        <f>_xlfn.CONCAT("FY ",PriorFiscalYear," Total actual expenditures for programs above")</f>
        <v>FY 2024 Total actual expenditures for programs above</v>
      </c>
      <c r="E17" s="880"/>
      <c r="F17" s="880" t="s">
        <v>316</v>
      </c>
      <c r="G17" s="29"/>
      <c r="H17" s="106"/>
      <c r="I17" s="373"/>
      <c r="J17" s="100"/>
      <c r="K17" s="106"/>
    </row>
    <row r="18" spans="1:14" ht="25.5" customHeight="1">
      <c r="A18" s="876"/>
      <c r="B18" s="100"/>
      <c r="C18" s="127" t="s">
        <v>425</v>
      </c>
      <c r="D18" s="1618" t="str">
        <f>_xlfn.CONCAT("Sum of FY ",PriorFiscalYear," original budget amounts for programs above (from FY ",PriorFiscalYear," TNT work sheet, sum of lines 4, 5, and 6)")</f>
        <v>Sum of FY 2024 original budget amounts for programs above (from FY 2024 TNT work sheet, sum of lines 4, 5, and 6)</v>
      </c>
      <c r="E18" s="1618"/>
      <c r="F18" s="431"/>
      <c r="G18" s="613">
        <f>SUM('[1]Truth in Tax'!$I$11:$I$13)</f>
        <v>0</v>
      </c>
      <c r="H18" s="106"/>
      <c r="I18" s="373"/>
      <c r="J18" s="100"/>
      <c r="K18" s="106"/>
      <c r="L18" s="116"/>
      <c r="M18" s="100"/>
      <c r="N18" s="168"/>
    </row>
    <row r="19" spans="1:14" ht="13.5" customHeight="1">
      <c r="A19" s="419"/>
      <c r="B19" s="100"/>
      <c r="C19" s="127" t="s">
        <v>426</v>
      </c>
      <c r="D19" s="1783" t="s">
        <v>427</v>
      </c>
      <c r="E19" s="1783"/>
      <c r="F19" s="1783"/>
      <c r="G19" s="1783"/>
      <c r="H19" s="106" t="s">
        <v>316</v>
      </c>
      <c r="I19" s="613">
        <f>IF(G17&lt;&gt;0,G17-G18,0)</f>
        <v>0</v>
      </c>
      <c r="J19" s="100"/>
      <c r="K19" s="106"/>
    </row>
    <row r="20" spans="1:14" ht="13.5" customHeight="1">
      <c r="A20" s="419" t="s">
        <v>128</v>
      </c>
      <c r="B20" s="100"/>
      <c r="C20" s="100" t="s">
        <v>1014</v>
      </c>
      <c r="D20" s="107"/>
      <c r="E20" s="107"/>
      <c r="F20" s="107"/>
      <c r="G20" s="107"/>
      <c r="H20" s="106"/>
      <c r="I20" s="615"/>
      <c r="J20" s="100"/>
      <c r="K20" s="106"/>
    </row>
    <row r="21" spans="1:14" ht="13.5" customHeight="1">
      <c r="A21" s="419"/>
      <c r="B21" s="100"/>
      <c r="C21" s="100" t="s">
        <v>424</v>
      </c>
      <c r="D21" s="100" t="str">
        <f>_xlfn.CONCAT("FY ",PriorFiscalYear," final budget for small school adjustment")</f>
        <v>FY 2024 final budget for small school adjustment</v>
      </c>
      <c r="E21" s="106"/>
      <c r="F21" s="106" t="s">
        <v>316</v>
      </c>
      <c r="G21" s="29"/>
      <c r="H21" s="106"/>
      <c r="I21" s="373"/>
      <c r="J21" s="100"/>
      <c r="K21" s="106"/>
      <c r="L21" s="100"/>
      <c r="M21" s="100"/>
      <c r="N21" s="168"/>
    </row>
    <row r="22" spans="1:14" ht="24" customHeight="1">
      <c r="A22" s="876"/>
      <c r="B22" s="100"/>
      <c r="C22" s="127" t="s">
        <v>425</v>
      </c>
      <c r="D22" s="1782" t="str">
        <f>_xlfn.CONCAT("FY ",PriorFiscalYear," original budget for small school adjustment (from FY ",PriorFiscalYear," TNT work sheet, line 7)")</f>
        <v>FY 2024 original budget for small school adjustment (from FY 2024 TNT work sheet, line 7)</v>
      </c>
      <c r="E22" s="1782"/>
      <c r="F22" s="216" t="s">
        <v>316</v>
      </c>
      <c r="G22" s="613">
        <f>'[1]Truth in Tax'!$I$14</f>
        <v>0</v>
      </c>
      <c r="H22" s="106"/>
      <c r="I22" s="373"/>
      <c r="J22" s="100"/>
      <c r="K22" s="106"/>
      <c r="L22" s="100"/>
      <c r="M22" s="100"/>
      <c r="N22" s="168"/>
    </row>
    <row r="23" spans="1:14" ht="25.5" customHeight="1">
      <c r="A23" s="419"/>
      <c r="B23" s="100"/>
      <c r="C23" s="127" t="s">
        <v>426</v>
      </c>
      <c r="D23" s="1782" t="s">
        <v>1015</v>
      </c>
      <c r="E23" s="1782"/>
      <c r="F23" s="216"/>
      <c r="G23" s="100"/>
      <c r="H23" s="106" t="s">
        <v>316</v>
      </c>
      <c r="I23" s="613">
        <f>IF(G21&lt;&gt;0,G21-G22,0)</f>
        <v>0</v>
      </c>
      <c r="J23" s="100"/>
      <c r="K23" s="106"/>
      <c r="L23" s="100"/>
      <c r="M23" s="100"/>
      <c r="N23" s="168"/>
    </row>
    <row r="24" spans="1:14" ht="13.5" customHeight="1" thickBot="1">
      <c r="A24" s="419" t="s">
        <v>129</v>
      </c>
      <c r="B24" s="100"/>
      <c r="C24" s="100" t="s">
        <v>428</v>
      </c>
      <c r="D24" s="100"/>
      <c r="E24" s="100"/>
      <c r="F24" s="100"/>
      <c r="G24" s="100"/>
      <c r="H24" s="106" t="s">
        <v>316</v>
      </c>
      <c r="I24" s="1282">
        <f>SUM(I11:I14)+I19+I23</f>
        <v>0</v>
      </c>
      <c r="J24" s="100"/>
      <c r="K24" s="100"/>
      <c r="L24" s="882"/>
      <c r="M24" s="100"/>
      <c r="N24" s="168"/>
    </row>
    <row r="25" spans="1:14" ht="13.5" customHeight="1" thickTop="1">
      <c r="A25" s="419" t="s">
        <v>130</v>
      </c>
      <c r="B25" s="100"/>
      <c r="C25" s="100" t="s">
        <v>429</v>
      </c>
      <c r="D25" s="100"/>
      <c r="E25" s="100"/>
      <c r="F25" s="100"/>
      <c r="G25" s="100"/>
      <c r="H25" s="100"/>
      <c r="I25" s="1281"/>
      <c r="J25" s="100"/>
      <c r="K25" s="100"/>
      <c r="L25" s="882"/>
      <c r="M25" s="100"/>
      <c r="N25" s="168"/>
    </row>
    <row r="26" spans="1:14" ht="13.5" customHeight="1" thickBot="1">
      <c r="A26" s="205"/>
      <c r="B26" s="100"/>
      <c r="C26" s="100" t="s">
        <v>430</v>
      </c>
      <c r="D26" s="100"/>
      <c r="E26" s="100"/>
      <c r="F26" s="100"/>
      <c r="G26" s="100"/>
      <c r="H26" s="106" t="s">
        <v>316</v>
      </c>
      <c r="I26" s="1388">
        <f>IF(I24-I7&gt;0,I24-I7,0)</f>
        <v>0</v>
      </c>
      <c r="J26" s="100"/>
      <c r="K26" s="100"/>
      <c r="L26" s="882"/>
      <c r="M26" s="100"/>
      <c r="N26" s="168"/>
    </row>
    <row r="27" spans="1:14" ht="7.5" customHeight="1" thickTop="1">
      <c r="A27" s="205"/>
      <c r="B27" s="100"/>
      <c r="C27" s="100"/>
      <c r="D27" s="100"/>
      <c r="E27" s="100"/>
      <c r="F27" s="100"/>
      <c r="G27" s="100"/>
      <c r="H27" s="100"/>
      <c r="I27" s="213"/>
      <c r="J27" s="100"/>
      <c r="K27" s="100"/>
      <c r="L27" s="882"/>
      <c r="M27" s="100"/>
      <c r="N27" s="168"/>
    </row>
    <row r="28" spans="1:14" ht="13.5" customHeight="1">
      <c r="A28" s="530" t="s">
        <v>131</v>
      </c>
      <c r="B28" s="100"/>
      <c r="C28" s="100" t="str">
        <f>_xlfn.CONCAT("Amount to be levied in FY ",Cover!E3," for Adjacent Way")</f>
        <v>Amount to be levied in FY 2025 for Adjacent Way</v>
      </c>
      <c r="D28" s="100"/>
      <c r="E28" s="100"/>
      <c r="F28" s="100"/>
      <c r="G28" s="100"/>
      <c r="H28" s="100"/>
      <c r="I28" s="213"/>
      <c r="J28" s="100"/>
      <c r="K28" s="100"/>
      <c r="L28" s="882"/>
      <c r="M28" s="100"/>
      <c r="N28" s="168"/>
    </row>
    <row r="29" spans="1:14" ht="12" customHeight="1">
      <c r="A29" s="106"/>
      <c r="B29" s="100"/>
      <c r="C29" s="100" t="s">
        <v>431</v>
      </c>
      <c r="D29" s="100"/>
      <c r="E29" s="100"/>
      <c r="F29" s="100"/>
      <c r="G29" s="100"/>
      <c r="H29" s="106" t="s">
        <v>316</v>
      </c>
      <c r="I29" s="881">
        <f>AdjWaysLevy</f>
        <v>0</v>
      </c>
      <c r="J29" s="100"/>
      <c r="K29" s="106"/>
      <c r="L29" s="877" t="str">
        <f>IF(ISERROR(I29/$I$35),"",I29/$I$35)</f>
        <v/>
      </c>
      <c r="M29" s="100"/>
      <c r="N29" s="168"/>
    </row>
    <row r="30" spans="1:14" ht="13.5" customHeight="1">
      <c r="A30" s="419" t="s">
        <v>132</v>
      </c>
      <c r="B30" s="100"/>
      <c r="C30" s="100" t="str">
        <f>_xlfn.CONCAT("Amount to be levied in FY ",Cover!E3," for liabilities in excess")</f>
        <v>Amount to be levied in FY 2025 for liabilities in excess</v>
      </c>
      <c r="D30" s="100"/>
      <c r="E30" s="100"/>
      <c r="F30" s="100"/>
      <c r="G30" s="100"/>
      <c r="H30" s="100"/>
      <c r="I30" s="373"/>
      <c r="J30" s="100"/>
      <c r="K30" s="100"/>
      <c r="L30" s="116"/>
      <c r="M30" s="100"/>
      <c r="N30" s="168"/>
    </row>
    <row r="31" spans="1:14" ht="12" customHeight="1">
      <c r="A31" s="100"/>
      <c r="B31" s="100"/>
      <c r="C31" s="100" t="s">
        <v>432</v>
      </c>
      <c r="D31" s="100"/>
      <c r="E31" s="100"/>
      <c r="F31" s="100"/>
      <c r="G31" s="100"/>
      <c r="H31" s="106" t="s">
        <v>316</v>
      </c>
      <c r="I31" s="29"/>
      <c r="J31" s="100"/>
      <c r="K31" s="106"/>
      <c r="L31" s="877" t="str">
        <f>IF(ISERROR(I31/$I$35),"",I31/$I$35)</f>
        <v/>
      </c>
      <c r="M31" s="100"/>
      <c r="N31" s="168"/>
    </row>
    <row r="32" spans="1:14" ht="5.25" customHeight="1">
      <c r="A32" s="100"/>
      <c r="B32" s="100"/>
      <c r="C32" s="100"/>
      <c r="D32" s="100"/>
      <c r="E32" s="100"/>
      <c r="F32" s="100"/>
      <c r="G32" s="100"/>
      <c r="H32" s="100"/>
      <c r="I32" s="100"/>
      <c r="J32" s="100"/>
      <c r="K32" s="100"/>
      <c r="L32" s="100"/>
      <c r="M32" s="100"/>
      <c r="N32" s="168"/>
    </row>
    <row r="33" spans="1:16" ht="13.5" customHeight="1">
      <c r="A33" s="124" t="s">
        <v>433</v>
      </c>
      <c r="B33" s="100"/>
      <c r="C33" s="100"/>
      <c r="D33" s="100"/>
      <c r="E33" s="100"/>
      <c r="F33" s="100"/>
      <c r="G33" s="100"/>
      <c r="H33" s="100"/>
      <c r="I33" s="100"/>
      <c r="J33" s="100"/>
      <c r="K33" s="100"/>
      <c r="L33" s="100"/>
      <c r="M33" s="100"/>
      <c r="N33" s="168"/>
    </row>
    <row r="34" spans="1:16" ht="13.5" customHeight="1">
      <c r="A34" s="106" t="s">
        <v>434</v>
      </c>
      <c r="C34" s="100" t="s">
        <v>435</v>
      </c>
      <c r="D34" s="149"/>
      <c r="E34" s="100"/>
      <c r="F34" s="100"/>
      <c r="G34" s="100"/>
      <c r="H34" s="106" t="s">
        <v>316</v>
      </c>
      <c r="I34" s="613">
        <f>I26+I29+I31</f>
        <v>0</v>
      </c>
      <c r="J34" s="883"/>
      <c r="K34" s="100"/>
      <c r="L34" s="100"/>
      <c r="M34" s="100"/>
      <c r="N34" s="168"/>
    </row>
    <row r="35" spans="1:16" ht="13.5" customHeight="1">
      <c r="A35" s="106" t="s">
        <v>436</v>
      </c>
      <c r="C35" s="100" t="s">
        <v>1016</v>
      </c>
      <c r="D35" s="149"/>
      <c r="E35" s="100"/>
      <c r="F35" s="100"/>
      <c r="G35" s="100"/>
      <c r="H35" s="106" t="s">
        <v>316</v>
      </c>
      <c r="I35" s="19"/>
      <c r="J35" s="415"/>
      <c r="K35" s="100"/>
      <c r="L35" s="100"/>
      <c r="M35" s="100"/>
      <c r="N35" s="168"/>
    </row>
    <row r="36" spans="1:16" ht="13.5" customHeight="1">
      <c r="A36" s="106" t="s">
        <v>437</v>
      </c>
      <c r="C36" s="100" t="s">
        <v>438</v>
      </c>
      <c r="D36" s="149"/>
      <c r="E36" s="100"/>
      <c r="F36" s="100"/>
      <c r="G36" s="100"/>
      <c r="H36" s="106" t="s">
        <v>316</v>
      </c>
      <c r="I36" s="884" t="str">
        <f>IF(I35&gt;0,ROUND((I7/I35)*10000,4)," ")</f>
        <v xml:space="preserve"> </v>
      </c>
      <c r="J36" s="883" t="s">
        <v>306</v>
      </c>
      <c r="K36" s="100"/>
      <c r="L36" s="100"/>
      <c r="M36" s="100"/>
      <c r="N36" s="168"/>
    </row>
    <row r="37" spans="1:16" ht="13.5" customHeight="1">
      <c r="A37" s="106" t="s">
        <v>439</v>
      </c>
      <c r="C37" s="100" t="s">
        <v>440</v>
      </c>
      <c r="D37" s="149"/>
      <c r="E37" s="100"/>
      <c r="F37" s="100"/>
      <c r="G37" s="100"/>
      <c r="H37" s="106" t="s">
        <v>316</v>
      </c>
      <c r="I37" s="436">
        <f>I7+I26+I29+I31</f>
        <v>0</v>
      </c>
      <c r="J37" s="415"/>
      <c r="K37" s="100"/>
      <c r="L37" s="100"/>
      <c r="M37" s="100"/>
      <c r="N37" s="151"/>
      <c r="O37" s="151"/>
      <c r="P37" s="151"/>
    </row>
    <row r="38" spans="1:16" ht="13.5" customHeight="1">
      <c r="A38" s="106" t="s">
        <v>441</v>
      </c>
      <c r="C38" s="100" t="s">
        <v>442</v>
      </c>
      <c r="D38" s="149"/>
      <c r="E38" s="100"/>
      <c r="F38" s="100"/>
      <c r="G38" s="100"/>
      <c r="H38" s="106" t="s">
        <v>316</v>
      </c>
      <c r="I38" s="884" t="str">
        <f>IF(I35&gt;0,ROUND((I37/I35)*10000,4)," ")</f>
        <v xml:space="preserve"> </v>
      </c>
      <c r="J38" s="883" t="s">
        <v>306</v>
      </c>
      <c r="K38" s="100"/>
      <c r="L38" s="100"/>
      <c r="M38" s="100"/>
      <c r="N38" s="151"/>
      <c r="O38" s="151"/>
      <c r="P38" s="151"/>
    </row>
    <row r="39" spans="1:16" ht="5.25" customHeight="1">
      <c r="A39" s="100"/>
      <c r="B39" s="100"/>
      <c r="C39" s="100"/>
      <c r="D39" s="100"/>
      <c r="E39" s="100"/>
      <c r="F39" s="100"/>
      <c r="G39" s="100"/>
      <c r="H39" s="100"/>
      <c r="I39" s="100"/>
      <c r="J39" s="100"/>
      <c r="K39" s="100"/>
      <c r="L39" s="100"/>
      <c r="M39" s="100"/>
      <c r="N39" s="168"/>
    </row>
    <row r="40" spans="1:16" ht="5.25" customHeight="1">
      <c r="A40" s="100"/>
      <c r="B40" s="100"/>
      <c r="C40" s="100"/>
      <c r="D40" s="100"/>
      <c r="E40" s="100"/>
      <c r="F40" s="100"/>
      <c r="G40" s="100"/>
      <c r="H40" s="100"/>
      <c r="I40" s="100"/>
      <c r="J40" s="100"/>
      <c r="K40" s="100"/>
      <c r="L40" s="100"/>
      <c r="M40" s="100"/>
      <c r="N40" s="168"/>
    </row>
    <row r="41" spans="1:16" ht="15" customHeight="1">
      <c r="A41" s="885" t="s">
        <v>304</v>
      </c>
      <c r="B41" s="127"/>
      <c r="C41" s="1777" t="s">
        <v>443</v>
      </c>
      <c r="D41" s="1777"/>
      <c r="E41" s="1777"/>
      <c r="F41" s="1777"/>
      <c r="G41" s="1777"/>
      <c r="H41" s="1777"/>
      <c r="I41" s="1777"/>
      <c r="J41" s="1777"/>
      <c r="K41" s="1777"/>
      <c r="L41" s="1777"/>
      <c r="M41" s="1779"/>
      <c r="N41"/>
    </row>
    <row r="42" spans="1:16" ht="9" customHeight="1">
      <c r="A42" s="100"/>
      <c r="B42" s="100"/>
      <c r="C42" s="1777"/>
      <c r="D42" s="1777"/>
      <c r="E42" s="1777"/>
      <c r="F42" s="1777"/>
      <c r="G42" s="1777"/>
      <c r="H42" s="1777"/>
      <c r="I42" s="1777"/>
      <c r="J42" s="1777"/>
      <c r="K42" s="1777"/>
      <c r="L42" s="1777"/>
      <c r="M42" s="1779"/>
      <c r="N42"/>
    </row>
    <row r="43" spans="1:16" ht="5.25" customHeight="1">
      <c r="A43" s="100"/>
      <c r="B43" s="100"/>
      <c r="C43" s="100"/>
      <c r="D43" s="100"/>
      <c r="E43" s="100"/>
      <c r="F43" s="100"/>
      <c r="G43" s="100"/>
      <c r="H43" s="100"/>
      <c r="I43" s="100"/>
      <c r="J43" s="100"/>
      <c r="K43" s="100"/>
      <c r="L43" s="100"/>
      <c r="M43" s="100"/>
    </row>
    <row r="44" spans="1:16" ht="14.25" customHeight="1">
      <c r="A44" s="885" t="s">
        <v>306</v>
      </c>
      <c r="B44" s="127"/>
      <c r="C44" s="1777" t="s">
        <v>444</v>
      </c>
      <c r="D44" s="1778"/>
      <c r="E44" s="1778"/>
      <c r="F44" s="1778"/>
      <c r="G44" s="1778"/>
      <c r="H44" s="1778"/>
      <c r="I44" s="1778"/>
      <c r="J44" s="1778"/>
      <c r="K44" s="1778"/>
      <c r="L44" s="1778"/>
      <c r="M44" s="1778"/>
    </row>
    <row r="45" spans="1:16" ht="9.75" customHeight="1">
      <c r="A45" s="100"/>
      <c r="B45" s="100"/>
      <c r="C45" s="1778"/>
      <c r="D45" s="1778"/>
      <c r="E45" s="1778"/>
      <c r="F45" s="1778"/>
      <c r="G45" s="1778"/>
      <c r="H45" s="1778"/>
      <c r="I45" s="1778"/>
      <c r="J45" s="1778"/>
      <c r="K45" s="1778"/>
      <c r="L45" s="1778"/>
      <c r="M45" s="1778"/>
    </row>
    <row r="46" spans="1:16" ht="5.25" customHeight="1">
      <c r="A46" s="100"/>
      <c r="B46" s="100"/>
      <c r="C46" s="100"/>
      <c r="D46" s="100"/>
      <c r="E46" s="100"/>
      <c r="F46" s="100"/>
      <c r="G46" s="100"/>
      <c r="H46" s="100"/>
      <c r="I46" s="100"/>
      <c r="J46" s="100"/>
      <c r="K46" s="100"/>
      <c r="L46" s="100"/>
      <c r="M46" s="100"/>
      <c r="N46" s="168"/>
    </row>
    <row r="47" spans="1:16" ht="15" customHeight="1">
      <c r="A47" s="885"/>
      <c r="B47" s="127"/>
      <c r="C47" s="1777"/>
      <c r="D47" s="1777"/>
      <c r="E47" s="1777"/>
      <c r="F47" s="1777"/>
      <c r="G47" s="1777"/>
      <c r="H47" s="1777"/>
      <c r="I47" s="1777"/>
      <c r="J47" s="1777"/>
      <c r="K47" s="1777"/>
      <c r="L47" s="1777"/>
      <c r="M47" s="1779"/>
      <c r="N47"/>
    </row>
    <row r="48" spans="1:16" ht="9" customHeight="1">
      <c r="A48" s="100"/>
      <c r="B48" s="100"/>
      <c r="C48" s="1777"/>
      <c r="D48" s="1777"/>
      <c r="E48" s="1777"/>
      <c r="F48" s="1777"/>
      <c r="G48" s="1777"/>
      <c r="H48" s="1777"/>
      <c r="I48" s="1777"/>
      <c r="J48" s="1777"/>
      <c r="K48" s="1777"/>
      <c r="L48" s="1777"/>
      <c r="M48" s="1779"/>
      <c r="N48"/>
    </row>
    <row r="49" spans="1:13" ht="5.25" customHeight="1">
      <c r="A49" s="100"/>
      <c r="B49" s="100"/>
      <c r="C49" s="100"/>
      <c r="D49" s="100"/>
      <c r="E49" s="100"/>
      <c r="F49" s="100"/>
      <c r="G49" s="100"/>
      <c r="H49" s="100"/>
      <c r="I49" s="100"/>
      <c r="J49" s="100"/>
      <c r="K49" s="100"/>
      <c r="L49" s="100"/>
      <c r="M49" s="100"/>
    </row>
    <row r="50" spans="1:13" ht="14.25" customHeight="1">
      <c r="A50" s="885"/>
      <c r="B50" s="127"/>
      <c r="C50" s="1777"/>
      <c r="D50" s="1778"/>
      <c r="E50" s="1778"/>
      <c r="F50" s="1778"/>
      <c r="G50" s="1778"/>
      <c r="H50" s="1778"/>
      <c r="I50" s="1778"/>
      <c r="J50" s="1778"/>
      <c r="K50" s="1778"/>
      <c r="L50" s="1778"/>
      <c r="M50" s="1778"/>
    </row>
    <row r="51" spans="1:13" ht="9.75" customHeight="1">
      <c r="A51" s="100"/>
      <c r="B51" s="100"/>
      <c r="C51" s="1778"/>
      <c r="D51" s="1778"/>
      <c r="E51" s="1778"/>
      <c r="F51" s="1778"/>
      <c r="G51" s="1778"/>
      <c r="H51" s="1778"/>
      <c r="I51" s="1778"/>
      <c r="J51" s="1778"/>
      <c r="K51" s="1778"/>
      <c r="L51" s="1778"/>
      <c r="M51" s="1778"/>
    </row>
    <row r="52" spans="1:13">
      <c r="A52" s="151"/>
      <c r="B52" s="151"/>
      <c r="C52" s="151"/>
      <c r="D52" s="151"/>
      <c r="E52" s="151"/>
      <c r="F52" s="151"/>
      <c r="G52" s="151"/>
      <c r="H52" s="151"/>
      <c r="I52" s="151"/>
      <c r="J52" s="151"/>
      <c r="K52" s="151"/>
      <c r="L52" s="151"/>
      <c r="M52" s="151"/>
    </row>
    <row r="53" spans="1:13">
      <c r="A53" s="151"/>
      <c r="B53" s="151"/>
      <c r="C53" s="151"/>
      <c r="D53" s="151"/>
      <c r="E53" s="151"/>
      <c r="F53" s="151"/>
      <c r="G53" s="151"/>
      <c r="H53" s="151"/>
      <c r="I53" s="151"/>
      <c r="J53" s="151"/>
      <c r="K53" s="151"/>
      <c r="L53" s="151"/>
      <c r="M53" s="151"/>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8"/>
  <sheetViews>
    <sheetView showGridLines="0" zoomScale="70" zoomScaleNormal="70" workbookViewId="0">
      <selection activeCell="B34" sqref="B34"/>
    </sheetView>
  </sheetViews>
  <sheetFormatPr defaultColWidth="9.109375" defaultRowHeight="12.75"/>
  <cols>
    <col min="1" max="1" width="2.109375" style="1401" customWidth="1"/>
    <col min="2" max="2" width="65.109375" style="1401" customWidth="1"/>
    <col min="3" max="3" width="15.109375" style="1401" customWidth="1"/>
    <col min="4" max="4" width="16.88671875" style="1401" customWidth="1"/>
    <col min="5" max="5" width="17.5546875" style="1401" customWidth="1"/>
    <col min="6" max="6" width="20" style="1401" customWidth="1"/>
    <col min="7" max="7" width="16.44140625" style="1401" customWidth="1"/>
    <col min="8" max="8" width="13.109375" style="1401" customWidth="1"/>
    <col min="9" max="9" width="12" style="1401" customWidth="1"/>
    <col min="10" max="10" width="13.6640625" style="1401" customWidth="1"/>
    <col min="11" max="11" width="14.109375" style="1401" customWidth="1"/>
    <col min="12" max="12" width="18.88671875" style="1401" customWidth="1"/>
    <col min="13" max="13" width="13.44140625" style="1401" customWidth="1"/>
    <col min="14" max="14" width="13.109375" style="1401" customWidth="1"/>
    <col min="15" max="15" width="11.109375" style="1401" customWidth="1"/>
    <col min="16" max="16" width="10.6640625" style="1401" customWidth="1"/>
    <col min="17" max="17" width="11.5546875" style="1401" customWidth="1"/>
    <col min="18" max="18" width="9.109375" style="1401" customWidth="1"/>
    <col min="19" max="16384" width="9.109375" style="1401"/>
  </cols>
  <sheetData>
    <row r="1" spans="1:62" s="1394" customFormat="1" ht="11.25" customHeight="1">
      <c r="B1" s="1395" t="s">
        <v>1094</v>
      </c>
      <c r="C1" s="1785" t="str">
        <f>DistrictName</f>
        <v xml:space="preserve">Prescott Unified </v>
      </c>
      <c r="D1" s="1785"/>
      <c r="E1" s="1430" t="s">
        <v>1095</v>
      </c>
      <c r="F1" s="1786" t="str">
        <f>Cover!S1</f>
        <v>130201000</v>
      </c>
      <c r="G1" s="1786"/>
      <c r="L1" s="1396"/>
      <c r="M1" s="1397"/>
      <c r="N1" s="1397"/>
      <c r="O1" s="1397"/>
      <c r="P1" s="1397"/>
      <c r="Q1" s="1397"/>
      <c r="R1" s="1397"/>
      <c r="S1" s="1397"/>
      <c r="T1" s="1397"/>
      <c r="U1" s="1397"/>
      <c r="V1" s="1397"/>
      <c r="W1" s="1397"/>
      <c r="X1" s="1397"/>
      <c r="Y1" s="1397"/>
      <c r="Z1" s="1397"/>
      <c r="AA1" s="1397"/>
      <c r="AB1" s="1397"/>
      <c r="AC1" s="1397"/>
      <c r="AD1" s="1397"/>
      <c r="AE1" s="1397"/>
      <c r="AF1" s="1397"/>
      <c r="AG1" s="1397"/>
      <c r="AH1" s="1397"/>
      <c r="AI1" s="1397"/>
      <c r="AJ1" s="1397"/>
      <c r="AK1" s="1397"/>
      <c r="AL1" s="1397"/>
      <c r="AM1" s="1397"/>
      <c r="AN1" s="1397"/>
      <c r="AO1" s="1397"/>
      <c r="AP1" s="1397"/>
      <c r="AQ1" s="1397"/>
      <c r="AR1" s="1397"/>
      <c r="AS1" s="1397"/>
      <c r="AT1" s="1397"/>
      <c r="AU1" s="1397"/>
      <c r="AV1" s="1397"/>
      <c r="AW1" s="1397"/>
      <c r="AX1" s="1397"/>
      <c r="AY1" s="1397"/>
      <c r="AZ1" s="1397"/>
      <c r="BA1" s="1397"/>
      <c r="BB1" s="1397"/>
      <c r="BC1" s="1397"/>
      <c r="BD1" s="1397"/>
      <c r="BE1" s="1397"/>
      <c r="BF1" s="1397"/>
      <c r="BG1" s="1397"/>
      <c r="BH1" s="1397"/>
      <c r="BI1" s="1397"/>
      <c r="BJ1" s="1397"/>
    </row>
    <row r="2" spans="1:62" s="1394" customFormat="1" ht="11.25" customHeight="1">
      <c r="C2" s="1398"/>
      <c r="D2" s="1398"/>
      <c r="E2" s="1398"/>
      <c r="F2" s="1399"/>
      <c r="G2" s="1400"/>
      <c r="L2" s="1396"/>
      <c r="M2" s="1397"/>
      <c r="N2" s="1397"/>
      <c r="O2" s="1397"/>
      <c r="P2" s="1397"/>
      <c r="Q2" s="1397"/>
      <c r="R2" s="1397"/>
      <c r="S2" s="1397"/>
      <c r="T2" s="1397"/>
      <c r="U2" s="1397"/>
      <c r="V2" s="1397"/>
      <c r="W2" s="1397"/>
      <c r="X2" s="1397"/>
      <c r="Y2" s="1397"/>
      <c r="Z2" s="1397"/>
      <c r="AA2" s="1397"/>
      <c r="AB2" s="1397"/>
      <c r="AC2" s="1397"/>
      <c r="AD2" s="1397"/>
      <c r="AE2" s="1397"/>
      <c r="AF2" s="1397"/>
      <c r="AG2" s="1397"/>
      <c r="AH2" s="1397"/>
      <c r="AI2" s="1397"/>
      <c r="AJ2" s="1397"/>
      <c r="AK2" s="1397"/>
      <c r="AL2" s="1397"/>
      <c r="AM2" s="1397"/>
      <c r="AN2" s="1397"/>
      <c r="AO2" s="1397"/>
      <c r="AP2" s="1397"/>
      <c r="AQ2" s="1397"/>
      <c r="AR2" s="1397"/>
      <c r="AS2" s="1397"/>
      <c r="AT2" s="1397"/>
      <c r="AU2" s="1397"/>
      <c r="AV2" s="1397"/>
      <c r="AW2" s="1397"/>
      <c r="AX2" s="1397"/>
      <c r="AY2" s="1397"/>
      <c r="AZ2" s="1397"/>
      <c r="BA2" s="1397"/>
      <c r="BB2" s="1397"/>
      <c r="BC2" s="1397"/>
      <c r="BD2" s="1397"/>
      <c r="BE2" s="1397"/>
      <c r="BF2" s="1397"/>
      <c r="BG2" s="1397"/>
      <c r="BH2" s="1397"/>
      <c r="BI2" s="1397"/>
      <c r="BJ2" s="1397"/>
    </row>
    <row r="3" spans="1:62" s="1394" customFormat="1" ht="16.5" customHeight="1">
      <c r="A3" s="1787" t="s">
        <v>1096</v>
      </c>
      <c r="B3" s="1787"/>
      <c r="C3" s="1787"/>
      <c r="D3" s="1787"/>
      <c r="E3" s="1787"/>
      <c r="F3" s="1787"/>
      <c r="G3" s="1787"/>
      <c r="H3" s="1787"/>
      <c r="I3" s="1787"/>
      <c r="L3" s="1396"/>
      <c r="M3" s="1397"/>
      <c r="N3" s="1397"/>
      <c r="O3" s="1397"/>
      <c r="P3" s="1397"/>
      <c r="Q3" s="1397"/>
      <c r="R3" s="1397"/>
      <c r="S3" s="1397"/>
      <c r="T3" s="1397"/>
      <c r="U3" s="1397"/>
      <c r="V3" s="1397"/>
      <c r="W3" s="1397"/>
      <c r="X3" s="1397"/>
      <c r="Y3" s="1397"/>
      <c r="Z3" s="1397"/>
      <c r="AA3" s="1397"/>
      <c r="AB3" s="1397"/>
      <c r="AC3" s="1397"/>
      <c r="AD3" s="1397"/>
      <c r="AE3" s="1397"/>
      <c r="AF3" s="1397"/>
      <c r="AG3" s="1397"/>
      <c r="AH3" s="1397"/>
      <c r="AI3" s="1397"/>
      <c r="AJ3" s="1397"/>
      <c r="AK3" s="1397"/>
      <c r="AL3" s="1397"/>
      <c r="AM3" s="1397"/>
      <c r="AN3" s="1397"/>
      <c r="AO3" s="1397"/>
      <c r="AP3" s="1397"/>
      <c r="AQ3" s="1397"/>
      <c r="AR3" s="1397"/>
      <c r="AS3" s="1397"/>
      <c r="AT3" s="1397"/>
      <c r="AU3" s="1397"/>
      <c r="AV3" s="1397"/>
      <c r="AW3" s="1397"/>
      <c r="AX3" s="1397"/>
      <c r="AY3" s="1397"/>
      <c r="AZ3" s="1397"/>
      <c r="BA3" s="1397"/>
      <c r="BB3" s="1397"/>
      <c r="BC3" s="1397"/>
      <c r="BD3" s="1397"/>
      <c r="BE3" s="1397"/>
      <c r="BF3" s="1397"/>
      <c r="BG3" s="1397"/>
      <c r="BH3" s="1397"/>
      <c r="BI3" s="1397"/>
      <c r="BJ3" s="1397"/>
    </row>
    <row r="4" spans="1:62" s="1394" customFormat="1" ht="11.25" customHeight="1">
      <c r="A4" s="1787"/>
      <c r="B4" s="1787"/>
      <c r="C4" s="1787"/>
      <c r="D4" s="1787"/>
      <c r="E4" s="1787"/>
      <c r="F4" s="1787"/>
      <c r="G4" s="1787"/>
      <c r="H4" s="1787"/>
      <c r="I4" s="1787"/>
      <c r="J4" s="1401"/>
      <c r="K4" s="1401"/>
      <c r="L4" s="1401"/>
      <c r="M4" s="1397"/>
      <c r="N4" s="1397"/>
      <c r="O4" s="1397"/>
      <c r="P4" s="1397"/>
      <c r="Q4" s="1397"/>
      <c r="R4" s="1397"/>
      <c r="S4" s="1397"/>
      <c r="T4" s="1397"/>
      <c r="U4" s="1397"/>
      <c r="V4" s="1397"/>
      <c r="W4" s="1397"/>
      <c r="X4" s="1397"/>
      <c r="Y4" s="1397"/>
      <c r="Z4" s="1397"/>
      <c r="AA4" s="1397"/>
      <c r="AB4" s="1397"/>
      <c r="AC4" s="1397"/>
      <c r="AD4" s="1397"/>
      <c r="AE4" s="1397"/>
      <c r="AF4" s="1397"/>
      <c r="AG4" s="1397"/>
      <c r="AH4" s="1397"/>
      <c r="AI4" s="1397"/>
      <c r="AJ4" s="1397"/>
      <c r="AK4" s="1397"/>
      <c r="AL4" s="1397"/>
      <c r="AM4" s="1397"/>
      <c r="AN4" s="1397"/>
      <c r="AO4" s="1397"/>
      <c r="AP4" s="1397"/>
      <c r="AQ4" s="1397"/>
      <c r="AR4" s="1397"/>
      <c r="AS4" s="1397"/>
      <c r="AT4" s="1397"/>
      <c r="AU4" s="1397"/>
      <c r="AV4" s="1397"/>
      <c r="AW4" s="1397"/>
      <c r="AX4" s="1397"/>
      <c r="AY4" s="1397"/>
      <c r="AZ4" s="1397"/>
      <c r="BA4" s="1397"/>
      <c r="BB4" s="1397"/>
      <c r="BC4" s="1397"/>
      <c r="BD4" s="1397"/>
      <c r="BE4" s="1397"/>
      <c r="BF4" s="1397"/>
      <c r="BG4" s="1397"/>
      <c r="BH4" s="1397"/>
      <c r="BI4" s="1397"/>
      <c r="BJ4" s="1397"/>
    </row>
    <row r="5" spans="1:62" s="1394" customFormat="1" ht="11.25" customHeight="1">
      <c r="A5" s="1787"/>
      <c r="B5" s="1787"/>
      <c r="C5" s="1787"/>
      <c r="D5" s="1787"/>
      <c r="E5" s="1787"/>
      <c r="F5" s="1787"/>
      <c r="G5" s="1787"/>
      <c r="H5" s="1787"/>
      <c r="I5" s="1787"/>
      <c r="J5" s="1401"/>
      <c r="K5" s="1401"/>
      <c r="L5" s="1401"/>
      <c r="M5" s="1397"/>
      <c r="N5" s="1397"/>
      <c r="O5" s="1397"/>
      <c r="P5" s="1397"/>
      <c r="Q5" s="1397"/>
      <c r="R5" s="1397"/>
      <c r="S5" s="1397"/>
      <c r="T5" s="1397"/>
      <c r="U5" s="1397"/>
      <c r="V5" s="1397"/>
      <c r="W5" s="1397"/>
      <c r="X5" s="1397"/>
      <c r="Y5" s="1397"/>
      <c r="Z5" s="1397"/>
      <c r="AA5" s="1397"/>
      <c r="AB5" s="1397"/>
      <c r="AC5" s="1397"/>
      <c r="AD5" s="1397"/>
      <c r="AE5" s="1397"/>
      <c r="AF5" s="1397"/>
      <c r="AG5" s="1397"/>
      <c r="AH5" s="1397"/>
      <c r="AI5" s="1397"/>
      <c r="AJ5" s="1397"/>
      <c r="AK5" s="1397"/>
      <c r="AL5" s="1397"/>
      <c r="AM5" s="1397"/>
      <c r="AN5" s="1397"/>
      <c r="AO5" s="1397"/>
      <c r="AP5" s="1397"/>
      <c r="AQ5" s="1397"/>
      <c r="AR5" s="1397"/>
      <c r="AS5" s="1397"/>
      <c r="AT5" s="1397"/>
      <c r="AU5" s="1397"/>
      <c r="AV5" s="1397"/>
      <c r="AW5" s="1397"/>
      <c r="AX5" s="1397"/>
      <c r="AY5" s="1397"/>
      <c r="AZ5" s="1397"/>
      <c r="BA5" s="1397"/>
      <c r="BB5" s="1397"/>
      <c r="BC5" s="1397"/>
      <c r="BD5" s="1397"/>
      <c r="BE5" s="1397"/>
      <c r="BF5" s="1397"/>
      <c r="BG5" s="1397"/>
      <c r="BH5" s="1397"/>
      <c r="BI5" s="1397"/>
      <c r="BJ5" s="1397"/>
    </row>
    <row r="6" spans="1:62" ht="15" customHeight="1">
      <c r="A6" s="1788"/>
      <c r="B6" s="1788"/>
      <c r="C6" s="1789" t="s">
        <v>1097</v>
      </c>
      <c r="D6" s="1790"/>
      <c r="E6" s="1790"/>
      <c r="F6" s="1790"/>
      <c r="G6" s="1790"/>
      <c r="H6" s="1790"/>
      <c r="I6" s="1790"/>
      <c r="J6" s="1790"/>
      <c r="K6" s="1790"/>
      <c r="L6" s="1790"/>
      <c r="M6" s="1790"/>
      <c r="N6" s="1790"/>
      <c r="O6" s="1790"/>
      <c r="P6" s="1790"/>
      <c r="Q6" s="1791"/>
    </row>
    <row r="7" spans="1:62" ht="28.5" customHeight="1">
      <c r="B7" s="1402"/>
      <c r="C7" s="1804" t="s">
        <v>689</v>
      </c>
      <c r="D7" s="1805"/>
      <c r="E7" s="1806"/>
      <c r="F7" s="1807" t="s">
        <v>1098</v>
      </c>
      <c r="G7" s="1805"/>
      <c r="H7" s="1805"/>
      <c r="I7" s="1806"/>
      <c r="J7" s="1807" t="s">
        <v>1099</v>
      </c>
      <c r="K7" s="1805"/>
      <c r="L7" s="1805"/>
      <c r="M7" s="1792" t="s">
        <v>1100</v>
      </c>
      <c r="N7" s="1792" t="s">
        <v>1101</v>
      </c>
      <c r="O7" s="1792" t="s">
        <v>1102</v>
      </c>
      <c r="P7" s="1808" t="s">
        <v>1103</v>
      </c>
      <c r="Q7" s="1792" t="s">
        <v>1104</v>
      </c>
    </row>
    <row r="8" spans="1:62" ht="58.5" customHeight="1">
      <c r="A8" s="1793" t="s">
        <v>1105</v>
      </c>
      <c r="B8" s="1793"/>
      <c r="C8" s="1403" t="s">
        <v>1106</v>
      </c>
      <c r="D8" s="1403" t="s">
        <v>1107</v>
      </c>
      <c r="E8" s="1403" t="s">
        <v>1108</v>
      </c>
      <c r="F8" s="1403" t="s">
        <v>1109</v>
      </c>
      <c r="G8" s="1404" t="s">
        <v>1110</v>
      </c>
      <c r="H8" s="1403" t="s">
        <v>1111</v>
      </c>
      <c r="I8" s="1403" t="s">
        <v>1112</v>
      </c>
      <c r="J8" s="1403" t="s">
        <v>1113</v>
      </c>
      <c r="K8" s="1403" t="s">
        <v>1114</v>
      </c>
      <c r="L8" s="1403" t="s">
        <v>1115</v>
      </c>
      <c r="M8" s="1792"/>
      <c r="N8" s="1792"/>
      <c r="O8" s="1792"/>
      <c r="P8" s="1809"/>
      <c r="Q8" s="1792"/>
      <c r="W8" s="1405" t="s">
        <v>696</v>
      </c>
    </row>
    <row r="9" spans="1:62" ht="7.5" customHeight="1">
      <c r="A9" s="1406"/>
      <c r="B9" s="1406"/>
      <c r="C9" s="1407"/>
      <c r="D9" s="1407"/>
      <c r="E9" s="1407"/>
      <c r="F9" s="1407"/>
      <c r="G9" s="1408"/>
      <c r="H9" s="1408"/>
      <c r="I9" s="1408"/>
      <c r="J9" s="1408"/>
      <c r="K9" s="1408"/>
      <c r="L9" s="1408"/>
      <c r="M9" s="1409"/>
      <c r="N9" s="1409"/>
      <c r="O9" s="1409"/>
      <c r="P9" s="1409"/>
      <c r="Q9" s="1409"/>
      <c r="W9" s="1405"/>
    </row>
    <row r="10" spans="1:62" ht="15" customHeight="1">
      <c r="A10" s="1410" t="s">
        <v>1</v>
      </c>
      <c r="B10" s="1459" t="s">
        <v>1159</v>
      </c>
      <c r="C10" s="1412">
        <v>7032601</v>
      </c>
      <c r="D10" s="1412">
        <v>2813356</v>
      </c>
      <c r="E10" s="1412">
        <v>4475404</v>
      </c>
      <c r="F10" s="1412">
        <v>0</v>
      </c>
      <c r="G10" s="1412">
        <v>0</v>
      </c>
      <c r="H10" s="1412">
        <v>45389</v>
      </c>
      <c r="I10" s="1412">
        <v>17505</v>
      </c>
      <c r="J10" s="1412">
        <v>548701</v>
      </c>
      <c r="K10" s="1412">
        <v>-1905971</v>
      </c>
      <c r="L10" s="1412">
        <v>3664706</v>
      </c>
      <c r="M10" s="1412">
        <v>177608</v>
      </c>
      <c r="N10" s="1412">
        <v>0</v>
      </c>
      <c r="O10" s="1412">
        <v>91741</v>
      </c>
      <c r="P10" s="1412">
        <v>0</v>
      </c>
      <c r="Q10" s="1413">
        <f>SUM(C10:P10)</f>
        <v>16961040</v>
      </c>
      <c r="W10" s="1405" t="s">
        <v>1116</v>
      </c>
    </row>
    <row r="11" spans="1:62" ht="15" customHeight="1">
      <c r="A11" s="1414"/>
      <c r="B11" s="1411" t="s">
        <v>1117</v>
      </c>
      <c r="C11" s="1415"/>
      <c r="D11" s="1415"/>
      <c r="E11" s="1415"/>
      <c r="F11" s="1415"/>
      <c r="W11" s="1405"/>
    </row>
    <row r="12" spans="1:62" ht="7.5" customHeight="1">
      <c r="A12" s="1416"/>
      <c r="B12" s="1411"/>
      <c r="C12" s="1408"/>
      <c r="D12" s="1408"/>
      <c r="E12" s="1408"/>
      <c r="F12" s="1408"/>
      <c r="W12" s="1405"/>
    </row>
    <row r="13" spans="1:62" ht="15" customHeight="1">
      <c r="A13" s="1417" t="s">
        <v>2</v>
      </c>
      <c r="B13" s="1418" t="s">
        <v>1118</v>
      </c>
      <c r="C13" s="1419"/>
      <c r="D13" s="1419"/>
      <c r="E13" s="1419"/>
      <c r="F13" s="1420"/>
      <c r="W13" s="1405"/>
    </row>
    <row r="14" spans="1:62" ht="15" customHeight="1">
      <c r="A14" s="1416"/>
      <c r="B14" s="1460" t="s">
        <v>1119</v>
      </c>
      <c r="C14" s="1412">
        <v>28864063</v>
      </c>
      <c r="D14" s="1412">
        <v>910515</v>
      </c>
      <c r="E14" s="1412">
        <v>3219300</v>
      </c>
      <c r="F14" s="1412">
        <v>0</v>
      </c>
      <c r="G14" s="1412">
        <v>0</v>
      </c>
      <c r="H14" s="1412">
        <v>1512</v>
      </c>
      <c r="I14" s="1412">
        <v>766857</v>
      </c>
      <c r="J14" s="1412">
        <v>3167335</v>
      </c>
      <c r="K14" s="1412">
        <v>4992648</v>
      </c>
      <c r="L14" s="1412">
        <v>2269678</v>
      </c>
      <c r="M14" s="1412">
        <v>774118</v>
      </c>
      <c r="N14" s="1412">
        <v>0</v>
      </c>
      <c r="O14" s="1412">
        <v>18655</v>
      </c>
      <c r="P14" s="1412">
        <v>0</v>
      </c>
      <c r="Q14" s="1413">
        <f>SUM(C14:P14)</f>
        <v>44984681</v>
      </c>
      <c r="W14" s="1405"/>
    </row>
    <row r="15" spans="1:62" ht="15" customHeight="1">
      <c r="A15" s="1416"/>
      <c r="B15" s="1460" t="s">
        <v>1120</v>
      </c>
      <c r="C15" s="1412">
        <v>29714750</v>
      </c>
      <c r="D15" s="1412">
        <v>2182356</v>
      </c>
      <c r="E15" s="1530">
        <f>3281918+1112590.59</f>
        <v>4394509</v>
      </c>
      <c r="F15" s="1412">
        <v>0</v>
      </c>
      <c r="G15" s="1412">
        <v>0</v>
      </c>
      <c r="H15" s="1412">
        <v>0</v>
      </c>
      <c r="I15" s="1412">
        <v>741187</v>
      </c>
      <c r="J15" s="1412">
        <v>3425997</v>
      </c>
      <c r="K15" s="1412">
        <v>4138419</v>
      </c>
      <c r="L15" s="1412">
        <v>3023681</v>
      </c>
      <c r="M15" s="1412">
        <v>420588</v>
      </c>
      <c r="N15" s="1412">
        <v>0</v>
      </c>
      <c r="O15" s="1412">
        <v>0</v>
      </c>
      <c r="P15" s="1412">
        <v>0</v>
      </c>
      <c r="Q15" s="1413">
        <f t="shared" ref="Q15:Q17" si="0">SUM(C15:P15)</f>
        <v>48041487</v>
      </c>
      <c r="W15" s="1405"/>
    </row>
    <row r="16" spans="1:62" ht="15" customHeight="1">
      <c r="A16" s="1416"/>
      <c r="B16" s="1411"/>
      <c r="C16" s="1421"/>
      <c r="D16" s="1421"/>
      <c r="E16" s="1421"/>
      <c r="F16" s="1421"/>
      <c r="G16" s="1421"/>
      <c r="H16" s="1421"/>
      <c r="I16" s="1421"/>
      <c r="J16" s="1421"/>
      <c r="K16" s="1421"/>
      <c r="L16" s="1421"/>
      <c r="M16" s="1421"/>
      <c r="N16" s="1421"/>
      <c r="O16" s="1421"/>
      <c r="P16" s="1421"/>
      <c r="Q16" s="1421"/>
      <c r="W16" s="1405"/>
    </row>
    <row r="17" spans="1:23" ht="15" customHeight="1">
      <c r="A17" s="1417" t="s">
        <v>14</v>
      </c>
      <c r="B17" s="1418" t="s">
        <v>1121</v>
      </c>
      <c r="C17" s="1422">
        <f>C10+C14-C15</f>
        <v>6181914</v>
      </c>
      <c r="D17" s="1422">
        <f t="shared" ref="D17:P17" si="1">D10+D14-D15</f>
        <v>1541515</v>
      </c>
      <c r="E17" s="1422">
        <f t="shared" si="1"/>
        <v>3300195</v>
      </c>
      <c r="F17" s="1422">
        <f t="shared" si="1"/>
        <v>0</v>
      </c>
      <c r="G17" s="1422">
        <f t="shared" si="1"/>
        <v>0</v>
      </c>
      <c r="H17" s="1422">
        <f t="shared" si="1"/>
        <v>46901</v>
      </c>
      <c r="I17" s="1422">
        <f t="shared" si="1"/>
        <v>43175</v>
      </c>
      <c r="J17" s="1422">
        <f t="shared" si="1"/>
        <v>290039</v>
      </c>
      <c r="K17" s="1422">
        <f t="shared" si="1"/>
        <v>-1051742</v>
      </c>
      <c r="L17" s="1422">
        <f t="shared" si="1"/>
        <v>2910703</v>
      </c>
      <c r="M17" s="1422">
        <f t="shared" si="1"/>
        <v>531138</v>
      </c>
      <c r="N17" s="1422">
        <f t="shared" si="1"/>
        <v>0</v>
      </c>
      <c r="O17" s="1422">
        <f t="shared" si="1"/>
        <v>110396</v>
      </c>
      <c r="P17" s="1422">
        <f t="shared" si="1"/>
        <v>0</v>
      </c>
      <c r="Q17" s="1413">
        <f t="shared" si="0"/>
        <v>13904234</v>
      </c>
      <c r="W17" s="1405"/>
    </row>
    <row r="18" spans="1:23" ht="15" customHeight="1">
      <c r="A18" s="1423"/>
      <c r="B18" s="1460" t="s">
        <v>1122</v>
      </c>
      <c r="C18" s="1412">
        <f>+C17-C19</f>
        <v>2181914</v>
      </c>
      <c r="D18" s="1412">
        <f>+D17-D19</f>
        <v>241515</v>
      </c>
      <c r="E18" s="1412">
        <v>0</v>
      </c>
      <c r="F18" s="1412">
        <v>0</v>
      </c>
      <c r="G18" s="1412">
        <v>0</v>
      </c>
      <c r="H18" s="1412">
        <v>0</v>
      </c>
      <c r="I18" s="1412">
        <v>0</v>
      </c>
      <c r="J18" s="1412">
        <v>0</v>
      </c>
      <c r="K18" s="1412">
        <v>-1097081</v>
      </c>
      <c r="L18" s="1412">
        <v>0</v>
      </c>
      <c r="M18" s="1412">
        <v>0</v>
      </c>
      <c r="N18" s="1412">
        <v>0</v>
      </c>
      <c r="O18" s="1412">
        <v>0</v>
      </c>
      <c r="P18" s="1412">
        <v>0</v>
      </c>
      <c r="Q18" s="1413">
        <f>SUM(C18:P18)</f>
        <v>1326348</v>
      </c>
      <c r="W18" s="1405"/>
    </row>
    <row r="19" spans="1:23" ht="15" customHeight="1">
      <c r="A19" s="1423"/>
      <c r="B19" s="1460" t="s">
        <v>1123</v>
      </c>
      <c r="C19" s="1412">
        <v>4000000</v>
      </c>
      <c r="D19" s="1412">
        <v>1300000</v>
      </c>
      <c r="E19" s="1412">
        <v>2290195</v>
      </c>
      <c r="F19" s="1412">
        <v>0</v>
      </c>
      <c r="G19" s="1412">
        <v>0</v>
      </c>
      <c r="H19" s="1412">
        <v>46901</v>
      </c>
      <c r="I19" s="1412">
        <v>43174</v>
      </c>
      <c r="J19" s="1412">
        <v>290039</v>
      </c>
      <c r="K19" s="1412">
        <v>0</v>
      </c>
      <c r="L19" s="1412">
        <v>2644703</v>
      </c>
      <c r="M19" s="1412">
        <v>531138</v>
      </c>
      <c r="N19" s="1412">
        <v>0</v>
      </c>
      <c r="O19" s="1412">
        <v>0</v>
      </c>
      <c r="P19" s="1412">
        <v>0</v>
      </c>
      <c r="Q19" s="1413">
        <f t="shared" ref="Q19:Q22" si="2">SUM(C19:P19)</f>
        <v>11146150</v>
      </c>
      <c r="W19" s="1405"/>
    </row>
    <row r="20" spans="1:23" ht="15" customHeight="1">
      <c r="A20" s="1418"/>
      <c r="B20" s="1460" t="s">
        <v>1124</v>
      </c>
      <c r="C20" s="1412">
        <v>0</v>
      </c>
      <c r="D20" s="1412">
        <v>0</v>
      </c>
      <c r="E20" s="1412">
        <v>0</v>
      </c>
      <c r="F20" s="1412">
        <v>0</v>
      </c>
      <c r="G20" s="1412">
        <v>0</v>
      </c>
      <c r="H20" s="1412">
        <v>0</v>
      </c>
      <c r="I20" s="1412">
        <v>0</v>
      </c>
      <c r="J20" s="1412">
        <v>0</v>
      </c>
      <c r="K20" s="1412">
        <v>0</v>
      </c>
      <c r="L20" s="1412">
        <v>0</v>
      </c>
      <c r="M20" s="1412">
        <v>0</v>
      </c>
      <c r="N20" s="1412">
        <v>0</v>
      </c>
      <c r="O20" s="1412">
        <v>0</v>
      </c>
      <c r="P20" s="1412">
        <v>0</v>
      </c>
      <c r="Q20" s="1413">
        <f t="shared" si="2"/>
        <v>0</v>
      </c>
      <c r="W20" s="1405"/>
    </row>
    <row r="21" spans="1:23" ht="15" customHeight="1">
      <c r="A21" s="1418"/>
      <c r="B21" s="1460" t="s">
        <v>1125</v>
      </c>
      <c r="C21" s="1412">
        <v>0</v>
      </c>
      <c r="D21" s="1412">
        <v>0</v>
      </c>
      <c r="E21" s="1531">
        <v>0</v>
      </c>
      <c r="F21" s="1412">
        <v>0</v>
      </c>
      <c r="G21" s="1412">
        <v>0</v>
      </c>
      <c r="H21" s="1412">
        <v>0</v>
      </c>
      <c r="I21" s="1412">
        <v>0</v>
      </c>
      <c r="J21" s="1412">
        <v>0</v>
      </c>
      <c r="K21" s="1412">
        <v>0</v>
      </c>
      <c r="L21" s="1412">
        <v>0</v>
      </c>
      <c r="M21" s="1412">
        <v>0</v>
      </c>
      <c r="N21" s="1412">
        <v>0</v>
      </c>
      <c r="O21" s="1412">
        <v>0</v>
      </c>
      <c r="P21" s="1412">
        <v>0</v>
      </c>
      <c r="Q21" s="1413">
        <f t="shared" si="2"/>
        <v>0</v>
      </c>
      <c r="W21" s="1405"/>
    </row>
    <row r="22" spans="1:23" ht="15" customHeight="1">
      <c r="A22" s="1418"/>
      <c r="B22" s="1460" t="s">
        <v>1126</v>
      </c>
      <c r="C22" s="1412">
        <v>0</v>
      </c>
      <c r="D22" s="1412">
        <v>0</v>
      </c>
      <c r="E22" s="1412">
        <v>1010000</v>
      </c>
      <c r="F22" s="1412">
        <v>0</v>
      </c>
      <c r="G22" s="1412">
        <v>0</v>
      </c>
      <c r="H22" s="1412">
        <v>0</v>
      </c>
      <c r="I22" s="1412">
        <v>0</v>
      </c>
      <c r="J22" s="1412">
        <v>0</v>
      </c>
      <c r="K22" s="1412">
        <v>45340</v>
      </c>
      <c r="L22" s="1412">
        <v>266000</v>
      </c>
      <c r="M22" s="1412">
        <v>0</v>
      </c>
      <c r="N22" s="1412">
        <v>0</v>
      </c>
      <c r="O22" s="1412">
        <v>110396</v>
      </c>
      <c r="P22" s="1412">
        <v>0</v>
      </c>
      <c r="Q22" s="1413">
        <f t="shared" si="2"/>
        <v>1431736</v>
      </c>
      <c r="W22" s="1405"/>
    </row>
    <row r="23" spans="1:23" ht="15" customHeight="1">
      <c r="A23" s="1418"/>
      <c r="B23" s="1411" t="s">
        <v>1127</v>
      </c>
      <c r="C23" s="1422">
        <f>SUM(C18:C22)</f>
        <v>6181914</v>
      </c>
      <c r="D23" s="1422">
        <f t="shared" ref="D23:Q23" si="3">SUM(D18:D22)</f>
        <v>1541515</v>
      </c>
      <c r="E23" s="1422">
        <f t="shared" si="3"/>
        <v>3300195</v>
      </c>
      <c r="F23" s="1422">
        <f t="shared" si="3"/>
        <v>0</v>
      </c>
      <c r="G23" s="1422">
        <f t="shared" si="3"/>
        <v>0</v>
      </c>
      <c r="H23" s="1422">
        <f t="shared" si="3"/>
        <v>46901</v>
      </c>
      <c r="I23" s="1422">
        <f t="shared" si="3"/>
        <v>43174</v>
      </c>
      <c r="J23" s="1422">
        <f t="shared" si="3"/>
        <v>290039</v>
      </c>
      <c r="K23" s="1422">
        <f t="shared" si="3"/>
        <v>-1051741</v>
      </c>
      <c r="L23" s="1422">
        <f t="shared" si="3"/>
        <v>2910703</v>
      </c>
      <c r="M23" s="1422">
        <f t="shared" si="3"/>
        <v>531138</v>
      </c>
      <c r="N23" s="1422">
        <f t="shared" si="3"/>
        <v>0</v>
      </c>
      <c r="O23" s="1422">
        <f t="shared" si="3"/>
        <v>110396</v>
      </c>
      <c r="P23" s="1422">
        <f t="shared" si="3"/>
        <v>0</v>
      </c>
      <c r="Q23" s="1422">
        <f t="shared" si="3"/>
        <v>13904234</v>
      </c>
      <c r="W23" s="1405"/>
    </row>
    <row r="24" spans="1:23" ht="9" customHeight="1">
      <c r="A24" s="1417"/>
      <c r="B24" s="1418"/>
      <c r="C24" s="1419"/>
      <c r="D24" s="1419"/>
      <c r="E24" s="1419"/>
      <c r="F24" s="1420"/>
      <c r="W24" s="1405"/>
    </row>
    <row r="25" spans="1:23" ht="15" customHeight="1">
      <c r="A25" s="1417" t="s">
        <v>33</v>
      </c>
      <c r="B25" s="1418" t="s">
        <v>1128</v>
      </c>
      <c r="C25" s="1419"/>
      <c r="D25" s="1419"/>
      <c r="E25" s="1419"/>
      <c r="F25" s="1420"/>
      <c r="W25" s="1405"/>
    </row>
    <row r="26" spans="1:23" ht="15" customHeight="1">
      <c r="A26" s="1423"/>
      <c r="B26" s="1460" t="s">
        <v>1129</v>
      </c>
      <c r="C26" s="1412">
        <v>0</v>
      </c>
      <c r="D26" s="1412">
        <v>0</v>
      </c>
      <c r="E26" s="1412">
        <v>0</v>
      </c>
      <c r="F26" s="1412">
        <v>0</v>
      </c>
      <c r="G26" s="1412">
        <v>0</v>
      </c>
      <c r="H26" s="1412">
        <v>0</v>
      </c>
      <c r="I26" s="1412">
        <v>0</v>
      </c>
      <c r="J26" s="1412">
        <v>0</v>
      </c>
      <c r="K26" s="1412">
        <v>-1111244</v>
      </c>
      <c r="L26" s="1412">
        <v>0</v>
      </c>
      <c r="M26" s="1412">
        <v>0</v>
      </c>
      <c r="N26" s="1412">
        <v>0</v>
      </c>
      <c r="O26" s="1412">
        <v>0</v>
      </c>
      <c r="P26" s="1412">
        <v>0</v>
      </c>
      <c r="Q26" s="1413">
        <f t="shared" ref="Q26:Q29" si="4">SUM(C26:P26)</f>
        <v>-1111244</v>
      </c>
      <c r="W26" s="1405"/>
    </row>
    <row r="27" spans="1:23" ht="15" customHeight="1">
      <c r="A27" s="1423"/>
      <c r="B27" s="1460" t="s">
        <v>1160</v>
      </c>
      <c r="C27" s="1412">
        <f>+C18</f>
        <v>2181914</v>
      </c>
      <c r="D27" s="1412">
        <v>0</v>
      </c>
      <c r="E27" s="1424"/>
      <c r="F27" s="1412">
        <v>0</v>
      </c>
      <c r="G27" s="1425"/>
      <c r="H27" s="1425"/>
      <c r="I27" s="1425"/>
      <c r="J27" s="1412">
        <v>0</v>
      </c>
      <c r="K27" s="1412">
        <v>0</v>
      </c>
      <c r="L27" s="1425"/>
      <c r="M27" s="1425"/>
      <c r="N27" s="1425"/>
      <c r="O27" s="1425"/>
      <c r="P27" s="1425"/>
      <c r="Q27" s="1413">
        <f t="shared" si="4"/>
        <v>2181914</v>
      </c>
      <c r="W27" s="1405"/>
    </row>
    <row r="28" spans="1:23" ht="15" customHeight="1">
      <c r="A28" s="1423"/>
      <c r="B28" s="1460" t="s">
        <v>1130</v>
      </c>
      <c r="C28" s="1412">
        <f>+C19</f>
        <v>4000000</v>
      </c>
      <c r="D28" s="1412">
        <v>1541515</v>
      </c>
      <c r="E28" s="1412">
        <v>3300195</v>
      </c>
      <c r="F28" s="1412">
        <v>0</v>
      </c>
      <c r="G28" s="1412">
        <v>0</v>
      </c>
      <c r="H28" s="1412">
        <v>0</v>
      </c>
      <c r="I28" s="1412">
        <v>43174</v>
      </c>
      <c r="J28" s="1412">
        <v>290039</v>
      </c>
      <c r="K28" s="1412">
        <v>59503</v>
      </c>
      <c r="L28" s="1412">
        <v>2910703</v>
      </c>
      <c r="M28" s="1425"/>
      <c r="N28" s="1412">
        <v>0</v>
      </c>
      <c r="O28" s="1412">
        <v>110396</v>
      </c>
      <c r="P28" s="1412">
        <v>0</v>
      </c>
      <c r="Q28" s="1413">
        <f t="shared" si="4"/>
        <v>12255525</v>
      </c>
      <c r="W28" s="1405"/>
    </row>
    <row r="29" spans="1:23" ht="15" customHeight="1">
      <c r="A29" s="1423"/>
      <c r="B29" s="1460" t="s">
        <v>1131</v>
      </c>
      <c r="C29" s="1412">
        <v>0</v>
      </c>
      <c r="D29" s="1412">
        <v>0</v>
      </c>
      <c r="E29" s="1412">
        <v>0</v>
      </c>
      <c r="F29" s="1412">
        <v>0</v>
      </c>
      <c r="G29" s="1412">
        <v>0</v>
      </c>
      <c r="H29" s="1412">
        <v>46901</v>
      </c>
      <c r="I29" s="1412">
        <v>0</v>
      </c>
      <c r="J29" s="1412">
        <v>0</v>
      </c>
      <c r="K29" s="1412">
        <v>0</v>
      </c>
      <c r="L29" s="1412">
        <v>0</v>
      </c>
      <c r="M29" s="1412">
        <v>531138</v>
      </c>
      <c r="N29" s="1412">
        <v>0</v>
      </c>
      <c r="O29" s="1412">
        <v>0</v>
      </c>
      <c r="P29" s="1412">
        <v>0</v>
      </c>
      <c r="Q29" s="1413">
        <f t="shared" si="4"/>
        <v>578039</v>
      </c>
      <c r="W29" s="1405"/>
    </row>
    <row r="30" spans="1:23" ht="15" customHeight="1">
      <c r="A30" s="1423"/>
      <c r="B30" s="1411" t="s">
        <v>1132</v>
      </c>
      <c r="C30" s="1422">
        <f>SUM(C26:C29)</f>
        <v>6181914</v>
      </c>
      <c r="D30" s="1422">
        <f t="shared" ref="D30:Q30" si="5">SUM(D26:D29)</f>
        <v>1541515</v>
      </c>
      <c r="E30" s="1422">
        <f t="shared" si="5"/>
        <v>3300195</v>
      </c>
      <c r="F30" s="1422">
        <f t="shared" si="5"/>
        <v>0</v>
      </c>
      <c r="G30" s="1422">
        <f t="shared" si="5"/>
        <v>0</v>
      </c>
      <c r="H30" s="1422">
        <f t="shared" si="5"/>
        <v>46901</v>
      </c>
      <c r="I30" s="1422">
        <f t="shared" si="5"/>
        <v>43174</v>
      </c>
      <c r="J30" s="1422">
        <f t="shared" si="5"/>
        <v>290039</v>
      </c>
      <c r="K30" s="1422">
        <f t="shared" si="5"/>
        <v>-1051741</v>
      </c>
      <c r="L30" s="1422">
        <f t="shared" si="5"/>
        <v>2910703</v>
      </c>
      <c r="M30" s="1422">
        <f t="shared" si="5"/>
        <v>531138</v>
      </c>
      <c r="N30" s="1422">
        <f t="shared" si="5"/>
        <v>0</v>
      </c>
      <c r="O30" s="1422">
        <f t="shared" si="5"/>
        <v>110396</v>
      </c>
      <c r="P30" s="1422">
        <f t="shared" si="5"/>
        <v>0</v>
      </c>
      <c r="Q30" s="1422">
        <f t="shared" si="5"/>
        <v>13904234</v>
      </c>
      <c r="W30" s="1405"/>
    </row>
    <row r="31" spans="1:23" ht="15" customHeight="1">
      <c r="A31" s="1423"/>
      <c r="B31" s="1411"/>
      <c r="C31" s="1419"/>
      <c r="D31" s="1419"/>
      <c r="E31" s="1419"/>
      <c r="F31" s="1419"/>
      <c r="W31" s="1405"/>
    </row>
    <row r="32" spans="1:23" ht="25.5" customHeight="1">
      <c r="A32" s="1418" t="s">
        <v>1189</v>
      </c>
      <c r="B32" s="1418"/>
      <c r="C32" s="1418"/>
      <c r="D32" s="1418"/>
      <c r="E32" s="1418"/>
      <c r="F32" s="1419"/>
      <c r="W32" s="1405"/>
    </row>
    <row r="33" spans="1:17" ht="40.5" customHeight="1">
      <c r="A33" s="1794" t="s">
        <v>1190</v>
      </c>
      <c r="B33" s="1794"/>
      <c r="C33" s="1794"/>
      <c r="D33" s="1794"/>
      <c r="E33" s="1794"/>
      <c r="F33" s="1419"/>
      <c r="Q33" s="1405"/>
    </row>
    <row r="34" spans="1:17" ht="27.75" customHeight="1">
      <c r="A34" s="1426" t="s">
        <v>1133</v>
      </c>
      <c r="B34" s="1427"/>
      <c r="C34" s="1403" t="s">
        <v>1134</v>
      </c>
      <c r="D34" s="1403" t="s">
        <v>1135</v>
      </c>
      <c r="E34" s="1403" t="s">
        <v>379</v>
      </c>
      <c r="Q34" s="1405"/>
    </row>
    <row r="35" spans="1:17" ht="15" customHeight="1">
      <c r="A35" s="1428" t="s">
        <v>1</v>
      </c>
      <c r="B35" s="1460" t="s">
        <v>1163</v>
      </c>
      <c r="C35" s="1413">
        <f>F001TotalExp</f>
        <v>32686373</v>
      </c>
      <c r="D35" s="1413">
        <f>F610TotalBudgFY</f>
        <v>2449329</v>
      </c>
      <c r="E35" s="1413">
        <f>F010TotalExp</f>
        <v>4188135</v>
      </c>
      <c r="Q35" s="1405"/>
    </row>
    <row r="36" spans="1:17" ht="15" customHeight="1">
      <c r="A36" s="1428" t="s">
        <v>2</v>
      </c>
      <c r="B36" s="1460" t="s">
        <v>1136</v>
      </c>
      <c r="C36" s="1412">
        <f>+C35-3500000</f>
        <v>29186373</v>
      </c>
      <c r="D36" s="1412">
        <f>+D35-1300000</f>
        <v>1149329</v>
      </c>
      <c r="E36" s="1412">
        <f>+E35-500000</f>
        <v>3688135</v>
      </c>
      <c r="Q36" s="1405"/>
    </row>
    <row r="37" spans="1:17" ht="15" customHeight="1">
      <c r="A37" s="1428" t="s">
        <v>14</v>
      </c>
      <c r="B37" s="1460" t="s">
        <v>1137</v>
      </c>
      <c r="C37" s="1422">
        <f>C35-C36</f>
        <v>3500000</v>
      </c>
      <c r="D37" s="1422">
        <f t="shared" ref="D37" si="6">D35-D36</f>
        <v>1300000</v>
      </c>
      <c r="E37" s="1422">
        <f>E35-E36</f>
        <v>500000</v>
      </c>
      <c r="Q37" s="1405"/>
    </row>
    <row r="38" spans="1:17" ht="7.5" customHeight="1">
      <c r="A38" s="1416"/>
      <c r="B38" s="1411"/>
      <c r="C38" s="1419"/>
      <c r="D38" s="1419"/>
      <c r="E38" s="1419"/>
      <c r="Q38" s="1405"/>
    </row>
    <row r="39" spans="1:17">
      <c r="A39" s="1411"/>
    </row>
    <row r="40" spans="1:17">
      <c r="A40" s="1429" t="s">
        <v>1161</v>
      </c>
      <c r="B40" s="1460" t="s">
        <v>1162</v>
      </c>
    </row>
    <row r="41" spans="1:17">
      <c r="A41" s="1795" t="s">
        <v>1386</v>
      </c>
      <c r="B41" s="1796"/>
      <c r="C41" s="1796"/>
      <c r="D41" s="1796"/>
      <c r="E41" s="1797"/>
    </row>
    <row r="42" spans="1:17">
      <c r="A42" s="1798"/>
      <c r="B42" s="1799"/>
      <c r="C42" s="1799"/>
      <c r="D42" s="1799"/>
      <c r="E42" s="1800"/>
    </row>
    <row r="43" spans="1:17">
      <c r="A43" s="1798"/>
      <c r="B43" s="1799"/>
      <c r="C43" s="1799"/>
      <c r="D43" s="1799"/>
      <c r="E43" s="1800"/>
    </row>
    <row r="44" spans="1:17">
      <c r="A44" s="1798"/>
      <c r="B44" s="1799"/>
      <c r="C44" s="1799"/>
      <c r="D44" s="1799"/>
      <c r="E44" s="1800"/>
    </row>
    <row r="45" spans="1:17">
      <c r="A45" s="1798"/>
      <c r="B45" s="1799"/>
      <c r="C45" s="1799"/>
      <c r="D45" s="1799"/>
      <c r="E45" s="1800"/>
    </row>
    <row r="46" spans="1:17">
      <c r="A46" s="1798"/>
      <c r="B46" s="1799"/>
      <c r="C46" s="1799"/>
      <c r="D46" s="1799"/>
      <c r="E46" s="1800"/>
    </row>
    <row r="47" spans="1:17">
      <c r="A47" s="1798"/>
      <c r="B47" s="1799"/>
      <c r="C47" s="1799"/>
      <c r="D47" s="1799"/>
      <c r="E47" s="1800"/>
    </row>
    <row r="48" spans="1:17">
      <c r="A48" s="1801"/>
      <c r="B48" s="1802"/>
      <c r="C48" s="1802"/>
      <c r="D48" s="1802"/>
      <c r="E48" s="1803"/>
    </row>
  </sheetData>
  <sheetProtection sheet="1" objects="1" scenarios="1"/>
  <mergeCells count="16">
    <mergeCell ref="Q7:Q8"/>
    <mergeCell ref="A8:B8"/>
    <mergeCell ref="A33:E33"/>
    <mergeCell ref="A41:E48"/>
    <mergeCell ref="C7:E7"/>
    <mergeCell ref="F7:I7"/>
    <mergeCell ref="J7:L7"/>
    <mergeCell ref="M7:M8"/>
    <mergeCell ref="N7:N8"/>
    <mergeCell ref="O7:O8"/>
    <mergeCell ref="P7:P8"/>
    <mergeCell ref="C1:D1"/>
    <mergeCell ref="F1:G1"/>
    <mergeCell ref="A3:I5"/>
    <mergeCell ref="A6:B6"/>
    <mergeCell ref="C6:Q6"/>
  </mergeCells>
  <conditionalFormatting sqref="P10">
    <cfRule type="containsBlanks" dxfId="31" priority="40">
      <formula>LEN(TRIM(P10))=0</formula>
    </cfRule>
  </conditionalFormatting>
  <conditionalFormatting sqref="F14:P15">
    <cfRule type="containsBlanks" dxfId="30" priority="39">
      <formula>LEN(TRIM(F14))=0</formula>
    </cfRule>
  </conditionalFormatting>
  <conditionalFormatting sqref="P18:P22 F18:G22">
    <cfRule type="containsBlanks" dxfId="29" priority="28">
      <formula>LEN(TRIM(F18))=0</formula>
    </cfRule>
  </conditionalFormatting>
  <conditionalFormatting sqref="C10">
    <cfRule type="containsBlanks" dxfId="28" priority="24">
      <formula>LEN(TRIM(C10))=0</formula>
    </cfRule>
  </conditionalFormatting>
  <conditionalFormatting sqref="D10:E10">
    <cfRule type="containsBlanks" dxfId="27" priority="23">
      <formula>LEN(TRIM(D10))=0</formula>
    </cfRule>
  </conditionalFormatting>
  <conditionalFormatting sqref="F10:I10">
    <cfRule type="containsBlanks" dxfId="26" priority="22">
      <formula>LEN(TRIM(F10))=0</formula>
    </cfRule>
  </conditionalFormatting>
  <conditionalFormatting sqref="J10:O10">
    <cfRule type="containsBlanks" dxfId="25" priority="21">
      <formula>LEN(TRIM(J10))=0</formula>
    </cfRule>
  </conditionalFormatting>
  <conditionalFormatting sqref="C14:E15">
    <cfRule type="containsBlanks" dxfId="24" priority="20">
      <formula>LEN(TRIM(C14))=0</formula>
    </cfRule>
  </conditionalFormatting>
  <conditionalFormatting sqref="C18:E22">
    <cfRule type="containsBlanks" dxfId="23" priority="19">
      <formula>LEN(TRIM(C18))=0</formula>
    </cfRule>
  </conditionalFormatting>
  <conditionalFormatting sqref="H18:O22">
    <cfRule type="containsBlanks" dxfId="22" priority="18">
      <formula>LEN(TRIM(H18))=0</formula>
    </cfRule>
  </conditionalFormatting>
  <conditionalFormatting sqref="C26:D26">
    <cfRule type="containsBlanks" dxfId="21" priority="17">
      <formula>LEN(TRIM(C26))=0</formula>
    </cfRule>
  </conditionalFormatting>
  <conditionalFormatting sqref="E26:K26">
    <cfRule type="containsBlanks" dxfId="20" priority="16">
      <formula>LEN(TRIM(E26))=0</formula>
    </cfRule>
  </conditionalFormatting>
  <conditionalFormatting sqref="J28:K29">
    <cfRule type="containsBlanks" dxfId="19" priority="15">
      <formula>LEN(TRIM(J28))=0</formula>
    </cfRule>
  </conditionalFormatting>
  <conditionalFormatting sqref="J27:K27">
    <cfRule type="containsBlanks" dxfId="18" priority="14">
      <formula>LEN(TRIM(J27))=0</formula>
    </cfRule>
  </conditionalFormatting>
  <conditionalFormatting sqref="C28:D29">
    <cfRule type="containsBlanks" dxfId="17" priority="13">
      <formula>LEN(TRIM(C28))=0</formula>
    </cfRule>
  </conditionalFormatting>
  <conditionalFormatting sqref="E28:E29">
    <cfRule type="containsBlanks" dxfId="16" priority="11">
      <formula>LEN(TRIM(E28))=0</formula>
    </cfRule>
  </conditionalFormatting>
  <conditionalFormatting sqref="F28:F29">
    <cfRule type="containsBlanks" dxfId="15" priority="12">
      <formula>LEN(TRIM(F28))=0</formula>
    </cfRule>
  </conditionalFormatting>
  <conditionalFormatting sqref="G28:I29">
    <cfRule type="containsBlanks" dxfId="14" priority="10">
      <formula>LEN(TRIM(G28))=0</formula>
    </cfRule>
  </conditionalFormatting>
  <conditionalFormatting sqref="C27:D27">
    <cfRule type="containsBlanks" dxfId="13" priority="9">
      <formula>LEN(TRIM(C27))=0</formula>
    </cfRule>
  </conditionalFormatting>
  <conditionalFormatting sqref="F27">
    <cfRule type="containsBlanks" dxfId="12" priority="8">
      <formula>LEN(TRIM(F27))=0</formula>
    </cfRule>
  </conditionalFormatting>
  <conditionalFormatting sqref="L26:P26">
    <cfRule type="containsBlanks" dxfId="11" priority="7">
      <formula>LEN(TRIM(L26))=0</formula>
    </cfRule>
  </conditionalFormatting>
  <conditionalFormatting sqref="L28:L29">
    <cfRule type="containsBlanks" dxfId="10" priority="6">
      <formula>LEN(TRIM(L28))=0</formula>
    </cfRule>
  </conditionalFormatting>
  <conditionalFormatting sqref="M29:P29">
    <cfRule type="containsBlanks" dxfId="9" priority="5">
      <formula>LEN(TRIM(M29))=0</formula>
    </cfRule>
  </conditionalFormatting>
  <conditionalFormatting sqref="N28 P28">
    <cfRule type="containsBlanks" dxfId="8" priority="4">
      <formula>LEN(TRIM(N28))=0</formula>
    </cfRule>
  </conditionalFormatting>
  <conditionalFormatting sqref="O28">
    <cfRule type="containsBlanks" dxfId="7" priority="3">
      <formula>LEN(TRIM(O28))=0</formula>
    </cfRule>
  </conditionalFormatting>
  <conditionalFormatting sqref="C36:E36">
    <cfRule type="containsBlanks" dxfId="6" priority="2">
      <formula>LEN(TRIM(C36))=0</formula>
    </cfRule>
  </conditionalFormatting>
  <conditionalFormatting sqref="A41">
    <cfRule type="containsBlanks" dxfId="5" priority="1">
      <formula>LEN(TRIM(A41))=0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paperSize="5" scale="50"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A65" workbookViewId="0">
      <selection activeCell="L97" sqref="L97"/>
    </sheetView>
  </sheetViews>
  <sheetFormatPr defaultColWidth="9.109375" defaultRowHeight="12"/>
  <cols>
    <col min="1" max="1" width="2.44140625" style="100" customWidth="1"/>
    <col min="2" max="2" width="2.109375" style="100" customWidth="1"/>
    <col min="3" max="3" width="2.5546875" style="100" customWidth="1"/>
    <col min="4" max="4" width="3" style="100" customWidth="1"/>
    <col min="5" max="5" width="15.109375" style="100" customWidth="1"/>
    <col min="6" max="6" width="9.109375" style="100" customWidth="1"/>
    <col min="7" max="7" width="9.44140625" style="100" customWidth="1"/>
    <col min="8" max="9" width="9.109375" style="100" customWidth="1"/>
    <col min="10" max="10" width="9.88671875" style="100" customWidth="1"/>
    <col min="11" max="11" width="13.33203125" style="100" customWidth="1"/>
    <col min="12" max="12" width="9.88671875" style="100" customWidth="1"/>
    <col min="13" max="14" width="9.109375" style="100" customWidth="1"/>
    <col min="15" max="15" width="10" style="100" customWidth="1"/>
    <col min="16" max="16" width="3" style="100" customWidth="1"/>
    <col min="17" max="17" width="9.88671875" style="100" bestFit="1" customWidth="1"/>
    <col min="18" max="21" width="9.109375" style="100" customWidth="1"/>
    <col min="22" max="16384" width="9.109375" style="100"/>
  </cols>
  <sheetData>
    <row r="1" spans="1:16">
      <c r="A1" s="1810" t="s">
        <v>445</v>
      </c>
      <c r="B1" s="1810"/>
      <c r="C1" s="1810"/>
      <c r="D1" s="1810"/>
      <c r="E1" s="1812" t="str">
        <f>DistrictName</f>
        <v xml:space="preserve">Prescott Unified </v>
      </c>
      <c r="F1" s="1812"/>
      <c r="G1" s="1812"/>
      <c r="H1" s="543" t="s">
        <v>446</v>
      </c>
      <c r="I1" s="1811" t="str">
        <f>Cover!H1</f>
        <v>Yavapai</v>
      </c>
      <c r="J1" s="1812"/>
      <c r="K1" s="543" t="s">
        <v>447</v>
      </c>
      <c r="L1" s="886" t="str">
        <f>CTD</f>
        <v>130201000</v>
      </c>
    </row>
    <row r="2" spans="1:16">
      <c r="K2" s="543" t="s">
        <v>9</v>
      </c>
      <c r="L2" s="886" t="str">
        <f>Cover!C8</f>
        <v>Adopted</v>
      </c>
    </row>
    <row r="3" spans="1:16" ht="15.75">
      <c r="F3" s="1571" t="s">
        <v>1017</v>
      </c>
      <c r="G3" s="1571"/>
      <c r="H3" s="1571"/>
      <c r="I3" s="1571"/>
    </row>
    <row r="4" spans="1:16" ht="12.75" thickBot="1"/>
    <row r="5" spans="1:16" ht="16.5" customHeight="1" thickBot="1">
      <c r="B5" s="1507" t="str">
        <f>_xlfn.CONCAT(" FY ",Cover!E3," Legislative amounts")</f>
        <v xml:space="preserve"> FY 2025 Legislative amounts</v>
      </c>
      <c r="C5" s="887"/>
      <c r="D5" s="887"/>
      <c r="E5" s="887"/>
      <c r="F5" s="887"/>
      <c r="G5" s="887"/>
      <c r="H5" s="887"/>
      <c r="I5" s="887"/>
      <c r="J5" s="887"/>
      <c r="K5" s="1499"/>
      <c r="L5" s="1819" t="str">
        <f>IF(OR(L1=0,L2=0),"ENTER CTD NUMBER AND VERSION ON COVER PAGE","")</f>
        <v/>
      </c>
      <c r="M5" s="1820"/>
    </row>
    <row r="6" spans="1:16" ht="12.75" customHeight="1" thickBot="1">
      <c r="B6" s="888"/>
      <c r="C6" s="1501" t="s">
        <v>1297</v>
      </c>
      <c r="D6" s="1501"/>
      <c r="E6" s="1501"/>
      <c r="F6" s="1501"/>
      <c r="G6" s="1501"/>
      <c r="H6" s="1501"/>
      <c r="I6" s="1503" t="s">
        <v>316</v>
      </c>
      <c r="J6" s="1505">
        <v>5013</v>
      </c>
      <c r="K6" s="1500"/>
      <c r="L6" s="1819"/>
      <c r="M6" s="1820"/>
    </row>
    <row r="7" spans="1:16" ht="12.75" customHeight="1" thickBot="1">
      <c r="B7" s="888"/>
      <c r="C7" s="1501" t="s">
        <v>1298</v>
      </c>
      <c r="D7" s="1501"/>
      <c r="E7" s="1501"/>
      <c r="F7" s="1501"/>
      <c r="G7" s="1501"/>
      <c r="H7" s="1501"/>
      <c r="I7" s="1502"/>
      <c r="J7" s="1504"/>
      <c r="K7" s="1500"/>
      <c r="L7" s="1819"/>
      <c r="M7" s="1820"/>
    </row>
    <row r="8" spans="1:16" ht="12.75" customHeight="1" thickBot="1">
      <c r="B8" s="888"/>
      <c r="C8" s="1501"/>
      <c r="D8" s="1501" t="s">
        <v>448</v>
      </c>
      <c r="E8" s="1501"/>
      <c r="F8" s="1501"/>
      <c r="G8" s="1501"/>
      <c r="H8" s="1501"/>
      <c r="I8" s="1503" t="s">
        <v>316</v>
      </c>
      <c r="J8" s="1506">
        <v>2.95</v>
      </c>
      <c r="K8" s="1500"/>
      <c r="L8" s="1819"/>
      <c r="M8" s="1820"/>
    </row>
    <row r="9" spans="1:16" ht="12.75" customHeight="1" thickBot="1">
      <c r="B9" s="888"/>
      <c r="C9" s="1501"/>
      <c r="D9" s="1501" t="s">
        <v>449</v>
      </c>
      <c r="E9" s="1501"/>
      <c r="F9" s="1501"/>
      <c r="G9" s="1501"/>
      <c r="H9" s="1501"/>
      <c r="I9" s="1502" t="s">
        <v>316</v>
      </c>
      <c r="J9" s="1506">
        <v>2.42</v>
      </c>
      <c r="K9" s="1500"/>
      <c r="L9" s="1819"/>
      <c r="M9" s="1820"/>
    </row>
    <row r="10" spans="1:16" ht="26.1" customHeight="1" thickBot="1">
      <c r="B10" s="888"/>
      <c r="C10" s="1823" t="s">
        <v>1299</v>
      </c>
      <c r="D10" s="1823"/>
      <c r="E10" s="1823"/>
      <c r="F10" s="1823"/>
      <c r="G10" s="1823"/>
      <c r="H10" s="1823"/>
      <c r="I10" s="1824"/>
      <c r="J10" s="1435">
        <v>1.593</v>
      </c>
      <c r="K10" s="1500"/>
      <c r="L10" s="1819"/>
      <c r="M10" s="1820"/>
    </row>
    <row r="11" spans="1:16" ht="9" customHeight="1" thickBot="1">
      <c r="B11" s="889"/>
      <c r="C11" s="890"/>
      <c r="D11" s="890"/>
      <c r="E11" s="890"/>
      <c r="F11" s="890"/>
      <c r="G11" s="890"/>
      <c r="H11" s="890"/>
      <c r="I11" s="890"/>
      <c r="J11" s="890"/>
      <c r="K11" s="891"/>
      <c r="L11" s="1819"/>
      <c r="M11" s="1820"/>
    </row>
    <row r="13" spans="1:16" ht="15.75">
      <c r="A13" s="400" t="s">
        <v>968</v>
      </c>
      <c r="C13" s="400"/>
      <c r="D13" s="400"/>
      <c r="E13" s="400"/>
    </row>
    <row r="14" spans="1:16" ht="49.5" customHeight="1">
      <c r="B14" s="1618" t="s">
        <v>450</v>
      </c>
      <c r="C14" s="1783"/>
      <c r="D14" s="1783"/>
      <c r="E14" s="1783"/>
      <c r="F14" s="1783"/>
      <c r="G14" s="1783"/>
      <c r="H14" s="1783"/>
      <c r="I14" s="1783"/>
      <c r="J14" s="1783"/>
      <c r="K14" s="1783"/>
    </row>
    <row r="15" spans="1:16" ht="17.25" customHeight="1">
      <c r="C15" s="124" t="s">
        <v>451</v>
      </c>
      <c r="G15" s="892" t="s">
        <v>452</v>
      </c>
      <c r="H15" s="892" t="s">
        <v>453</v>
      </c>
      <c r="I15" s="893" t="s">
        <v>454</v>
      </c>
      <c r="J15" s="894" t="s">
        <v>413</v>
      </c>
      <c r="K15" s="895"/>
      <c r="L15" s="1821" t="s">
        <v>887</v>
      </c>
      <c r="M15" s="1821"/>
      <c r="N15" s="1821"/>
      <c r="O15" s="1822"/>
      <c r="P15" s="72"/>
    </row>
    <row r="16" spans="1:16" ht="11.25" customHeight="1">
      <c r="B16" s="896" t="s">
        <v>1</v>
      </c>
      <c r="C16" s="1547" t="str">
        <f>_xlfn.CONCAT("FY ",TwoYearsPrior," 100th-Day ADM ")</f>
        <v xml:space="preserve">FY 2023 100th-Day ADM </v>
      </c>
      <c r="D16" s="1547"/>
      <c r="E16" s="1547"/>
      <c r="G16" s="897"/>
      <c r="H16" s="897"/>
      <c r="I16" s="898"/>
      <c r="J16" s="79">
        <v>3580.4596000000001</v>
      </c>
      <c r="K16" s="1817" t="str">
        <f>IF(AND(J22&gt;0,PY100DayADM=""),_xlfn.CONCAT("ENTER ",C16),"")</f>
        <v/>
      </c>
      <c r="L16" s="1818"/>
      <c r="M16" s="1818"/>
      <c r="N16" s="1818"/>
    </row>
    <row r="17" spans="2:26" ht="11.25" customHeight="1">
      <c r="B17" s="896" t="s">
        <v>455</v>
      </c>
      <c r="C17" s="1547" t="str">
        <f>_xlfn.CONCAT("FY ",PriorFiscalYear," 100th-Day ADM")</f>
        <v>FY 2024 100th-Day ADM</v>
      </c>
      <c r="D17" s="1547"/>
      <c r="E17" s="1547"/>
      <c r="G17" s="80">
        <v>15.375</v>
      </c>
      <c r="H17" s="80">
        <v>2075.518</v>
      </c>
      <c r="I17" s="81">
        <v>1505.4936</v>
      </c>
      <c r="J17" s="900">
        <f>UnweightedStudCntPSDPY+UnweightedStudCntK8PY+UnweightedStudCnt912PY</f>
        <v>3596.3865999999998</v>
      </c>
      <c r="K17" s="1817"/>
      <c r="L17" s="1818"/>
      <c r="M17" s="1818"/>
      <c r="N17" s="1818"/>
      <c r="Y17" s="902">
        <f>IF(AND(UnweightedStudCntK8PY&gt;125,UnweightedStudCntK8PY&lt;154),1,0)</f>
        <v>0</v>
      </c>
      <c r="Z17" s="903">
        <f>IF(AND(UnweightedStudCnt912PY&gt;100,UnweightedStudCnt912PY&lt;176),1,0)</f>
        <v>0</v>
      </c>
    </row>
    <row r="18" spans="2:26">
      <c r="B18" s="904"/>
      <c r="C18" s="124" t="s">
        <v>456</v>
      </c>
      <c r="G18" s="884"/>
      <c r="H18" s="884"/>
      <c r="I18" s="884"/>
      <c r="J18" s="884"/>
    </row>
    <row r="19" spans="2:26" ht="11.25" customHeight="1">
      <c r="B19" s="896" t="s">
        <v>14</v>
      </c>
      <c r="C19" s="100" t="str">
        <f>_xlfn.CONCAT("FY ",Cover!E3," Estimated non-AOI student count")</f>
        <v>FY 2025 Estimated non-AOI student count</v>
      </c>
      <c r="G19" s="80">
        <v>15.5288</v>
      </c>
      <c r="H19" s="80">
        <v>2096.2732000000001</v>
      </c>
      <c r="I19" s="81">
        <v>1520.5485000000001</v>
      </c>
      <c r="J19" s="900">
        <f>NonAOIStudCntPSDCY+NonAOIStudCntK8CY+NonAOIStudCnt912CY</f>
        <v>3632.3505</v>
      </c>
      <c r="K19" s="1831"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32"/>
      <c r="M19" s="1832"/>
    </row>
    <row r="20" spans="2:26">
      <c r="B20" s="896" t="s">
        <v>33</v>
      </c>
      <c r="C20" s="100" t="str">
        <f>_xlfn.CONCAT("FY ",Cover!E3," Estimated AOI full-time student count")</f>
        <v>FY 2025 Estimated AOI full-time student count</v>
      </c>
      <c r="G20" s="905"/>
      <c r="H20" s="80"/>
      <c r="I20" s="81"/>
      <c r="J20" s="900">
        <f>AOIFTStudCntK8CY+AOIFTStudCnt912CY</f>
        <v>0</v>
      </c>
      <c r="K20" s="1831"/>
      <c r="L20" s="1832"/>
      <c r="M20" s="1832"/>
    </row>
    <row r="21" spans="2:26">
      <c r="B21" s="896" t="s">
        <v>123</v>
      </c>
      <c r="C21" s="100" t="str">
        <f>_xlfn.CONCAT("FY ",Cover!E3," Estimated AOI part-time student count")</f>
        <v>FY 2025 Estimated AOI part-time student count</v>
      </c>
      <c r="G21" s="905"/>
      <c r="H21" s="80"/>
      <c r="I21" s="81"/>
      <c r="J21" s="900">
        <f>AOIPTStudCntK8CY+AOIPTStudCnt912CY</f>
        <v>0</v>
      </c>
      <c r="K21" s="1831"/>
      <c r="L21" s="1832"/>
      <c r="M21" s="1832"/>
    </row>
    <row r="22" spans="2:26">
      <c r="B22" s="240" t="s">
        <v>124</v>
      </c>
      <c r="C22" s="100" t="str">
        <f>_xlfn.CONCAT("Total FY ",Cover!E3," estimated student count")</f>
        <v>Total FY 2025 estimated student count</v>
      </c>
      <c r="G22" s="900">
        <f>NonAOIStudCntPSDCY</f>
        <v>15.5288</v>
      </c>
      <c r="H22" s="900">
        <f>NonAOIStudCntK8CY+AOIFTStudCntK8CY+AOIPTStudCntK8CY</f>
        <v>2096.2732000000001</v>
      </c>
      <c r="I22" s="901">
        <f>NonAOIStudCnt912CY+AOIFTStudCnt912CY+AOIPTStudCnt912CY</f>
        <v>1520.5485000000001</v>
      </c>
      <c r="J22" s="900">
        <f>G22+H22+I22</f>
        <v>3632.3505</v>
      </c>
      <c r="K22" s="1832"/>
      <c r="L22" s="1832"/>
      <c r="M22" s="1832"/>
    </row>
    <row r="23" spans="2:26" ht="12.75" customHeight="1">
      <c r="J23" s="721"/>
      <c r="K23" s="1832"/>
      <c r="L23" s="1832"/>
      <c r="M23" s="1832"/>
    </row>
    <row r="25" spans="2:26" ht="12.75" customHeight="1">
      <c r="B25" s="1833" t="s">
        <v>969</v>
      </c>
      <c r="C25" s="1833"/>
      <c r="D25" s="1833"/>
      <c r="E25" s="1833"/>
    </row>
    <row r="26" spans="2:26" ht="15" customHeight="1">
      <c r="B26" s="878"/>
      <c r="C26" s="127" t="s">
        <v>457</v>
      </c>
    </row>
    <row r="27" spans="2:26" ht="35.25" customHeight="1">
      <c r="B27" s="432"/>
      <c r="C27" s="425"/>
      <c r="D27" s="906"/>
      <c r="E27" s="906"/>
      <c r="F27" s="907"/>
      <c r="G27" s="908" t="s">
        <v>458</v>
      </c>
      <c r="H27" s="908" t="s">
        <v>459</v>
      </c>
      <c r="I27" s="908" t="s">
        <v>460</v>
      </c>
      <c r="M27" s="137"/>
      <c r="N27" s="137"/>
      <c r="P27" s="137"/>
      <c r="Q27" s="137"/>
    </row>
    <row r="28" spans="2:26" ht="11.25" customHeight="1">
      <c r="B28" s="896" t="s">
        <v>125</v>
      </c>
      <c r="C28" s="909" t="s">
        <v>461</v>
      </c>
      <c r="D28" s="910"/>
      <c r="E28" s="910"/>
      <c r="F28" s="910"/>
      <c r="G28" s="82">
        <v>811.3954</v>
      </c>
      <c r="H28" s="83">
        <v>0</v>
      </c>
      <c r="I28" s="82">
        <v>0</v>
      </c>
      <c r="M28" s="911"/>
      <c r="N28" s="911"/>
      <c r="P28" s="911"/>
      <c r="Q28" s="911"/>
    </row>
    <row r="29" spans="2:26">
      <c r="B29" s="912" t="s">
        <v>127</v>
      </c>
      <c r="C29" s="913" t="s">
        <v>462</v>
      </c>
      <c r="D29" s="914"/>
      <c r="E29" s="914"/>
      <c r="F29" s="914"/>
      <c r="G29" s="84">
        <v>811.3954</v>
      </c>
      <c r="H29" s="63">
        <v>0</v>
      </c>
      <c r="I29" s="63">
        <v>0</v>
      </c>
      <c r="M29" s="915"/>
      <c r="N29" s="916"/>
      <c r="O29" s="916"/>
      <c r="P29" s="915"/>
      <c r="Q29" s="916"/>
    </row>
    <row r="30" spans="2:26">
      <c r="B30" s="896" t="s">
        <v>128</v>
      </c>
      <c r="C30" s="909" t="s">
        <v>463</v>
      </c>
      <c r="D30" s="910"/>
      <c r="E30" s="910"/>
      <c r="F30" s="910"/>
      <c r="G30" s="82">
        <v>39.555</v>
      </c>
      <c r="H30" s="80">
        <v>0</v>
      </c>
      <c r="I30" s="80">
        <v>0</v>
      </c>
      <c r="M30" s="915"/>
      <c r="N30" s="916"/>
      <c r="O30" s="916"/>
      <c r="P30" s="915"/>
      <c r="Q30" s="916"/>
    </row>
    <row r="31" spans="2:26">
      <c r="B31" s="896" t="s">
        <v>129</v>
      </c>
      <c r="C31" s="913" t="s">
        <v>464</v>
      </c>
      <c r="D31" s="914"/>
      <c r="E31" s="914"/>
      <c r="F31" s="914"/>
      <c r="G31" s="84">
        <v>1.08</v>
      </c>
      <c r="H31" s="63">
        <v>0</v>
      </c>
      <c r="I31" s="63">
        <v>0</v>
      </c>
      <c r="M31" s="915"/>
      <c r="N31" s="916"/>
      <c r="O31" s="916"/>
      <c r="P31" s="915"/>
      <c r="Q31" s="916"/>
    </row>
    <row r="32" spans="2:26">
      <c r="B32" s="896" t="s">
        <v>130</v>
      </c>
      <c r="C32" s="909" t="s">
        <v>465</v>
      </c>
      <c r="D32" s="910"/>
      <c r="E32" s="910"/>
      <c r="F32" s="910"/>
      <c r="G32" s="82">
        <v>26.36</v>
      </c>
      <c r="H32" s="80">
        <v>0</v>
      </c>
      <c r="I32" s="80">
        <v>0</v>
      </c>
      <c r="M32" s="915"/>
      <c r="N32" s="916"/>
      <c r="O32" s="916"/>
      <c r="P32" s="915"/>
      <c r="Q32" s="916"/>
    </row>
    <row r="33" spans="1:18">
      <c r="B33" s="896" t="s">
        <v>131</v>
      </c>
      <c r="C33" s="913" t="s">
        <v>466</v>
      </c>
      <c r="D33" s="914"/>
      <c r="E33" s="914"/>
      <c r="F33" s="914"/>
      <c r="G33" s="84">
        <v>34.950000000000003</v>
      </c>
      <c r="H33" s="63">
        <v>0</v>
      </c>
      <c r="I33" s="63">
        <v>0</v>
      </c>
      <c r="M33" s="915"/>
      <c r="N33" s="916"/>
      <c r="O33" s="916"/>
      <c r="P33" s="915"/>
      <c r="Q33" s="916"/>
    </row>
    <row r="34" spans="1:18">
      <c r="B34" s="896" t="s">
        <v>132</v>
      </c>
      <c r="C34" s="909" t="s">
        <v>467</v>
      </c>
      <c r="D34" s="910"/>
      <c r="E34" s="910"/>
      <c r="F34" s="910"/>
      <c r="G34" s="82">
        <v>1</v>
      </c>
      <c r="H34" s="80">
        <v>0</v>
      </c>
      <c r="I34" s="80">
        <v>0</v>
      </c>
      <c r="M34" s="915"/>
      <c r="N34" s="916"/>
      <c r="O34" s="916"/>
      <c r="P34" s="915"/>
      <c r="Q34" s="916"/>
    </row>
    <row r="35" spans="1:18">
      <c r="B35" s="896" t="s">
        <v>133</v>
      </c>
      <c r="C35" s="913" t="s">
        <v>468</v>
      </c>
      <c r="D35" s="914"/>
      <c r="E35" s="914"/>
      <c r="F35" s="914"/>
      <c r="G35" s="84">
        <v>5</v>
      </c>
      <c r="H35" s="63">
        <v>0</v>
      </c>
      <c r="I35" s="63">
        <v>0</v>
      </c>
      <c r="M35" s="915"/>
      <c r="N35" s="916"/>
      <c r="O35" s="916"/>
      <c r="P35" s="915"/>
      <c r="Q35" s="916"/>
    </row>
    <row r="36" spans="1:18">
      <c r="B36" s="896" t="s">
        <v>134</v>
      </c>
      <c r="C36" s="909" t="s">
        <v>469</v>
      </c>
      <c r="D36" s="910"/>
      <c r="E36" s="910"/>
      <c r="F36" s="910"/>
      <c r="G36" s="82">
        <v>3</v>
      </c>
      <c r="H36" s="80">
        <v>0</v>
      </c>
      <c r="I36" s="80">
        <v>0</v>
      </c>
      <c r="M36" s="915"/>
      <c r="N36" s="916"/>
      <c r="O36" s="916"/>
      <c r="P36" s="915"/>
      <c r="Q36" s="916"/>
    </row>
    <row r="37" spans="1:18">
      <c r="B37" s="896" t="s">
        <v>135</v>
      </c>
      <c r="C37" s="913" t="s">
        <v>470</v>
      </c>
      <c r="D37" s="914"/>
      <c r="E37" s="914"/>
      <c r="F37" s="914"/>
      <c r="G37" s="84">
        <v>4.97</v>
      </c>
      <c r="H37" s="63">
        <v>0</v>
      </c>
      <c r="I37" s="63">
        <v>0</v>
      </c>
      <c r="M37" s="915"/>
      <c r="N37" s="916"/>
      <c r="O37" s="916"/>
      <c r="P37" s="915"/>
      <c r="Q37" s="916"/>
    </row>
    <row r="38" spans="1:18">
      <c r="B38" s="896" t="s">
        <v>136</v>
      </c>
      <c r="C38" s="909" t="s">
        <v>471</v>
      </c>
      <c r="D38" s="910"/>
      <c r="E38" s="910"/>
      <c r="F38" s="910"/>
      <c r="G38" s="82">
        <v>371.6139</v>
      </c>
      <c r="H38" s="80">
        <v>0</v>
      </c>
      <c r="I38" s="80">
        <v>0</v>
      </c>
      <c r="J38" s="917" t="s">
        <v>472</v>
      </c>
      <c r="M38" s="915"/>
      <c r="N38" s="916"/>
      <c r="O38" s="916"/>
      <c r="P38" s="915"/>
      <c r="Q38" s="916"/>
    </row>
    <row r="39" spans="1:18">
      <c r="B39" s="896" t="s">
        <v>137</v>
      </c>
      <c r="C39" s="913" t="s">
        <v>473</v>
      </c>
      <c r="D39" s="914"/>
      <c r="E39" s="914"/>
      <c r="F39" s="914"/>
      <c r="G39" s="84">
        <v>14</v>
      </c>
      <c r="H39" s="63">
        <v>0</v>
      </c>
      <c r="I39" s="63">
        <v>0</v>
      </c>
      <c r="M39" s="915"/>
      <c r="N39" s="916"/>
      <c r="O39" s="916"/>
      <c r="P39" s="915"/>
      <c r="Q39" s="916"/>
    </row>
    <row r="40" spans="1:18">
      <c r="B40" s="896" t="s">
        <v>138</v>
      </c>
      <c r="C40" s="909" t="s">
        <v>474</v>
      </c>
      <c r="D40" s="910"/>
      <c r="E40" s="910"/>
      <c r="F40" s="910"/>
      <c r="G40" s="82">
        <v>8.5299999999999994</v>
      </c>
      <c r="H40" s="80">
        <v>0</v>
      </c>
      <c r="I40" s="80">
        <v>0</v>
      </c>
      <c r="M40" s="915"/>
      <c r="N40" s="916"/>
      <c r="O40" s="916"/>
      <c r="P40" s="915"/>
      <c r="Q40" s="916"/>
    </row>
    <row r="41" spans="1:18">
      <c r="B41" s="896" t="s">
        <v>139</v>
      </c>
      <c r="C41" s="913" t="s">
        <v>475</v>
      </c>
      <c r="D41" s="918"/>
      <c r="E41" s="918"/>
      <c r="F41" s="914"/>
      <c r="G41" s="85">
        <v>0</v>
      </c>
      <c r="H41" s="86">
        <v>0</v>
      </c>
      <c r="I41" s="86">
        <v>0</v>
      </c>
    </row>
    <row r="42" spans="1:18">
      <c r="B42" s="896" t="s">
        <v>140</v>
      </c>
      <c r="C42" s="919" t="s">
        <v>476</v>
      </c>
      <c r="D42" s="920"/>
      <c r="E42" s="920"/>
      <c r="F42" s="920"/>
      <c r="G42" s="87">
        <v>273.91000000000003</v>
      </c>
      <c r="H42" s="88">
        <v>0</v>
      </c>
      <c r="I42" s="88">
        <v>0</v>
      </c>
      <c r="M42" s="915"/>
      <c r="N42" s="916"/>
      <c r="O42" s="916"/>
      <c r="P42" s="915"/>
      <c r="Q42" s="916"/>
    </row>
    <row r="43" spans="1:18">
      <c r="B43" s="896" t="s">
        <v>141</v>
      </c>
      <c r="C43" s="921" t="s">
        <v>477</v>
      </c>
      <c r="D43" s="922"/>
      <c r="E43" s="922"/>
      <c r="F43" s="922"/>
      <c r="G43" s="98">
        <v>1280.6427000000001</v>
      </c>
      <c r="H43" s="99">
        <v>0</v>
      </c>
      <c r="I43" s="99">
        <v>0</v>
      </c>
      <c r="J43" s="923"/>
      <c r="M43" s="915"/>
      <c r="N43" s="916"/>
      <c r="O43" s="916"/>
      <c r="P43" s="915"/>
      <c r="Q43" s="916"/>
    </row>
    <row r="44" spans="1:18" ht="11.25" customHeight="1">
      <c r="B44" s="924" t="s">
        <v>142</v>
      </c>
      <c r="C44" s="925" t="s">
        <v>1281</v>
      </c>
      <c r="D44" s="920"/>
      <c r="E44" s="920"/>
      <c r="F44" s="920"/>
      <c r="G44" s="926">
        <f>SUM(G28:G43)</f>
        <v>3687.4023999999999</v>
      </c>
      <c r="H44" s="926">
        <f>SUM(H28:H43)</f>
        <v>0</v>
      </c>
      <c r="I44" s="926">
        <f>SUM(I28:I43)</f>
        <v>0</v>
      </c>
      <c r="J44" s="927"/>
      <c r="K44" s="928"/>
      <c r="L44" s="928"/>
      <c r="M44" s="916"/>
      <c r="N44" s="916"/>
      <c r="O44" s="916"/>
      <c r="P44" s="916"/>
      <c r="Q44" s="916"/>
      <c r="R44" s="916"/>
    </row>
    <row r="45" spans="1:18" ht="32.25" customHeight="1">
      <c r="A45" s="400" t="s">
        <v>972</v>
      </c>
    </row>
    <row r="46" spans="1:18" ht="15.75" customHeight="1" thickBot="1">
      <c r="C46" s="100" t="s">
        <v>453</v>
      </c>
      <c r="D46" s="929" t="s">
        <v>454</v>
      </c>
    </row>
    <row r="47" spans="1:18" ht="12.75" customHeight="1" thickBot="1">
      <c r="A47" s="400"/>
      <c r="B47" s="896" t="s">
        <v>1</v>
      </c>
      <c r="C47" s="59"/>
      <c r="D47" s="59"/>
      <c r="E47" s="1815" t="s">
        <v>478</v>
      </c>
      <c r="F47" s="1547"/>
      <c r="G47" s="1547"/>
      <c r="H47" s="1547"/>
      <c r="I47" s="1547"/>
      <c r="J47" s="1547"/>
      <c r="K47" s="1547"/>
    </row>
    <row r="48" spans="1:18" ht="12" customHeight="1" thickBot="1">
      <c r="A48" s="400"/>
    </row>
    <row r="49" spans="1:16" hidden="1"/>
    <row r="50" spans="1:16" ht="12.75" hidden="1" thickBot="1"/>
    <row r="51" spans="1:16" ht="12.75" thickBot="1">
      <c r="B51" s="896" t="s">
        <v>2</v>
      </c>
      <c r="C51" s="59"/>
      <c r="E51" s="1816" t="s">
        <v>1282</v>
      </c>
      <c r="F51" s="1816"/>
      <c r="G51" s="1816"/>
      <c r="H51" s="1816"/>
      <c r="I51" s="1816"/>
      <c r="J51" s="1816"/>
    </row>
    <row r="53" spans="1:16">
      <c r="B53" s="896" t="s">
        <v>14</v>
      </c>
      <c r="C53" s="100" t="str">
        <f>_xlfn.CONCAT("Adjusted FY ",Cover!E3," Base Level Amount")</f>
        <v>Adjusted FY 2025 Base Level Amount</v>
      </c>
      <c r="K53" s="106"/>
      <c r="L53" s="930">
        <f>BSA55BLA</f>
        <v>5013</v>
      </c>
      <c r="P53" s="928"/>
    </row>
    <row r="54" spans="1:16" ht="22.5" customHeight="1">
      <c r="B54" s="896" t="s">
        <v>33</v>
      </c>
      <c r="C54" s="1825"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26"/>
      <c r="E54" s="1826"/>
      <c r="F54" s="1826"/>
      <c r="G54" s="1826"/>
      <c r="H54" s="1826"/>
      <c r="I54" s="1826"/>
      <c r="J54" s="1826"/>
      <c r="K54" s="1827"/>
      <c r="L54" s="63">
        <v>1.0067999999999999</v>
      </c>
    </row>
    <row r="55" spans="1:16">
      <c r="B55" s="896" t="s">
        <v>123</v>
      </c>
      <c r="C55" s="933" t="str">
        <f>_xlfn.CONCAT("FY ",TwoYearsPrior," actual non-federal audit expenditures from all funds (A.R.S. Section 15-914.F)")</f>
        <v>FY 2023 actual non-federal audit expenditures from all funds (A.R.S. Section 15-914.F)</v>
      </c>
      <c r="D55" s="910"/>
      <c r="E55" s="910"/>
      <c r="F55" s="910"/>
      <c r="G55" s="910"/>
      <c r="H55" s="910"/>
      <c r="I55" s="910"/>
      <c r="J55" s="910"/>
      <c r="K55" s="934"/>
      <c r="L55" s="65">
        <v>49660.19</v>
      </c>
    </row>
    <row r="56" spans="1:16">
      <c r="B56" s="896" t="s">
        <v>124</v>
      </c>
      <c r="C56" s="1371" t="str">
        <f>_xlfn.CONCAT("FY ",TwoYearsPrior," actual federal audit expenditures from all funds")</f>
        <v>FY 2023 actual federal audit expenditures from all funds</v>
      </c>
      <c r="D56" s="1372"/>
      <c r="E56" s="1372"/>
      <c r="F56" s="914"/>
      <c r="G56" s="914"/>
      <c r="H56" s="914"/>
      <c r="I56" s="914"/>
      <c r="J56" s="914"/>
      <c r="K56" s="932"/>
      <c r="L56" s="64">
        <v>0</v>
      </c>
    </row>
    <row r="57" spans="1:16">
      <c r="B57" s="936" t="s">
        <v>125</v>
      </c>
      <c r="C57" s="933" t="str">
        <f>_xlfn.CONCAT("FY ",TwoYearsPrior," actual total audit expenditures from all funds (line 5 plus line 6)")</f>
        <v>FY 2023 actual total audit expenditures from all funds (line 5 plus line 6)</v>
      </c>
      <c r="D57" s="910"/>
      <c r="E57" s="910"/>
      <c r="F57" s="910"/>
      <c r="G57" s="910"/>
      <c r="H57" s="910"/>
      <c r="I57" s="910"/>
      <c r="J57" s="910"/>
      <c r="K57" s="937"/>
      <c r="L57" s="935">
        <f>L55+L56</f>
        <v>49660.19</v>
      </c>
    </row>
    <row r="59" spans="1:16" ht="21" customHeight="1">
      <c r="A59" s="1310" t="s">
        <v>970</v>
      </c>
      <c r="C59" s="399"/>
      <c r="M59"/>
      <c r="N59"/>
      <c r="O59"/>
      <c r="P59"/>
    </row>
    <row r="60" spans="1:16" ht="12" customHeight="1">
      <c r="B60" s="896" t="s">
        <v>1</v>
      </c>
      <c r="C60" s="909" t="str">
        <f>_xlfn.CONCAT("FY ",PriorFiscalYear," Approved Daily Route Miles")</f>
        <v>FY 2024 Approved Daily Route Miles</v>
      </c>
      <c r="D60" s="938"/>
      <c r="E60" s="938"/>
      <c r="F60" s="938"/>
      <c r="G60" s="910"/>
      <c r="H60" s="910"/>
      <c r="I60" s="910"/>
      <c r="J60" s="910"/>
      <c r="K60" s="934"/>
      <c r="L60" s="61">
        <v>1441</v>
      </c>
      <c r="M60"/>
      <c r="N60"/>
      <c r="O60"/>
      <c r="P60"/>
    </row>
    <row r="61" spans="1:16" ht="12" customHeight="1">
      <c r="B61" s="896" t="s">
        <v>2</v>
      </c>
      <c r="C61" s="1373" t="str">
        <f>_xlfn.CONCAT("Number of Eligible Students Transported in FY ",PriorFiscalYear)</f>
        <v>Number of Eligible Students Transported in FY 2024</v>
      </c>
      <c r="D61" s="1316"/>
      <c r="E61" s="1316"/>
      <c r="F61" s="1316"/>
      <c r="G61" s="914"/>
      <c r="H61" s="914"/>
      <c r="I61" s="914"/>
      <c r="J61" s="914"/>
      <c r="K61" s="932"/>
      <c r="L61" s="62">
        <v>811.1</v>
      </c>
      <c r="M61"/>
      <c r="N61"/>
      <c r="O61"/>
      <c r="P61"/>
    </row>
    <row r="62" spans="1:16" ht="12" customHeight="1">
      <c r="B62" s="896" t="s">
        <v>14</v>
      </c>
      <c r="C62" s="1813" t="str">
        <f>_xlfn.CONCAT("FY ",PriorFiscalYear," Annual Expenditure for Bus Tokens")</f>
        <v>FY 2024 Annual Expenditure for Bus Tokens</v>
      </c>
      <c r="D62" s="1814"/>
      <c r="E62" s="1814"/>
      <c r="F62" s="1814"/>
      <c r="G62" s="910"/>
      <c r="H62" s="910"/>
      <c r="I62" s="910"/>
      <c r="J62" s="910"/>
      <c r="K62" s="934"/>
      <c r="L62" s="65">
        <v>0</v>
      </c>
      <c r="M62"/>
      <c r="N62"/>
      <c r="O62"/>
      <c r="P62"/>
    </row>
    <row r="63" spans="1:16" ht="12" customHeight="1">
      <c r="B63" s="896" t="s">
        <v>33</v>
      </c>
      <c r="C63" s="1373" t="str">
        <f>_xlfn.CONCAT("FY ",PriorFiscalYear," Annual Expenditure for Bus Passes")</f>
        <v>FY 2024 Annual Expenditure for Bus Passes</v>
      </c>
      <c r="D63" s="1316"/>
      <c r="E63" s="1316"/>
      <c r="F63" s="1316"/>
      <c r="G63" s="914"/>
      <c r="H63" s="914"/>
      <c r="I63" s="914"/>
      <c r="J63" s="914"/>
      <c r="K63" s="932"/>
      <c r="L63" s="64">
        <v>0</v>
      </c>
      <c r="M63"/>
      <c r="N63"/>
      <c r="O63"/>
      <c r="P63"/>
    </row>
    <row r="64" spans="1:16" ht="12" customHeight="1">
      <c r="B64" s="896" t="s">
        <v>123</v>
      </c>
      <c r="C64" s="909" t="str">
        <f>_xlfn.CONCAT("Actual Route Miles traveled in July and August ",TwoYearsPrior," to Transport Pupils w/Disabilities for Extended School Year")</f>
        <v>Actual Route Miles traveled in July and August 2023 to Transport Pupils w/Disabilities for Extended School Year</v>
      </c>
      <c r="D64" s="938"/>
      <c r="E64" s="938"/>
      <c r="F64" s="938"/>
      <c r="G64" s="938"/>
      <c r="H64" s="938"/>
      <c r="I64" s="938"/>
      <c r="J64" s="938"/>
      <c r="K64" s="934"/>
      <c r="L64" s="61">
        <v>0</v>
      </c>
      <c r="M64"/>
      <c r="N64"/>
      <c r="O64"/>
      <c r="P64"/>
    </row>
    <row r="65" spans="1:27" ht="12" customHeight="1">
      <c r="B65" s="240" t="s">
        <v>124</v>
      </c>
      <c r="C65" s="1373" t="str">
        <f>_xlfn.CONCAT("Estimated Route Miles Traveled in June ",PriorFiscalYear," to Transport Pupils w/Disabilities for Extended School Year")</f>
        <v>Estimated Route Miles Traveled in June 2024 to Transport Pupils w/Disabilities for Extended School Year</v>
      </c>
      <c r="D65" s="1316"/>
      <c r="E65" s="1316"/>
      <c r="F65" s="1316"/>
      <c r="G65" s="914"/>
      <c r="H65" s="914"/>
      <c r="I65" s="914"/>
      <c r="J65" s="914"/>
      <c r="K65" s="932"/>
      <c r="L65" s="62">
        <v>1500</v>
      </c>
      <c r="M65"/>
      <c r="N65"/>
      <c r="O65"/>
      <c r="P65"/>
    </row>
    <row r="66" spans="1:27" ht="14.25" customHeight="1">
      <c r="B66" s="240"/>
      <c r="K66" s="106"/>
      <c r="L66" s="916"/>
      <c r="M66"/>
      <c r="N66"/>
      <c r="O66"/>
      <c r="P66"/>
    </row>
    <row r="67" spans="1:27" ht="21.75" customHeight="1">
      <c r="A67" s="1311" t="s">
        <v>971</v>
      </c>
      <c r="C67" s="400"/>
    </row>
    <row r="68" spans="1:27">
      <c r="B68" s="896" t="s">
        <v>1</v>
      </c>
      <c r="C68" s="100" t="s">
        <v>1018</v>
      </c>
    </row>
    <row r="69" spans="1:27">
      <c r="B69" s="940"/>
      <c r="C69" s="941" t="s">
        <v>424</v>
      </c>
      <c r="D69" s="942" t="s">
        <v>452</v>
      </c>
      <c r="E69" s="910"/>
      <c r="F69" s="910"/>
      <c r="G69" s="910"/>
      <c r="H69" s="910"/>
      <c r="I69" s="934"/>
      <c r="J69" s="943"/>
      <c r="K69" s="937"/>
      <c r="L69" s="65">
        <v>0</v>
      </c>
      <c r="M69" s="207"/>
      <c r="N69" s="944"/>
    </row>
    <row r="70" spans="1:27">
      <c r="B70" s="940"/>
      <c r="C70" s="100" t="s">
        <v>425</v>
      </c>
      <c r="D70" s="945" t="s">
        <v>453</v>
      </c>
      <c r="E70" s="914"/>
      <c r="F70" s="914"/>
      <c r="G70" s="914"/>
      <c r="H70" s="914"/>
      <c r="I70" s="932"/>
      <c r="J70" s="946"/>
      <c r="K70" s="947"/>
      <c r="L70" s="66">
        <v>0</v>
      </c>
      <c r="M70" s="207"/>
      <c r="N70" s="944"/>
    </row>
    <row r="71" spans="1:27">
      <c r="B71" s="940"/>
      <c r="C71" s="100" t="s">
        <v>426</v>
      </c>
      <c r="D71" s="948" t="s">
        <v>454</v>
      </c>
      <c r="E71" s="910"/>
      <c r="F71" s="910"/>
      <c r="G71" s="910"/>
      <c r="H71" s="910"/>
      <c r="I71" s="934"/>
      <c r="J71" s="943"/>
      <c r="K71" s="937"/>
      <c r="L71" s="67">
        <v>0</v>
      </c>
      <c r="M71" s="207"/>
      <c r="N71" s="944"/>
    </row>
    <row r="72" spans="1:27" hidden="1">
      <c r="L72" s="13"/>
    </row>
    <row r="73" spans="1:27" hidden="1">
      <c r="L73" s="13"/>
    </row>
    <row r="74" spans="1:27" ht="13.5" customHeight="1">
      <c r="B74" s="896" t="s">
        <v>2</v>
      </c>
      <c r="C74" s="1219" t="s">
        <v>1019</v>
      </c>
      <c r="D74" s="1220"/>
      <c r="E74" s="1220"/>
      <c r="F74" s="1220"/>
      <c r="G74" s="1220"/>
      <c r="H74" s="1220"/>
      <c r="I74" s="1220"/>
      <c r="J74" s="918"/>
      <c r="K74" s="1221"/>
      <c r="L74" s="64"/>
    </row>
    <row r="75" spans="1:27">
      <c r="B75" s="896" t="s">
        <v>14</v>
      </c>
      <c r="C75" s="942" t="s">
        <v>1020</v>
      </c>
      <c r="D75" s="949"/>
      <c r="E75" s="949"/>
      <c r="F75" s="949"/>
      <c r="G75" s="949"/>
      <c r="H75" s="949"/>
      <c r="I75" s="949"/>
      <c r="J75" s="910"/>
      <c r="K75" s="937"/>
      <c r="L75" s="65"/>
      <c r="N75" s="944"/>
    </row>
    <row r="76" spans="1:27">
      <c r="B76" s="1461" t="s">
        <v>33</v>
      </c>
      <c r="C76" s="1844" t="s">
        <v>893</v>
      </c>
      <c r="D76" s="1844"/>
      <c r="E76" s="1844"/>
      <c r="F76" s="1844"/>
      <c r="G76" s="1844"/>
      <c r="H76" s="1844"/>
      <c r="I76" s="1844"/>
      <c r="J76" s="1844"/>
      <c r="K76" s="1845"/>
      <c r="L76" s="64"/>
      <c r="N76" s="944"/>
    </row>
    <row r="77" spans="1:27">
      <c r="B77" s="1461" t="s">
        <v>123</v>
      </c>
      <c r="C77" s="1828" t="s">
        <v>894</v>
      </c>
      <c r="D77" s="1829"/>
      <c r="E77" s="1829"/>
      <c r="F77" s="1829"/>
      <c r="G77" s="1829"/>
      <c r="H77" s="1829"/>
      <c r="I77" s="1829"/>
      <c r="J77" s="1829"/>
      <c r="K77" s="1829"/>
      <c r="L77" s="65"/>
      <c r="N77" s="944"/>
    </row>
    <row r="78" spans="1:27">
      <c r="B78" s="1461" t="s">
        <v>124</v>
      </c>
      <c r="C78" s="1828" t="s">
        <v>1293</v>
      </c>
      <c r="D78" s="1829"/>
      <c r="E78" s="1829"/>
      <c r="F78" s="1829"/>
      <c r="G78" s="1829"/>
      <c r="H78" s="1829"/>
      <c r="I78" s="1829"/>
      <c r="J78" s="1829"/>
      <c r="K78" s="1829"/>
      <c r="L78" s="1512"/>
      <c r="N78" s="944"/>
      <c r="AA78" s="1237" t="str">
        <f>IF((AND(L78&lt;&gt;"",C78="Other BSL Adjustment 1")),"Yes","")</f>
        <v/>
      </c>
    </row>
    <row r="79" spans="1:27">
      <c r="B79" s="1461" t="s">
        <v>125</v>
      </c>
      <c r="C79" s="1828" t="s">
        <v>1294</v>
      </c>
      <c r="D79" s="1829"/>
      <c r="E79" s="1829"/>
      <c r="F79" s="1829"/>
      <c r="G79" s="1829"/>
      <c r="H79" s="1829"/>
      <c r="I79" s="1829"/>
      <c r="J79" s="1829"/>
      <c r="K79" s="1829"/>
      <c r="L79" s="65"/>
      <c r="N79" s="944"/>
      <c r="AA79" s="100" t="str">
        <f>IF((AND(L79&lt;&gt;"",C79="Other BSL Adjustment 2")),"Yes","")</f>
        <v/>
      </c>
    </row>
    <row r="80" spans="1:27">
      <c r="B80" s="950"/>
      <c r="C80" s="107"/>
      <c r="D80" s="107"/>
      <c r="E80" s="107"/>
      <c r="F80" s="107"/>
      <c r="G80" s="107"/>
      <c r="H80" s="107"/>
      <c r="I80" s="107"/>
      <c r="K80" s="106"/>
      <c r="M80" s="205"/>
      <c r="N80" s="944"/>
    </row>
    <row r="81" spans="2:27" ht="15.75" customHeight="1">
      <c r="B81" s="1312" t="s">
        <v>973</v>
      </c>
      <c r="C81" s="127"/>
      <c r="D81" s="127"/>
      <c r="E81" s="127"/>
      <c r="F81" s="127"/>
      <c r="J81" s="106"/>
      <c r="K81" s="106"/>
      <c r="L81" s="944"/>
      <c r="M81" s="205"/>
      <c r="N81" s="944"/>
    </row>
    <row r="82" spans="2:27">
      <c r="B82" s="1448" t="s">
        <v>127</v>
      </c>
      <c r="C82" s="1371" t="str">
        <f>_xlfn.CONCAT(PriorFiscalYear," Primary net assessed valuation (AV)")</f>
        <v>2024 Primary net assessed valuation (AV)</v>
      </c>
      <c r="D82" s="1372"/>
      <c r="E82" s="1372"/>
      <c r="F82" s="914"/>
      <c r="G82" s="914"/>
      <c r="H82" s="914"/>
      <c r="I82" s="914"/>
      <c r="J82" s="914"/>
      <c r="K82" s="932"/>
      <c r="L82" s="89">
        <v>1300318710</v>
      </c>
      <c r="M82" s="205"/>
      <c r="N82" s="944"/>
    </row>
    <row r="83" spans="2:27" ht="15">
      <c r="B83" s="1461" t="s">
        <v>128</v>
      </c>
      <c r="C83" s="933" t="str">
        <f>_xlfn.CONCAT(PriorFiscalYear," Primary net assessed valuation (AV2)")</f>
        <v>2024 Primary net assessed valuation (AV2)</v>
      </c>
      <c r="D83" s="910"/>
      <c r="E83" s="910"/>
      <c r="F83" s="910"/>
      <c r="G83" s="910"/>
      <c r="H83" s="910"/>
      <c r="I83" s="910"/>
      <c r="J83" s="910"/>
      <c r="K83" s="934"/>
      <c r="L83" s="90"/>
      <c r="M83" s="1836" t="str">
        <f>IF(AND(_PAV2&gt;0,P83&lt;&gt;"X"),"If the amount shown for Primary Assessed Valuation 2 (AV2) on page 6 of the District's most recent BSA 55-1 report from ADE is greater than 0, mark X in cell P77.","")</f>
        <v/>
      </c>
      <c r="N83" s="1837"/>
      <c r="O83" s="1837"/>
      <c r="P83" s="389"/>
      <c r="Q83" s="952"/>
      <c r="R83" s="952"/>
      <c r="S83" s="952"/>
      <c r="T83" s="952"/>
      <c r="U83" s="952"/>
      <c r="V83" s="952"/>
      <c r="W83" s="952"/>
      <c r="X83" s="952"/>
      <c r="Y83" s="952"/>
      <c r="Z83" s="952"/>
      <c r="AA83" s="952"/>
    </row>
    <row r="84" spans="2:27">
      <c r="B84" s="1448" t="s">
        <v>129</v>
      </c>
      <c r="C84" s="1371" t="str">
        <f>_xlfn.CONCAT(PriorFiscalYear," Salt River Project (SRP) valuation")</f>
        <v>2024 Salt River Project (SRP) valuation</v>
      </c>
      <c r="D84" s="1372"/>
      <c r="E84" s="1372"/>
      <c r="F84" s="1372"/>
      <c r="G84" s="914"/>
      <c r="H84" s="914"/>
      <c r="I84" s="914"/>
      <c r="J84" s="914"/>
      <c r="K84" s="932"/>
      <c r="L84" s="89"/>
      <c r="M84" s="1836"/>
      <c r="N84" s="1837"/>
      <c r="O84" s="1837"/>
    </row>
    <row r="85" spans="2:27">
      <c r="B85" s="1448" t="s">
        <v>130</v>
      </c>
      <c r="C85" s="933" t="str">
        <f>_xlfn.CONCAT(PriorFiscalYear," Government Property Lease Excise Tax assessed valuation")</f>
        <v>2024 Government Property Lease Excise Tax assessed valuation</v>
      </c>
      <c r="D85" s="910"/>
      <c r="E85" s="910"/>
      <c r="F85" s="910"/>
      <c r="G85" s="910"/>
      <c r="H85" s="910"/>
      <c r="I85" s="910"/>
      <c r="J85" s="910"/>
      <c r="K85" s="934"/>
      <c r="L85" s="90"/>
      <c r="M85" s="1836"/>
      <c r="N85" s="1837"/>
      <c r="O85" s="1837"/>
    </row>
    <row r="86" spans="2:27" ht="12" customHeight="1">
      <c r="B86" s="240"/>
      <c r="K86" s="106"/>
      <c r="L86" s="373"/>
      <c r="M86" s="205"/>
      <c r="N86" s="944"/>
    </row>
    <row r="87" spans="2:27" ht="15.75" customHeight="1">
      <c r="B87" s="1312" t="s">
        <v>974</v>
      </c>
      <c r="C87" s="127"/>
      <c r="D87" s="127"/>
      <c r="E87" s="127"/>
      <c r="F87" s="127"/>
      <c r="G87" s="127"/>
      <c r="K87" s="106"/>
      <c r="L87" s="373"/>
      <c r="M87" s="205"/>
      <c r="N87" s="944"/>
    </row>
    <row r="88" spans="2:27">
      <c r="B88" s="1461" t="s">
        <v>131</v>
      </c>
      <c r="C88" s="1371" t="str">
        <f>_xlfn.CONCAT("Adjustments to the General Budget Limit (from FY ",PriorFiscalYear," BUDG75, leave blank for budget adoption)")</f>
        <v>Adjustments to the General Budget Limit (from FY 2024 BUDG75, leave blank for budget adoption)</v>
      </c>
      <c r="D88" s="1372"/>
      <c r="E88" s="1372"/>
      <c r="F88" s="914"/>
      <c r="G88" s="914"/>
      <c r="H88" s="914"/>
      <c r="I88" s="914"/>
      <c r="J88" s="914"/>
      <c r="K88" s="932"/>
      <c r="L88" s="64">
        <v>0</v>
      </c>
      <c r="M88" s="205"/>
      <c r="N88" s="944"/>
    </row>
    <row r="89" spans="2:27">
      <c r="B89" s="1461" t="s">
        <v>132</v>
      </c>
      <c r="C89" s="933" t="str">
        <f>_xlfn.CONCAT("FY ",PriorFiscalYear," M and O Fund actual expenditures (from FY ",PriorFiscalYear," AFR, amount will be estimated for budget adoption)")</f>
        <v>FY 2024 M and O Fund actual expenditures (from FY 2024 AFR, amount will be estimated for budget adoption)</v>
      </c>
      <c r="D89" s="910"/>
      <c r="E89" s="910"/>
      <c r="F89" s="910"/>
      <c r="G89" s="910"/>
      <c r="H89" s="910"/>
      <c r="I89" s="910"/>
      <c r="J89" s="910"/>
      <c r="K89" s="937"/>
      <c r="L89" s="65">
        <f>30000000-649428-100000</f>
        <v>29250572</v>
      </c>
      <c r="M89" s="205"/>
      <c r="N89" s="944"/>
    </row>
    <row r="90" spans="2:27">
      <c r="B90" s="1448" t="s">
        <v>133</v>
      </c>
      <c r="C90" s="1374" t="str">
        <f>_xlfn.CONCAT("FY ",PriorFiscalYear," M and O Fund actual expenditures (if any) for:")</f>
        <v>FY 2024 M and O Fund actual expenditures (if any) for:</v>
      </c>
      <c r="D90" s="1375"/>
      <c r="E90" s="1375"/>
      <c r="F90" s="1375"/>
      <c r="G90" s="953"/>
      <c r="H90" s="953"/>
      <c r="I90" s="953"/>
      <c r="J90" s="953"/>
      <c r="K90" s="954"/>
      <c r="L90" s="946"/>
      <c r="M90" s="205"/>
      <c r="N90" s="944"/>
    </row>
    <row r="91" spans="2:27">
      <c r="C91" s="106" t="s">
        <v>424</v>
      </c>
      <c r="D91" s="933" t="s">
        <v>479</v>
      </c>
      <c r="E91" s="910"/>
      <c r="F91" s="910"/>
      <c r="G91" s="910"/>
      <c r="H91" s="910"/>
      <c r="I91" s="910"/>
      <c r="J91" s="910"/>
      <c r="K91" s="934"/>
      <c r="L91" s="65">
        <v>0</v>
      </c>
      <c r="M91" s="207"/>
      <c r="N91" s="944"/>
    </row>
    <row r="92" spans="2:27">
      <c r="C92" s="106" t="s">
        <v>425</v>
      </c>
      <c r="D92" s="931" t="s">
        <v>480</v>
      </c>
      <c r="E92" s="914"/>
      <c r="F92" s="914"/>
      <c r="G92" s="914"/>
      <c r="H92" s="914"/>
      <c r="I92" s="914"/>
      <c r="J92" s="914"/>
      <c r="K92" s="932"/>
      <c r="L92" s="64">
        <v>0</v>
      </c>
      <c r="M92" s="207"/>
      <c r="N92" s="944"/>
    </row>
    <row r="93" spans="2:27">
      <c r="B93" s="240"/>
      <c r="C93" s="223" t="s">
        <v>426</v>
      </c>
      <c r="D93" s="933" t="s">
        <v>1021</v>
      </c>
      <c r="E93" s="910"/>
      <c r="F93" s="910"/>
      <c r="G93" s="910"/>
      <c r="H93" s="910"/>
      <c r="I93" s="910"/>
      <c r="J93" s="910"/>
      <c r="K93" s="934"/>
      <c r="L93" s="65">
        <v>0</v>
      </c>
      <c r="M93" s="207"/>
      <c r="N93" s="944"/>
    </row>
    <row r="94" spans="2:27">
      <c r="B94" s="240"/>
      <c r="C94" s="223" t="s">
        <v>481</v>
      </c>
      <c r="D94" s="1464" t="s">
        <v>483</v>
      </c>
      <c r="E94" s="1465"/>
      <c r="F94" s="1465"/>
      <c r="G94" s="1465"/>
      <c r="H94" s="1465"/>
      <c r="I94" s="1465"/>
      <c r="J94" s="1465"/>
      <c r="K94" s="1466"/>
      <c r="L94" s="1467">
        <v>0</v>
      </c>
      <c r="M94" s="207"/>
      <c r="N94" s="944"/>
    </row>
    <row r="95" spans="2:27">
      <c r="B95" s="240"/>
      <c r="C95" s="1462" t="s">
        <v>1179</v>
      </c>
      <c r="D95" s="1468" t="s">
        <v>1022</v>
      </c>
      <c r="E95" s="721"/>
      <c r="F95" s="721"/>
      <c r="G95" s="721"/>
      <c r="H95" s="721"/>
      <c r="I95" s="721"/>
      <c r="J95" s="721"/>
      <c r="K95" s="1469"/>
      <c r="L95" s="1470">
        <v>0</v>
      </c>
      <c r="M95" s="207"/>
      <c r="N95" s="944"/>
    </row>
    <row r="96" spans="2:27">
      <c r="B96" s="1448" t="s">
        <v>134</v>
      </c>
      <c r="C96" s="1464" t="s">
        <v>485</v>
      </c>
      <c r="D96" s="1465"/>
      <c r="E96" s="1465"/>
      <c r="F96" s="1465"/>
      <c r="G96" s="1465"/>
      <c r="H96" s="1465"/>
      <c r="I96" s="1465"/>
      <c r="J96" s="1465"/>
      <c r="K96" s="1466"/>
      <c r="L96" s="1467"/>
      <c r="M96" s="205"/>
      <c r="N96" s="944"/>
    </row>
    <row r="97" spans="2:17" ht="12.75" customHeight="1">
      <c r="B97" s="240"/>
      <c r="K97" s="106"/>
      <c r="L97" s="944"/>
      <c r="M97" s="205"/>
      <c r="N97" s="944"/>
    </row>
    <row r="98" spans="2:17" ht="15.75" customHeight="1">
      <c r="B98" s="955" t="s">
        <v>975</v>
      </c>
      <c r="C98" s="127"/>
      <c r="D98" s="127"/>
      <c r="E98" s="127"/>
      <c r="F98" s="127"/>
      <c r="G98" s="127"/>
      <c r="H98" s="127"/>
      <c r="K98" s="106"/>
      <c r="L98" s="944"/>
      <c r="M98" s="205"/>
      <c r="N98" s="944"/>
    </row>
    <row r="99" spans="2:17">
      <c r="B99" s="1461" t="s">
        <v>135</v>
      </c>
      <c r="C99" s="933" t="str">
        <f>_xlfn.CONCAT("FY ",Cover!E3," Impact Aid revenue")</f>
        <v>FY 2025 Impact Aid revenue</v>
      </c>
      <c r="D99" s="910"/>
      <c r="E99" s="910"/>
      <c r="F99" s="910"/>
      <c r="G99" s="910"/>
      <c r="H99" s="910"/>
      <c r="I99" s="910"/>
      <c r="J99" s="910"/>
      <c r="K99" s="937"/>
      <c r="L99" s="65"/>
      <c r="M99" s="205"/>
      <c r="N99" s="944"/>
    </row>
    <row r="100" spans="2:17" ht="11.25" customHeight="1">
      <c r="B100" s="1448" t="s">
        <v>136</v>
      </c>
      <c r="C100" s="1464"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65"/>
      <c r="E100" s="1465"/>
      <c r="F100" s="1465"/>
      <c r="G100" s="1465"/>
      <c r="H100" s="1465"/>
      <c r="I100" s="1465"/>
      <c r="J100" s="1465"/>
      <c r="K100" s="1471"/>
      <c r="L100" s="1467"/>
      <c r="M100" s="205"/>
      <c r="N100" s="944"/>
    </row>
    <row r="101" spans="2:17" ht="11.25" customHeight="1">
      <c r="B101" s="1461" t="s">
        <v>137</v>
      </c>
      <c r="C101" s="909" t="str">
        <f>_xlfn.CONCAT("Impact Aid revenue transferred in FY ",Cover!E3," to the M and O Fund to provide cash for the TRCL/TSL difference")</f>
        <v>Impact Aid revenue transferred in FY 2025 to the M and O Fund to provide cash for the TRCL/TSL difference</v>
      </c>
      <c r="D101" s="938"/>
      <c r="E101" s="938"/>
      <c r="F101" s="938"/>
      <c r="G101" s="938"/>
      <c r="H101" s="938"/>
      <c r="I101" s="938"/>
      <c r="J101" s="938"/>
      <c r="K101" s="937"/>
      <c r="L101" s="65"/>
      <c r="M101" s="205"/>
      <c r="O101" s="944" t="s">
        <v>486</v>
      </c>
      <c r="Q101" s="935">
        <f>Calculations!O121</f>
        <v>0</v>
      </c>
    </row>
    <row r="102" spans="2:17" ht="11.25" customHeight="1">
      <c r="B102" s="1461" t="s">
        <v>138</v>
      </c>
      <c r="C102" s="1472" t="str">
        <f>_xlfn.CONCAT("Impact Aid revenue transferred in FY ",Cover!E3," to the M and O Fund to reduce or eliminate taxes")</f>
        <v>Impact Aid revenue transferred in FY 2025 to the M and O Fund to reduce or eliminate taxes</v>
      </c>
      <c r="D102" s="1473"/>
      <c r="E102" s="1473"/>
      <c r="F102" s="1473"/>
      <c r="G102" s="1473"/>
      <c r="H102" s="1473"/>
      <c r="I102" s="1473"/>
      <c r="J102" s="1473"/>
      <c r="K102" s="1474"/>
      <c r="L102" s="1467"/>
      <c r="M102" s="205"/>
      <c r="N102" s="944"/>
    </row>
    <row r="103" spans="2:17" ht="11.25" customHeight="1">
      <c r="B103" s="1448" t="s">
        <v>139</v>
      </c>
      <c r="C103" s="933" t="str">
        <f>_xlfn.CONCAT("FY ",PriorFiscalYear," Ending cash balance in the Impact Aid Fund")</f>
        <v>FY 2024 Ending cash balance in the Impact Aid Fund</v>
      </c>
      <c r="D103" s="1475"/>
      <c r="E103" s="1475"/>
      <c r="F103" s="1475"/>
      <c r="G103" s="1475"/>
      <c r="H103" s="1475"/>
      <c r="I103" s="1475"/>
      <c r="J103" s="1475"/>
      <c r="K103" s="937"/>
      <c r="L103" s="65"/>
      <c r="M103" s="205"/>
      <c r="N103" s="944"/>
    </row>
    <row r="104" spans="2:17" ht="11.25" customHeight="1">
      <c r="B104" s="1463"/>
      <c r="D104" s="216"/>
      <c r="E104" s="216"/>
      <c r="F104" s="216"/>
      <c r="G104" s="216"/>
      <c r="H104" s="216"/>
      <c r="I104" s="216"/>
      <c r="J104" s="216"/>
      <c r="K104" s="106"/>
      <c r="L104" s="944"/>
      <c r="M104" s="205"/>
      <c r="N104" s="944"/>
    </row>
    <row r="105" spans="2:17" s="127" customFormat="1" ht="15.75" customHeight="1" thickBot="1">
      <c r="B105" s="955" t="s">
        <v>976</v>
      </c>
      <c r="D105" s="431"/>
      <c r="E105" s="431"/>
      <c r="F105" s="431"/>
      <c r="G105" s="431"/>
      <c r="H105" s="431"/>
      <c r="I105" s="431"/>
      <c r="J105" s="431"/>
      <c r="K105" s="956"/>
      <c r="L105" s="957"/>
      <c r="M105" s="958"/>
      <c r="N105" s="957"/>
    </row>
    <row r="106" spans="2:17" ht="11.25" customHeight="1" thickBot="1">
      <c r="B106" s="1461" t="s">
        <v>140</v>
      </c>
      <c r="C106" s="60"/>
      <c r="D106" s="216"/>
      <c r="E106" s="1679" t="s">
        <v>1280</v>
      </c>
      <c r="F106" s="1679"/>
      <c r="G106" s="1679"/>
      <c r="H106" s="1679"/>
      <c r="I106" s="1679"/>
      <c r="J106" s="1679"/>
      <c r="K106" s="1840" t="str">
        <f>IF(AND(SSAPhaseDownCheckbox="X",SSAFYExceeded=""),"COMPLETE LINE 18 BELOW"," ")</f>
        <v xml:space="preserve"> </v>
      </c>
      <c r="L106" s="1840"/>
      <c r="M106" s="205"/>
      <c r="N106" s="944"/>
    </row>
    <row r="107" spans="2:17" ht="24" customHeight="1">
      <c r="B107" s="1476"/>
      <c r="C107" s="1477"/>
      <c r="D107" s="216"/>
      <c r="E107" s="1679"/>
      <c r="F107" s="1679"/>
      <c r="G107" s="1679"/>
      <c r="H107" s="1679"/>
      <c r="I107" s="1679"/>
      <c r="J107" s="1679"/>
      <c r="K107" s="1840"/>
      <c r="L107" s="1840"/>
      <c r="M107" s="205"/>
      <c r="N107" s="944"/>
    </row>
    <row r="108" spans="2:17" ht="11.25" customHeight="1">
      <c r="B108" s="1463"/>
      <c r="D108" s="216"/>
      <c r="E108" s="107"/>
      <c r="F108" s="216"/>
      <c r="G108" s="216"/>
      <c r="H108" s="216"/>
      <c r="I108" s="216"/>
      <c r="J108" s="216"/>
      <c r="K108" s="106"/>
      <c r="L108" s="944"/>
      <c r="M108" s="205"/>
      <c r="N108" s="944"/>
    </row>
    <row r="109" spans="2:17" ht="11.25" customHeight="1">
      <c r="B109" s="1461" t="s">
        <v>141</v>
      </c>
      <c r="C109" s="1838" t="s">
        <v>487</v>
      </c>
      <c r="D109" s="1839"/>
      <c r="E109" s="1839"/>
      <c r="F109" s="1839"/>
      <c r="G109" s="1839"/>
      <c r="H109" s="1839"/>
      <c r="I109" s="1839"/>
      <c r="J109" s="1839"/>
      <c r="K109" s="1474" t="s">
        <v>0</v>
      </c>
      <c r="L109" s="1478"/>
      <c r="M109" s="205"/>
      <c r="N109" s="944"/>
    </row>
    <row r="110" spans="2:17" ht="23.25" customHeight="1">
      <c r="B110" s="1461" t="s">
        <v>142</v>
      </c>
      <c r="C110" s="1834" t="s">
        <v>488</v>
      </c>
      <c r="D110" s="1835"/>
      <c r="E110" s="1835"/>
      <c r="F110" s="1835"/>
      <c r="G110" s="1835"/>
      <c r="H110" s="1835"/>
      <c r="I110" s="1835"/>
      <c r="J110" s="1835"/>
      <c r="K110" s="937"/>
      <c r="L110" s="67"/>
      <c r="M110" s="205"/>
      <c r="N110" s="944"/>
    </row>
    <row r="111" spans="2:17" ht="11.25" customHeight="1">
      <c r="B111" s="951"/>
      <c r="C111" s="216"/>
      <c r="D111" s="216"/>
      <c r="E111" s="216"/>
      <c r="F111" s="216"/>
      <c r="G111" s="216"/>
      <c r="H111" s="216"/>
      <c r="I111" s="216"/>
      <c r="J111" s="216"/>
      <c r="K111" s="106"/>
      <c r="L111" s="944"/>
      <c r="M111" s="205"/>
      <c r="N111" s="944"/>
    </row>
    <row r="112" spans="2:17" ht="15.75" customHeight="1">
      <c r="B112" s="955" t="s">
        <v>977</v>
      </c>
      <c r="C112" s="216"/>
      <c r="D112" s="216"/>
      <c r="E112" s="216"/>
      <c r="F112" s="216"/>
      <c r="G112" s="216"/>
      <c r="H112" s="216"/>
      <c r="I112" s="216"/>
      <c r="J112" s="216"/>
      <c r="K112" s="106"/>
      <c r="L112" s="944"/>
      <c r="M112" s="205"/>
      <c r="N112" s="944"/>
    </row>
    <row r="113" spans="1:15" ht="36" customHeight="1">
      <c r="B113" s="955"/>
      <c r="C113" s="1679" t="s">
        <v>489</v>
      </c>
      <c r="D113" s="1842"/>
      <c r="E113" s="1842"/>
      <c r="F113" s="1842"/>
      <c r="G113" s="1842"/>
      <c r="H113" s="1842"/>
      <c r="I113" s="1842"/>
      <c r="J113" s="1842"/>
      <c r="K113" s="106"/>
      <c r="L113" s="944"/>
      <c r="M113" s="205"/>
      <c r="N113" s="944"/>
    </row>
    <row r="114" spans="1:15" ht="10.5" customHeight="1">
      <c r="B114" s="955"/>
      <c r="C114" s="216"/>
      <c r="D114" s="216"/>
      <c r="E114" s="216"/>
      <c r="F114" s="216"/>
      <c r="G114" s="216"/>
      <c r="H114" s="216"/>
      <c r="I114" s="216"/>
      <c r="J114" s="216"/>
      <c r="K114" s="106"/>
      <c r="L114" s="944"/>
      <c r="M114" s="205"/>
      <c r="N114" s="944"/>
    </row>
    <row r="115" spans="1:15" ht="11.25" customHeight="1">
      <c r="B115" s="1448" t="s">
        <v>144</v>
      </c>
      <c r="C115" s="1464" t="s">
        <v>490</v>
      </c>
      <c r="D115" s="1479"/>
      <c r="E115" s="1480"/>
      <c r="F115" s="1479"/>
      <c r="G115" s="1479"/>
      <c r="H115" s="1479"/>
      <c r="I115" s="1479"/>
      <c r="J115" s="1479"/>
      <c r="K115" s="1474" t="s">
        <v>0</v>
      </c>
      <c r="L115" s="1481"/>
      <c r="M115" s="205"/>
      <c r="N115" s="944"/>
    </row>
    <row r="116" spans="1:15" ht="11.25" customHeight="1">
      <c r="B116" s="1448" t="s">
        <v>145</v>
      </c>
      <c r="C116" s="933" t="s">
        <v>1023</v>
      </c>
      <c r="D116" s="1475"/>
      <c r="E116" s="949"/>
      <c r="F116" s="1475"/>
      <c r="G116" s="1475"/>
      <c r="H116" s="1475"/>
      <c r="I116" s="1475"/>
      <c r="J116" s="1475"/>
      <c r="K116" s="937"/>
      <c r="L116" s="61"/>
      <c r="M116" s="205"/>
      <c r="N116" s="944"/>
    </row>
    <row r="117" spans="1:15" ht="23.25" customHeight="1">
      <c r="B117" s="1448" t="s">
        <v>147</v>
      </c>
      <c r="C117" s="1838" t="s">
        <v>1024</v>
      </c>
      <c r="D117" s="1839"/>
      <c r="E117" s="1839"/>
      <c r="F117" s="1839"/>
      <c r="G117" s="1839"/>
      <c r="H117" s="1839"/>
      <c r="I117" s="1839"/>
      <c r="J117" s="1839"/>
      <c r="K117" s="1474"/>
      <c r="L117" s="1482"/>
      <c r="M117" s="205"/>
      <c r="N117" s="944"/>
    </row>
    <row r="118" spans="1:15" ht="11.25" customHeight="1">
      <c r="B118" s="1448" t="s">
        <v>148</v>
      </c>
      <c r="C118" s="933" t="s">
        <v>491</v>
      </c>
      <c r="D118" s="1475"/>
      <c r="E118" s="949"/>
      <c r="F118" s="1475"/>
      <c r="G118" s="1475"/>
      <c r="H118" s="1475"/>
      <c r="I118" s="1475"/>
      <c r="J118" s="1475"/>
      <c r="K118" s="937"/>
      <c r="L118" s="65"/>
      <c r="M118" s="205"/>
      <c r="N118" s="944"/>
    </row>
    <row r="119" spans="1:15" ht="11.25" customHeight="1" thickBot="1">
      <c r="B119" s="1448" t="s">
        <v>149</v>
      </c>
      <c r="C119" s="1464" t="s">
        <v>492</v>
      </c>
      <c r="D119" s="1479"/>
      <c r="E119" s="1480"/>
      <c r="F119" s="1479"/>
      <c r="G119" s="1479"/>
      <c r="H119" s="1479"/>
      <c r="I119" s="1479"/>
      <c r="J119" s="1479"/>
      <c r="K119" s="1474"/>
      <c r="L119" s="1467"/>
      <c r="M119" s="205"/>
      <c r="N119" s="944"/>
    </row>
    <row r="120" spans="1:15" ht="4.5" hidden="1" customHeight="1">
      <c r="B120" s="924"/>
      <c r="D120" s="216"/>
      <c r="E120" s="107"/>
      <c r="F120" s="216"/>
      <c r="G120" s="216"/>
      <c r="H120" s="216"/>
      <c r="I120" s="216"/>
      <c r="J120" s="216"/>
      <c r="K120" s="106"/>
      <c r="L120" s="944"/>
      <c r="M120" s="205"/>
      <c r="N120" s="944"/>
    </row>
    <row r="121" spans="1:15" ht="11.25" customHeight="1" thickBot="1">
      <c r="B121" s="1451" t="s">
        <v>150</v>
      </c>
      <c r="C121" s="60"/>
      <c r="D121" s="216"/>
      <c r="E121" s="1618" t="s">
        <v>493</v>
      </c>
      <c r="F121" s="1618"/>
      <c r="G121" s="1618"/>
      <c r="H121" s="1618"/>
      <c r="I121" s="1618"/>
      <c r="J121" s="216"/>
      <c r="K121" s="106"/>
      <c r="L121" s="944"/>
      <c r="M121" s="205"/>
      <c r="N121" s="944"/>
    </row>
    <row r="122" spans="1:15" ht="15.75" customHeight="1">
      <c r="B122" s="232"/>
      <c r="D122" s="216"/>
      <c r="E122" s="1841"/>
      <c r="F122" s="1841"/>
      <c r="G122" s="1841"/>
      <c r="H122" s="1841"/>
      <c r="I122" s="1841"/>
      <c r="J122" s="216"/>
      <c r="K122" s="106"/>
      <c r="L122" s="944"/>
      <c r="M122" s="205"/>
      <c r="N122" s="944"/>
    </row>
    <row r="123" spans="1:15" ht="11.25" customHeight="1">
      <c r="B123" s="1448" t="s">
        <v>152</v>
      </c>
      <c r="C123" s="1464" t="s">
        <v>494</v>
      </c>
      <c r="D123" s="1479"/>
      <c r="E123" s="1480"/>
      <c r="F123" s="1479"/>
      <c r="G123" s="1479"/>
      <c r="H123" s="1479"/>
      <c r="I123" s="1479"/>
      <c r="J123" s="1479"/>
      <c r="K123" s="1474"/>
      <c r="L123" s="1482"/>
      <c r="M123" s="205"/>
      <c r="N123" s="944"/>
    </row>
    <row r="124" spans="1:15" ht="11.25" customHeight="1">
      <c r="B124" s="1448" t="s">
        <v>294</v>
      </c>
      <c r="C124" s="933" t="s">
        <v>495</v>
      </c>
      <c r="D124" s="1475"/>
      <c r="E124" s="949"/>
      <c r="F124" s="1475"/>
      <c r="G124" s="1475"/>
      <c r="H124" s="1475"/>
      <c r="I124" s="1475"/>
      <c r="J124" s="1475"/>
      <c r="K124" s="937"/>
      <c r="L124" s="1483"/>
      <c r="M124" s="205"/>
      <c r="N124" s="944"/>
    </row>
    <row r="125" spans="1:15" ht="11.25" customHeight="1">
      <c r="B125" s="951"/>
      <c r="D125" s="216"/>
      <c r="E125" s="107"/>
      <c r="F125" s="216"/>
      <c r="G125" s="216"/>
      <c r="H125" s="216"/>
      <c r="I125" s="216"/>
      <c r="J125" s="216"/>
      <c r="K125" s="106"/>
      <c r="L125" s="944"/>
      <c r="M125" s="205"/>
      <c r="N125" s="944"/>
    </row>
    <row r="126" spans="1:15" ht="21.75" customHeight="1">
      <c r="A126" s="1311" t="s">
        <v>978</v>
      </c>
    </row>
    <row r="127" spans="1:15" ht="24" customHeight="1">
      <c r="B127" s="951" t="s">
        <v>1</v>
      </c>
      <c r="C127" s="1838" t="s">
        <v>1025</v>
      </c>
      <c r="D127" s="1839"/>
      <c r="E127" s="1839"/>
      <c r="F127" s="1839"/>
      <c r="G127" s="1839"/>
      <c r="H127" s="1839"/>
      <c r="I127" s="1839"/>
      <c r="J127" s="1839"/>
      <c r="K127" s="1843"/>
      <c r="L127" s="1484"/>
      <c r="O127" s="129"/>
    </row>
    <row r="129" spans="1:12" ht="21.75" customHeight="1" thickBot="1">
      <c r="A129" s="1311" t="s">
        <v>979</v>
      </c>
      <c r="C129" s="400"/>
    </row>
    <row r="130" spans="1:12" ht="12" customHeight="1" thickBot="1">
      <c r="A130" s="400"/>
      <c r="B130" s="896" t="s">
        <v>1</v>
      </c>
      <c r="C130" s="60"/>
      <c r="E130" s="127" t="s">
        <v>496</v>
      </c>
    </row>
    <row r="131" spans="1:12" ht="34.5" customHeight="1">
      <c r="A131" s="400"/>
      <c r="B131" s="960"/>
      <c r="C131" s="1830" t="s">
        <v>497</v>
      </c>
      <c r="D131" s="1830"/>
      <c r="E131" s="1830"/>
      <c r="F131" s="1830"/>
      <c r="G131" s="1830"/>
      <c r="H131" s="1830"/>
      <c r="I131" s="1830"/>
      <c r="J131" s="1830"/>
      <c r="K131" s="1830"/>
    </row>
    <row r="132" spans="1:12" ht="12" customHeight="1">
      <c r="A132" s="400"/>
      <c r="B132" s="896" t="s">
        <v>2</v>
      </c>
      <c r="C132" s="933" t="str">
        <f>_xlfn.CONCAT("Maintenance &amp; Operation (M and O) Fund FY ",PriorFiscalYear," ending cash balance")</f>
        <v>Maintenance &amp; Operation (M and O) Fund FY 2024 ending cash balance</v>
      </c>
      <c r="D132" s="910"/>
      <c r="E132" s="938"/>
      <c r="F132" s="910"/>
      <c r="G132" s="910"/>
      <c r="H132" s="910"/>
      <c r="I132" s="910"/>
      <c r="J132" s="910"/>
      <c r="K132" s="937"/>
      <c r="L132" s="65"/>
    </row>
    <row r="133" spans="1:12">
      <c r="B133" s="522" t="s">
        <v>14</v>
      </c>
      <c r="C133" s="1464" t="str">
        <f>_xlfn.CONCAT("10% of the FY ",Cover!E3," RCL calculated using the district's ",PriorFiscalYear," ADM")</f>
        <v>10% of the FY 2025 RCL calculated using the district's 2024 ADM</v>
      </c>
      <c r="D133" s="1465"/>
      <c r="E133" s="1465"/>
      <c r="F133" s="1465"/>
      <c r="G133" s="1465"/>
      <c r="H133" s="1465"/>
      <c r="I133" s="1465"/>
      <c r="J133" s="1465"/>
      <c r="K133" s="1474"/>
      <c r="L133" s="1485"/>
    </row>
    <row r="134" spans="1:12">
      <c r="B134" s="240" t="s">
        <v>33</v>
      </c>
      <c r="C134" s="933" t="str">
        <f>_xlfn.CONCAT("Up to 5% of the FY ",Cover!E3," RCL calculated pursuant to A.R.S. Section 15-482.B")</f>
        <v>Up to 5% of the FY 2025 RCL calculated pursuant to A.R.S. Section 15-482.B</v>
      </c>
      <c r="D134" s="910"/>
      <c r="E134" s="910"/>
      <c r="F134" s="910"/>
      <c r="G134" s="910"/>
      <c r="H134" s="910"/>
      <c r="I134" s="910"/>
      <c r="J134" s="910"/>
      <c r="K134" s="937" t="s">
        <v>316</v>
      </c>
      <c r="L134" s="65"/>
    </row>
  </sheetData>
  <sheetProtection sheet="1" formatCells="0" formatColumns="0" formatRows="0"/>
  <mergeCells count="31">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s>
  <conditionalFormatting sqref="C78:K78">
    <cfRule type="expression" dxfId="4" priority="3" stopIfTrue="1">
      <formula>AA78="yes"</formula>
    </cfRule>
  </conditionalFormatting>
  <conditionalFormatting sqref="C79:K79">
    <cfRule type="expression" dxfId="3" priority="2">
      <formula>AA79="yes"</formula>
    </cfRule>
  </conditionalFormatting>
  <conditionalFormatting sqref="I20">
    <cfRule type="expression" dxfId="2" priority="8" stopIfTrue="1">
      <formula>OR(#REF!&lt;&gt;"",#REF!&lt;&gt;"")</formula>
    </cfRule>
  </conditionalFormatting>
  <conditionalFormatting sqref="I21">
    <cfRule type="expression" dxfId="1" priority="9" stopIfTrue="1">
      <formula>OR(#REF!&lt;&gt;"",#REF!&lt;&gt;"")</formula>
    </cfRule>
  </conditionalFormatting>
  <conditionalFormatting sqref="I19">
    <cfRule type="expression" dxfId="0" priority="1"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75629A5B-C6E3-4A5A-8446-E3E57C1066F8}"/>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workbookViewId="0">
      <selection sqref="A1:D1"/>
    </sheetView>
  </sheetViews>
  <sheetFormatPr defaultColWidth="9.109375" defaultRowHeight="12"/>
  <cols>
    <col min="1" max="1" width="2.44140625" style="100" bestFit="1" customWidth="1"/>
    <col min="2" max="2" width="2" style="100" customWidth="1"/>
    <col min="3" max="3" width="2.88671875" style="100" customWidth="1"/>
    <col min="4" max="4" width="2" style="100" customWidth="1"/>
    <col min="5" max="5" width="6.44140625" style="100" customWidth="1"/>
    <col min="6" max="6" width="10.88671875" style="100" customWidth="1"/>
    <col min="7" max="7" width="9.109375" style="100" customWidth="1"/>
    <col min="8" max="8" width="9.88671875" style="100" customWidth="1"/>
    <col min="9" max="9" width="9.109375" style="100" customWidth="1"/>
    <col min="10" max="10" width="7" style="100" customWidth="1"/>
    <col min="11" max="11" width="1.109375" style="100" customWidth="1"/>
    <col min="12" max="12" width="9.109375" style="100" customWidth="1"/>
    <col min="13" max="14" width="1.109375" style="100" customWidth="1"/>
    <col min="15" max="15" width="9.88671875" style="100" customWidth="1"/>
    <col min="16" max="17" width="1.109375" style="100" customWidth="1"/>
    <col min="18" max="18" width="10" style="100" customWidth="1"/>
    <col min="19" max="19" width="9.109375" style="100" customWidth="1"/>
    <col min="20" max="20" width="6.109375" style="100" customWidth="1"/>
    <col min="21" max="22" width="9.109375" style="100" customWidth="1"/>
    <col min="23" max="23" width="6" style="100" customWidth="1"/>
    <col min="24" max="24" width="10.109375" style="100" customWidth="1"/>
    <col min="25" max="25" width="9.6640625" style="100" bestFit="1" customWidth="1"/>
    <col min="26" max="26" width="9.109375" style="100" customWidth="1"/>
    <col min="27" max="27" width="6" style="100" customWidth="1"/>
    <col min="28" max="30" width="9.109375" style="100" customWidth="1"/>
    <col min="31" max="31" width="6" style="100" customWidth="1"/>
    <col min="32" max="35" width="9.109375" style="100" customWidth="1"/>
    <col min="36" max="16384" width="9.109375" style="100"/>
  </cols>
  <sheetData>
    <row r="1" spans="1:17" ht="15.75" customHeight="1">
      <c r="A1" s="1810" t="s">
        <v>911</v>
      </c>
      <c r="B1" s="1810"/>
      <c r="C1" s="1810"/>
      <c r="D1" s="1810"/>
      <c r="E1" s="1811" t="str">
        <f>Cover!C1</f>
        <v xml:space="preserve">Prescott Unified </v>
      </c>
      <c r="F1" s="1811"/>
      <c r="G1" s="1811"/>
      <c r="H1" s="543" t="s">
        <v>446</v>
      </c>
      <c r="I1" s="1811" t="str">
        <f>Cover!H1</f>
        <v>Yavapai</v>
      </c>
      <c r="J1" s="1811"/>
      <c r="K1" s="1811"/>
      <c r="L1" s="1810" t="s">
        <v>912</v>
      </c>
      <c r="M1" s="1810"/>
      <c r="N1" s="1810"/>
      <c r="O1" s="961" t="str">
        <f>CTD</f>
        <v>130201000</v>
      </c>
      <c r="P1" s="244"/>
      <c r="Q1" s="244"/>
    </row>
    <row r="2" spans="1:17">
      <c r="N2" s="543" t="s">
        <v>9</v>
      </c>
      <c r="O2" s="961" t="str">
        <f>Cover!C8</f>
        <v>Adopted</v>
      </c>
    </row>
    <row r="3" spans="1:17" ht="1.5" customHeight="1">
      <c r="N3" s="543"/>
      <c r="O3" s="962"/>
    </row>
    <row r="4" spans="1:17" ht="15.75" customHeight="1">
      <c r="F4" s="1571" t="s">
        <v>878</v>
      </c>
      <c r="G4" s="1571"/>
      <c r="H4" s="1571"/>
      <c r="I4" s="1571"/>
      <c r="N4" s="543"/>
      <c r="O4" s="962"/>
    </row>
    <row r="5" spans="1:17" ht="2.25" customHeight="1">
      <c r="N5" s="543"/>
      <c r="O5" s="962"/>
    </row>
    <row r="6" spans="1:17" ht="8.25" hidden="1" customHeight="1">
      <c r="N6" s="543"/>
      <c r="O6" s="962"/>
    </row>
    <row r="7" spans="1:17" ht="14.25" customHeight="1"/>
    <row r="8" spans="1:17" ht="15.75">
      <c r="A8" s="963" t="s">
        <v>980</v>
      </c>
      <c r="B8" s="400"/>
      <c r="C8" s="400"/>
      <c r="D8" s="400"/>
      <c r="E8" s="400"/>
      <c r="F8" s="400"/>
      <c r="G8" s="400"/>
      <c r="I8" s="1314"/>
    </row>
    <row r="9" spans="1:17" ht="15.75" customHeight="1">
      <c r="A9" s="400"/>
      <c r="B9" s="400"/>
      <c r="C9" s="400"/>
      <c r="D9" s="400"/>
      <c r="E9" s="400"/>
      <c r="F9" s="400"/>
      <c r="G9" s="1315"/>
      <c r="H9" s="1863" t="s">
        <v>981</v>
      </c>
      <c r="I9" s="1864"/>
      <c r="J9" s="1863" t="s">
        <v>982</v>
      </c>
      <c r="K9" s="1867"/>
      <c r="L9" s="1864"/>
      <c r="M9" s="964"/>
    </row>
    <row r="10" spans="1:17" ht="15.75">
      <c r="B10" s="102"/>
      <c r="C10" s="400"/>
      <c r="E10" s="400"/>
      <c r="F10" s="400"/>
      <c r="G10" s="1315"/>
      <c r="H10" s="1865"/>
      <c r="I10" s="1866"/>
      <c r="J10" s="1865"/>
      <c r="K10" s="1868"/>
      <c r="L10" s="1866"/>
      <c r="M10" s="964"/>
    </row>
    <row r="11" spans="1:17" ht="15.75" customHeight="1">
      <c r="A11" s="425"/>
      <c r="B11" s="425"/>
      <c r="C11" s="425"/>
      <c r="D11" s="425"/>
      <c r="E11" s="425"/>
      <c r="F11" s="425"/>
      <c r="G11" s="965"/>
      <c r="H11" s="966" t="s">
        <v>453</v>
      </c>
      <c r="I11" s="967" t="s">
        <v>454</v>
      </c>
      <c r="J11" s="1871" t="s">
        <v>453</v>
      </c>
      <c r="K11" s="1872"/>
      <c r="L11" s="967" t="s">
        <v>454</v>
      </c>
      <c r="M11" s="968"/>
    </row>
    <row r="12" spans="1:17">
      <c r="A12" s="969" t="s">
        <v>498</v>
      </c>
      <c r="B12" s="415"/>
      <c r="C12" s="415"/>
      <c r="D12" s="415"/>
      <c r="E12" s="415"/>
      <c r="F12" s="415"/>
      <c r="G12" s="970"/>
      <c r="H12" s="971"/>
      <c r="I12" s="971"/>
      <c r="J12" s="1873"/>
      <c r="K12" s="1874"/>
      <c r="L12" s="971"/>
      <c r="M12" s="923"/>
    </row>
    <row r="13" spans="1:17" ht="12.75" thickBot="1">
      <c r="A13" s="972"/>
      <c r="B13" s="973" t="s">
        <v>499</v>
      </c>
      <c r="C13" s="973"/>
      <c r="D13" s="973"/>
      <c r="E13" s="973"/>
      <c r="F13" s="973"/>
      <c r="G13" s="974"/>
      <c r="H13" s="975">
        <v>1.5589999999999999</v>
      </c>
      <c r="I13" s="975">
        <v>1.669</v>
      </c>
      <c r="J13" s="1875">
        <v>1.399</v>
      </c>
      <c r="K13" s="1876"/>
      <c r="L13" s="975">
        <v>1.5589999999999999</v>
      </c>
      <c r="M13" s="923"/>
    </row>
    <row r="14" spans="1:17">
      <c r="A14" s="923" t="s">
        <v>500</v>
      </c>
      <c r="H14" s="976"/>
      <c r="I14" s="977"/>
      <c r="J14" s="1852"/>
      <c r="K14" s="1853"/>
      <c r="L14" s="979"/>
    </row>
    <row r="15" spans="1:17">
      <c r="A15" s="923"/>
      <c r="B15" s="100" t="s">
        <v>1042</v>
      </c>
      <c r="H15" s="980">
        <v>500</v>
      </c>
      <c r="I15" s="981">
        <v>500</v>
      </c>
      <c r="J15" s="1877">
        <v>500</v>
      </c>
      <c r="K15" s="1878"/>
      <c r="L15" s="982">
        <v>500</v>
      </c>
      <c r="M15" s="983"/>
    </row>
    <row r="16" spans="1:17">
      <c r="A16" s="923"/>
      <c r="B16" s="100" t="s">
        <v>1260</v>
      </c>
      <c r="G16" s="106" t="s">
        <v>502</v>
      </c>
      <c r="H16" s="984">
        <f>IF(AND(UnweightedStudCntK8CY&gt;=100,UnweightedStudCntK8CY&lt;500,SmallIsolatedPSD8Checkbox="X"),UnweightedStudCntK8CY,0)</f>
        <v>0</v>
      </c>
      <c r="I16" s="984">
        <f>IF(AND(UnweightedStudCnt912CY&gt;=100,UnweightedStudCnt912CY&lt;500,SmallIsolated912Checkbox="X"),UnweightedStudCnt912CY,0)</f>
        <v>0</v>
      </c>
      <c r="J16" s="1846">
        <f>IF(AND(UnweightedStudCntK8CY&gt;=100,UnweightedStudCntK8CY&lt;500,SmallIsolatedPSD8Checkbox&lt;&gt;"X"),UnweightedStudCntK8CY,0)</f>
        <v>0</v>
      </c>
      <c r="K16" s="1847"/>
      <c r="L16" s="985">
        <f>IF(AND(UnweightedStudCnt912CY&gt;=100,UnweightedStudCnt912CY&lt;500,SmallIsolated912Checkbox&lt;&gt;"X"),UnweightedStudCnt912CY,0)</f>
        <v>0</v>
      </c>
      <c r="M16" s="983"/>
    </row>
    <row r="17" spans="1:13">
      <c r="A17" s="923"/>
      <c r="B17" s="100" t="s">
        <v>503</v>
      </c>
      <c r="G17" s="106" t="s">
        <v>504</v>
      </c>
      <c r="H17" s="984">
        <f>IF(H16&gt;0,H15-H16,0)</f>
        <v>0</v>
      </c>
      <c r="I17" s="984">
        <f>IF(I16&gt;0,I15-I16,0)</f>
        <v>0</v>
      </c>
      <c r="J17" s="1846">
        <f>IF(J16&gt;0,J15-J16,0)</f>
        <v>0</v>
      </c>
      <c r="K17" s="1847"/>
      <c r="L17" s="982">
        <f>IF(L16&gt;0,L15-L16,0)</f>
        <v>0</v>
      </c>
      <c r="M17" s="983"/>
    </row>
    <row r="18" spans="1:13">
      <c r="A18" s="923"/>
      <c r="B18" s="100" t="s">
        <v>1043</v>
      </c>
      <c r="G18" s="106" t="s">
        <v>505</v>
      </c>
      <c r="H18" s="984">
        <v>5.0000000000000001E-4</v>
      </c>
      <c r="I18" s="984">
        <v>5.0000000000000001E-4</v>
      </c>
      <c r="J18" s="1846">
        <v>2.9999999999999997E-4</v>
      </c>
      <c r="K18" s="1847"/>
      <c r="L18" s="981">
        <v>4.0000000000000002E-4</v>
      </c>
      <c r="M18" s="882"/>
    </row>
    <row r="19" spans="1:13">
      <c r="A19" s="923"/>
      <c r="B19" s="100" t="s">
        <v>1044</v>
      </c>
      <c r="G19" s="106" t="s">
        <v>504</v>
      </c>
      <c r="H19" s="984">
        <f>H17*H18</f>
        <v>0</v>
      </c>
      <c r="I19" s="984">
        <f>I17*I18</f>
        <v>0</v>
      </c>
      <c r="J19" s="1846">
        <f>J17*J18</f>
        <v>0</v>
      </c>
      <c r="K19" s="1847"/>
      <c r="L19" s="985">
        <f>L17*L18</f>
        <v>0</v>
      </c>
      <c r="M19" s="983"/>
    </row>
    <row r="20" spans="1:13">
      <c r="A20" s="923"/>
      <c r="B20" s="100" t="s">
        <v>1261</v>
      </c>
      <c r="G20" s="106" t="s">
        <v>506</v>
      </c>
      <c r="H20" s="986">
        <v>1.3580000000000001</v>
      </c>
      <c r="I20" s="984">
        <v>1.468</v>
      </c>
      <c r="J20" s="1869">
        <v>1.278</v>
      </c>
      <c r="K20" s="1870"/>
      <c r="L20" s="987">
        <v>1.3979999999999999</v>
      </c>
      <c r="M20" s="983"/>
    </row>
    <row r="21" spans="1:13" ht="12.75" thickBot="1">
      <c r="A21" s="923"/>
      <c r="C21" s="100" t="s">
        <v>507</v>
      </c>
      <c r="G21" s="106" t="s">
        <v>504</v>
      </c>
      <c r="H21" s="988">
        <f>IF(H16&gt;0,H19+H20,0)</f>
        <v>0</v>
      </c>
      <c r="I21" s="988">
        <f>IF(I16&gt;0,I19+I20,0)</f>
        <v>0</v>
      </c>
      <c r="J21" s="1850">
        <f>IF(J16&gt;0,J19+J20,0)</f>
        <v>0</v>
      </c>
      <c r="K21" s="1851"/>
      <c r="L21" s="989">
        <f>IF(L16&gt;0,L19+L20,0)</f>
        <v>0</v>
      </c>
      <c r="M21" s="983"/>
    </row>
    <row r="22" spans="1:13">
      <c r="A22" s="923" t="s">
        <v>508</v>
      </c>
      <c r="H22" s="976"/>
      <c r="I22" s="977"/>
      <c r="J22" s="1852"/>
      <c r="K22" s="1853"/>
      <c r="L22" s="979"/>
    </row>
    <row r="23" spans="1:13">
      <c r="A23" s="923"/>
      <c r="B23" s="100" t="s">
        <v>1042</v>
      </c>
      <c r="H23" s="990">
        <v>600</v>
      </c>
      <c r="I23" s="991">
        <v>600</v>
      </c>
      <c r="J23" s="1854">
        <v>600</v>
      </c>
      <c r="K23" s="1855"/>
      <c r="L23" s="992">
        <v>600</v>
      </c>
      <c r="M23" s="983"/>
    </row>
    <row r="24" spans="1:13">
      <c r="A24" s="923"/>
      <c r="B24" s="100" t="s">
        <v>1262</v>
      </c>
      <c r="G24" s="106" t="s">
        <v>502</v>
      </c>
      <c r="H24" s="899">
        <f>IF(AND(UnweightedStudCntK8CY&gt;=500,UnweightedStudCntK8CY&lt;600,SmallIsolatedPSD8Checkbox="X"),UnweightedStudCntK8CY,0)</f>
        <v>0</v>
      </c>
      <c r="I24" s="899">
        <f>IF(AND(UnweightedStudCnt912CY&gt;=500,UnweightedStudCnt912CY&lt;600,SmallIsolated912Checkbox="X"),UnweightedStudCnt912CY,0)</f>
        <v>0</v>
      </c>
      <c r="J24" s="1854">
        <f>IF(AND(UnweightedStudCntK8CY&gt;=500,UnweightedStudCntK8CY&lt;600,SmallIsolatedPSD8Checkbox&lt;&gt;"X"),UnweightedStudCntK8CY,0)</f>
        <v>0</v>
      </c>
      <c r="K24" s="1855"/>
      <c r="L24" s="900">
        <f>IF(AND(UnweightedStudCnt912CY&gt;=500,UnweightedStudCnt912CY&lt;600,SmallIsolated912Checkbox&lt;&gt;"X"),UnweightedStudCnt912CY,0)</f>
        <v>0</v>
      </c>
      <c r="M24" s="983"/>
    </row>
    <row r="25" spans="1:13">
      <c r="A25" s="923"/>
      <c r="B25" s="100" t="s">
        <v>503</v>
      </c>
      <c r="G25" s="106" t="s">
        <v>504</v>
      </c>
      <c r="H25" s="899">
        <f>IF(H24&gt;0,H23-H24,0)</f>
        <v>0</v>
      </c>
      <c r="I25" s="899">
        <f>IF(I24&gt;0,I23-I24,0)</f>
        <v>0</v>
      </c>
      <c r="J25" s="1854">
        <f>IF(J24&gt;0,J23-J24,0)</f>
        <v>0</v>
      </c>
      <c r="K25" s="1855"/>
      <c r="L25" s="900">
        <f>IF(L24&gt;0,L23-L24,0)</f>
        <v>0</v>
      </c>
      <c r="M25" s="983"/>
    </row>
    <row r="26" spans="1:13">
      <c r="A26" s="923"/>
      <c r="B26" s="100" t="s">
        <v>1043</v>
      </c>
      <c r="G26" s="106" t="s">
        <v>505</v>
      </c>
      <c r="H26" s="899">
        <v>2E-3</v>
      </c>
      <c r="I26" s="899">
        <v>2E-3</v>
      </c>
      <c r="J26" s="1854">
        <v>1.1999999999999999E-3</v>
      </c>
      <c r="K26" s="1855"/>
      <c r="L26" s="900">
        <v>1.2999999999999999E-3</v>
      </c>
      <c r="M26" s="882"/>
    </row>
    <row r="27" spans="1:13">
      <c r="A27" s="923"/>
      <c r="B27" s="100" t="s">
        <v>1044</v>
      </c>
      <c r="G27" s="106" t="s">
        <v>504</v>
      </c>
      <c r="H27" s="899">
        <f>H25*H26</f>
        <v>0</v>
      </c>
      <c r="I27" s="899">
        <f>I25*I26</f>
        <v>0</v>
      </c>
      <c r="J27" s="1854">
        <f>J25*J26</f>
        <v>0</v>
      </c>
      <c r="K27" s="1855"/>
      <c r="L27" s="900">
        <f>L25*L26</f>
        <v>0</v>
      </c>
      <c r="M27" s="983"/>
    </row>
    <row r="28" spans="1:13">
      <c r="A28" s="923"/>
      <c r="B28" s="100" t="s">
        <v>1261</v>
      </c>
      <c r="G28" s="106" t="s">
        <v>506</v>
      </c>
      <c r="H28" s="986">
        <v>1.1579999999999999</v>
      </c>
      <c r="I28" s="986">
        <v>1.268</v>
      </c>
      <c r="J28" s="1869">
        <v>1.1579999999999999</v>
      </c>
      <c r="K28" s="1870"/>
      <c r="L28" s="987">
        <v>1.268</v>
      </c>
      <c r="M28" s="983"/>
    </row>
    <row r="29" spans="1:13" ht="12.75" thickBot="1">
      <c r="A29" s="923"/>
      <c r="C29" s="100" t="s">
        <v>507</v>
      </c>
      <c r="G29" s="978" t="s">
        <v>504</v>
      </c>
      <c r="H29" s="988">
        <f>IF(H24&gt;0,H27+H28,0)</f>
        <v>0</v>
      </c>
      <c r="I29" s="988">
        <f>IF(I24&gt;0,I27+I28,0)</f>
        <v>0</v>
      </c>
      <c r="J29" s="1850">
        <f>IF(J24&gt;0,J27+J28,0)</f>
        <v>0</v>
      </c>
      <c r="K29" s="1851"/>
      <c r="L29" s="989">
        <f>IF(L24&gt;0,L27+L28,0)</f>
        <v>0</v>
      </c>
      <c r="M29" s="983"/>
    </row>
    <row r="30" spans="1:13">
      <c r="A30" s="923" t="s">
        <v>509</v>
      </c>
      <c r="H30" s="993"/>
      <c r="I30" s="994"/>
      <c r="J30" s="1614"/>
      <c r="K30" s="1853"/>
      <c r="L30" s="979"/>
    </row>
    <row r="31" spans="1:13" ht="12.75" thickBot="1">
      <c r="A31" s="995"/>
      <c r="B31" s="996" t="s">
        <v>499</v>
      </c>
      <c r="C31" s="996"/>
      <c r="D31" s="996"/>
      <c r="E31" s="996"/>
      <c r="F31" s="996"/>
      <c r="G31" s="996"/>
      <c r="H31" s="997"/>
      <c r="I31" s="998"/>
      <c r="J31" s="1879">
        <v>1.1579999999999999</v>
      </c>
      <c r="K31" s="1880"/>
      <c r="L31" s="999">
        <v>1.268</v>
      </c>
      <c r="M31" s="983"/>
    </row>
    <row r="32" spans="1:13">
      <c r="A32" s="923" t="s">
        <v>510</v>
      </c>
      <c r="H32" s="1000"/>
      <c r="I32" s="994"/>
      <c r="J32" s="1848"/>
      <c r="K32" s="1849"/>
      <c r="L32" s="979"/>
    </row>
    <row r="33" spans="1:22" ht="12.75" thickBot="1">
      <c r="A33" s="995"/>
      <c r="B33" s="996" t="s">
        <v>511</v>
      </c>
      <c r="C33" s="996"/>
      <c r="D33" s="996"/>
      <c r="E33" s="996"/>
      <c r="F33" s="996"/>
      <c r="G33" s="996"/>
      <c r="H33" s="997"/>
      <c r="I33" s="998"/>
      <c r="J33" s="1856"/>
      <c r="K33" s="1857"/>
      <c r="L33" s="999">
        <v>1.339</v>
      </c>
      <c r="M33" s="983"/>
      <c r="T33" s="1548" t="s">
        <v>512</v>
      </c>
      <c r="U33" s="1548"/>
      <c r="V33" s="1548"/>
    </row>
    <row r="34" spans="1:22">
      <c r="U34" s="894" t="s">
        <v>462</v>
      </c>
      <c r="V34" s="894" t="s">
        <v>513</v>
      </c>
    </row>
    <row r="35" spans="1:22">
      <c r="B35" s="240"/>
      <c r="C35" s="107"/>
      <c r="D35" s="107"/>
      <c r="E35" s="107"/>
      <c r="F35" s="107"/>
      <c r="G35" s="915"/>
      <c r="H35" s="915"/>
      <c r="I35" s="915"/>
      <c r="L35" s="1001"/>
      <c r="O35" s="1002"/>
      <c r="P35" s="1002"/>
      <c r="Q35" s="1002"/>
      <c r="R35" s="1002"/>
      <c r="S35" s="1002"/>
      <c r="T35" s="100" t="s">
        <v>514</v>
      </c>
      <c r="U35" s="900">
        <f>NonAOIStudCntK3*K3SLW</f>
        <v>48.683700000000002</v>
      </c>
      <c r="V35" s="900">
        <f>NonAOIStudCntK3R*K3RSLW</f>
        <v>32.455800000000004</v>
      </c>
    </row>
    <row r="36" spans="1:22" ht="12" customHeight="1">
      <c r="T36" s="100" t="s">
        <v>515</v>
      </c>
      <c r="U36" s="900">
        <f>AOIFTStudCntK3*K3SLW*AOIFTFundFactor</f>
        <v>0</v>
      </c>
      <c r="V36" s="900">
        <f>AOIFTStudCntK3R*K3RSLW*AOIFTFundFactor</f>
        <v>0</v>
      </c>
    </row>
    <row r="37" spans="1:22" ht="14.25" customHeight="1">
      <c r="A37" s="963" t="s">
        <v>983</v>
      </c>
      <c r="T37" s="100" t="s">
        <v>516</v>
      </c>
      <c r="U37" s="900">
        <f>AOIPTStudCntK3*K3SLW*AOIPTFundFactor</f>
        <v>0</v>
      </c>
      <c r="V37" s="900">
        <f>AOIPTStudCntK3R*K3RSLW*AOIPTFundFactor</f>
        <v>0</v>
      </c>
    </row>
    <row r="38" spans="1:22">
      <c r="B38" s="240" t="s">
        <v>1</v>
      </c>
      <c r="C38" s="100" t="s">
        <v>517</v>
      </c>
      <c r="L38" s="100" t="s">
        <v>462</v>
      </c>
      <c r="N38" s="1003" t="s">
        <v>316</v>
      </c>
      <c r="O38" s="1004">
        <f>ROUND(U38*BSA55BLA*BSA55TEI,2)</f>
        <v>245710.94</v>
      </c>
      <c r="T38" s="100" t="s">
        <v>413</v>
      </c>
      <c r="U38" s="900">
        <f>U35+U36+U37</f>
        <v>48.683700000000002</v>
      </c>
      <c r="V38" s="900">
        <f>V35+V36+V37</f>
        <v>32.455800000000004</v>
      </c>
    </row>
    <row r="39" spans="1:22">
      <c r="B39" s="240"/>
      <c r="L39" s="100" t="s">
        <v>461</v>
      </c>
      <c r="N39" s="1003" t="s">
        <v>316</v>
      </c>
      <c r="O39" s="1004">
        <f>ROUND(V38*BSA55BLA*BSA55TEI,2)</f>
        <v>163807.29</v>
      </c>
      <c r="T39" s="1618" t="s">
        <v>518</v>
      </c>
      <c r="U39" s="1618"/>
      <c r="V39" s="1618"/>
    </row>
    <row r="40" spans="1:22">
      <c r="B40" s="240"/>
      <c r="Q40" s="106"/>
      <c r="R40" s="944"/>
      <c r="T40" s="1618"/>
      <c r="U40" s="1618"/>
      <c r="V40" s="1618"/>
    </row>
    <row r="41" spans="1:22" ht="12" customHeight="1">
      <c r="B41" s="240" t="s">
        <v>2</v>
      </c>
      <c r="C41" s="100" t="s">
        <v>519</v>
      </c>
      <c r="N41" s="1003" t="s">
        <v>316</v>
      </c>
      <c r="O41" s="1004">
        <f>IF(OR(EqualAssistPSD8=0,EqualAssist912=0),IF((0.5*(QLPSD8+_QL912))-EqualBasePSD8-EqualBase912&gt;0,0.5*(QLPSD8+_QL912)-EqualBasePSD8-EqualBase912,0),0)</f>
        <v>0</v>
      </c>
    </row>
    <row r="42" spans="1:22">
      <c r="Q42" s="106"/>
      <c r="R42" s="944"/>
    </row>
    <row r="43" spans="1:22" ht="2.25" customHeight="1">
      <c r="R43" s="1005"/>
    </row>
    <row r="44" spans="1:22" ht="12" hidden="1" customHeight="1">
      <c r="A44" s="1006"/>
      <c r="B44" s="1006"/>
      <c r="C44" s="1006"/>
      <c r="D44" s="1006"/>
      <c r="E44" s="1006"/>
      <c r="F44" s="1006"/>
      <c r="G44" s="1006"/>
      <c r="H44" s="1006"/>
      <c r="I44" s="1006"/>
      <c r="J44" s="1006"/>
      <c r="K44" s="1006"/>
      <c r="L44" s="1006"/>
      <c r="M44" s="1006"/>
      <c r="N44" s="1006"/>
      <c r="O44" s="1006"/>
      <c r="P44" s="1006"/>
      <c r="Q44" s="1006"/>
    </row>
    <row r="45" spans="1:22" ht="12" hidden="1" customHeight="1"/>
    <row r="46" spans="1:22" ht="12" hidden="1" customHeight="1"/>
    <row r="47" spans="1:22" ht="12" customHeight="1"/>
    <row r="48" spans="1:22" ht="15.75">
      <c r="A48" s="963" t="s">
        <v>1288</v>
      </c>
      <c r="C48" s="400"/>
      <c r="D48" s="400"/>
    </row>
    <row r="49" spans="1:16" ht="18" customHeight="1">
      <c r="A49" s="400"/>
      <c r="B49" s="400"/>
      <c r="C49" s="400"/>
      <c r="D49" s="400"/>
      <c r="F49" s="124" t="s">
        <v>984</v>
      </c>
    </row>
    <row r="50" spans="1:16" ht="15.75">
      <c r="A50" s="400"/>
      <c r="B50" s="400"/>
      <c r="C50" s="400"/>
      <c r="D50" s="400"/>
      <c r="L50" s="886" t="s">
        <v>453</v>
      </c>
      <c r="O50" s="961" t="s">
        <v>454</v>
      </c>
      <c r="P50" s="244"/>
    </row>
    <row r="51" spans="1:16">
      <c r="B51" s="924" t="s">
        <v>1</v>
      </c>
      <c r="C51" s="100" t="str">
        <f>_xlfn.CONCAT("FY ",Cover!E3," Student Count (",PriorFiscalYear," ADM):   .001 - 99.999")</f>
        <v>FY 2025 Student Count (2024 ADM):   .001 - 99.999</v>
      </c>
    </row>
    <row r="52" spans="1:16" ht="12.75" thickBot="1">
      <c r="B52" s="232"/>
      <c r="F52" s="100" t="s">
        <v>520</v>
      </c>
      <c r="K52" s="1007" t="s">
        <v>316</v>
      </c>
      <c r="L52" s="1008">
        <v>663.81</v>
      </c>
      <c r="N52" s="1007" t="s">
        <v>316</v>
      </c>
      <c r="O52" s="1008">
        <v>732.87</v>
      </c>
    </row>
    <row r="53" spans="1:16" ht="6.75" customHeight="1" thickTop="1">
      <c r="B53" s="232"/>
    </row>
    <row r="54" spans="1:16">
      <c r="B54" s="924" t="s">
        <v>2</v>
      </c>
      <c r="C54" s="100" t="str">
        <f>_xlfn.CONCAT("FY ",Cover!E3," Student Count (",PriorFiscalYear," ADM):   100.000 - 499.999")</f>
        <v>FY 2025 Student Count (2024 ADM):   100.000 - 499.999</v>
      </c>
    </row>
    <row r="55" spans="1:16">
      <c r="B55" s="232"/>
      <c r="C55" s="106" t="s">
        <v>424</v>
      </c>
      <c r="D55" s="100" t="s">
        <v>501</v>
      </c>
      <c r="K55" s="933"/>
      <c r="L55" s="1009">
        <v>500</v>
      </c>
      <c r="N55" s="933"/>
      <c r="O55" s="1009">
        <v>500</v>
      </c>
    </row>
    <row r="56" spans="1:16">
      <c r="B56" s="232"/>
      <c r="C56" s="106" t="s">
        <v>425</v>
      </c>
      <c r="D56" s="100" t="s">
        <v>1262</v>
      </c>
      <c r="J56" s="106" t="s">
        <v>502</v>
      </c>
      <c r="K56" s="1010"/>
      <c r="L56" s="1009">
        <f>IF(AND(100&lt;='Data Entry'!H17,'Data Entry'!H17&lt;500),'Data Entry'!H17,0)</f>
        <v>0</v>
      </c>
      <c r="M56" s="106" t="s">
        <v>502</v>
      </c>
      <c r="N56" s="933"/>
      <c r="O56" s="1009">
        <f>IF(AND(VALUE(LEFT(RIGHT(O1,7),2))=3,(UnweightedStudCnt912PY+HSCountDORtoDOA)&gt;=100,(UnweightedStudCnt912PY+HSCountDORtoDOA)&lt;500),(UnweightedStudCnt912PY+HSCountDORtoDOA),IF(AND(UnweightedStudCnt912PY&gt;=100,UnweightedStudCnt912PY&lt;500),UnweightedStudCnt912PY,0))</f>
        <v>0</v>
      </c>
    </row>
    <row r="57" spans="1:16">
      <c r="B57" s="232"/>
      <c r="C57" s="106" t="s">
        <v>426</v>
      </c>
      <c r="D57" s="100" t="s">
        <v>503</v>
      </c>
      <c r="J57" s="106" t="s">
        <v>504</v>
      </c>
      <c r="K57" s="1010"/>
      <c r="L57" s="1009">
        <f>IF(L56&gt;0,L55-L56,0)</f>
        <v>0</v>
      </c>
      <c r="M57" s="106" t="s">
        <v>504</v>
      </c>
      <c r="N57" s="933"/>
      <c r="O57" s="1009">
        <f>IF(O56&gt;0,O55-O56,0)</f>
        <v>0</v>
      </c>
    </row>
    <row r="58" spans="1:16">
      <c r="B58" s="232"/>
      <c r="C58" s="106" t="s">
        <v>481</v>
      </c>
      <c r="D58" s="100" t="s">
        <v>1043</v>
      </c>
      <c r="J58" s="106" t="s">
        <v>505</v>
      </c>
      <c r="K58" s="1010"/>
      <c r="L58" s="1009">
        <v>2.9999999999999997E-4</v>
      </c>
      <c r="M58" s="106" t="s">
        <v>505</v>
      </c>
      <c r="N58" s="933"/>
      <c r="O58" s="1011">
        <v>4.0000000000000002E-4</v>
      </c>
    </row>
    <row r="59" spans="1:16">
      <c r="B59" s="232"/>
      <c r="C59" s="106" t="s">
        <v>482</v>
      </c>
      <c r="D59" s="100" t="s">
        <v>1044</v>
      </c>
      <c r="J59" s="106" t="s">
        <v>504</v>
      </c>
      <c r="K59" s="1010"/>
      <c r="L59" s="1009">
        <f>IF(L56&gt;0,ROUND(+L57*L58,3),0)</f>
        <v>0</v>
      </c>
      <c r="M59" s="106" t="s">
        <v>504</v>
      </c>
      <c r="N59" s="933"/>
      <c r="O59" s="1009">
        <f>IF(O56&gt;0,ROUND(+O57*O58,3),0)</f>
        <v>0</v>
      </c>
    </row>
    <row r="60" spans="1:16">
      <c r="B60" s="232"/>
      <c r="C60" s="106" t="s">
        <v>484</v>
      </c>
      <c r="D60" s="100" t="s">
        <v>1045</v>
      </c>
      <c r="J60" s="106" t="s">
        <v>506</v>
      </c>
      <c r="K60" s="1010"/>
      <c r="L60" s="1009">
        <v>1.278</v>
      </c>
      <c r="M60" s="106" t="s">
        <v>506</v>
      </c>
      <c r="N60" s="933"/>
      <c r="O60" s="1011">
        <v>1.3979999999999999</v>
      </c>
    </row>
    <row r="61" spans="1:16">
      <c r="B61" s="232"/>
      <c r="C61" s="106" t="s">
        <v>521</v>
      </c>
      <c r="D61" s="100" t="s">
        <v>1263</v>
      </c>
      <c r="J61" s="106" t="s">
        <v>504</v>
      </c>
      <c r="K61" s="1010"/>
      <c r="L61" s="1009">
        <f>IF(L56&gt;0,+L59+L60,0)</f>
        <v>0</v>
      </c>
      <c r="M61" s="106" t="s">
        <v>504</v>
      </c>
      <c r="N61" s="933"/>
      <c r="O61" s="1009">
        <f>IF(O56&gt;0,+O59+O60,0)</f>
        <v>0</v>
      </c>
    </row>
    <row r="62" spans="1:16">
      <c r="B62" s="232"/>
      <c r="C62" s="106" t="s">
        <v>522</v>
      </c>
      <c r="D62" s="100" t="s">
        <v>1264</v>
      </c>
      <c r="J62" s="106" t="s">
        <v>505</v>
      </c>
      <c r="K62" s="1003" t="s">
        <v>316</v>
      </c>
      <c r="L62" s="1012">
        <v>474.47</v>
      </c>
      <c r="M62" s="106" t="s">
        <v>505</v>
      </c>
      <c r="N62" s="1003" t="s">
        <v>316</v>
      </c>
      <c r="O62" s="1012">
        <v>494.39</v>
      </c>
    </row>
    <row r="63" spans="1:16" ht="12.75" thickBot="1">
      <c r="B63" s="232"/>
      <c r="C63" s="106" t="s">
        <v>523</v>
      </c>
      <c r="D63" s="106"/>
      <c r="F63" s="100" t="s">
        <v>520</v>
      </c>
      <c r="J63" s="106" t="s">
        <v>504</v>
      </c>
      <c r="K63" s="1007" t="s">
        <v>316</v>
      </c>
      <c r="L63" s="1008">
        <f>IF(L56&gt;0,ROUND(+L61*L62,2),0)</f>
        <v>0</v>
      </c>
      <c r="M63" s="106" t="s">
        <v>504</v>
      </c>
      <c r="N63" s="1007" t="s">
        <v>316</v>
      </c>
      <c r="O63" s="1008">
        <f>IF(O56&gt;0,ROUND(+O61*O62,2),0)</f>
        <v>0</v>
      </c>
    </row>
    <row r="64" spans="1:16" ht="7.5" customHeight="1" thickTop="1">
      <c r="B64" s="232"/>
    </row>
    <row r="65" spans="2:15">
      <c r="B65" s="924" t="s">
        <v>14</v>
      </c>
      <c r="C65" s="100" t="str">
        <f>_xlfn.CONCAT("FY ",Cover!E3," Student Count (",PriorFiscalYear," ADM):   500.000 - 599.999")</f>
        <v>FY 2025 Student Count (2024 ADM):   500.000 - 599.999</v>
      </c>
    </row>
    <row r="66" spans="2:15">
      <c r="B66" s="232"/>
      <c r="C66" s="106" t="s">
        <v>424</v>
      </c>
      <c r="D66" s="100" t="s">
        <v>501</v>
      </c>
      <c r="K66" s="933"/>
      <c r="L66" s="1009">
        <v>600</v>
      </c>
      <c r="N66" s="933"/>
      <c r="O66" s="1009">
        <v>600</v>
      </c>
    </row>
    <row r="67" spans="2:15">
      <c r="B67" s="232"/>
      <c r="C67" s="106" t="s">
        <v>425</v>
      </c>
      <c r="D67" s="100" t="s">
        <v>1262</v>
      </c>
      <c r="J67" s="106" t="s">
        <v>502</v>
      </c>
      <c r="K67" s="933"/>
      <c r="L67" s="1011">
        <f>IF(AND(500&lt;='Data Entry'!H17,'Data Entry'!H17&lt;600),'Data Entry'!H17,0)</f>
        <v>0</v>
      </c>
      <c r="M67" s="106" t="s">
        <v>502</v>
      </c>
      <c r="N67" s="933"/>
      <c r="O67" s="1011">
        <f>IF(AND(VALUE(LEFT(RIGHT(O1,7),2))=3,('Data Entry'!I17+'Data Entry'!L127)&gt;=500,('Data Entry'!I17+'Data Entry'!L127)&lt;600),('Data Entry'!I17+'Data Entry'!L127),IF(AND('Data Entry'!I17&gt;=500,'Data Entry'!I17&lt;600),'Data Entry'!I17,0))</f>
        <v>0</v>
      </c>
    </row>
    <row r="68" spans="2:15">
      <c r="B68" s="232"/>
      <c r="C68" s="106" t="s">
        <v>426</v>
      </c>
      <c r="D68" s="100" t="s">
        <v>503</v>
      </c>
      <c r="J68" s="106" t="s">
        <v>504</v>
      </c>
      <c r="K68" s="933"/>
      <c r="L68" s="1011">
        <f>IF(L67&gt;0,+L66-L67,0)</f>
        <v>0</v>
      </c>
      <c r="M68" s="106" t="s">
        <v>504</v>
      </c>
      <c r="N68" s="933"/>
      <c r="O68" s="1011">
        <f>IF(O67&gt;0,+O66-O67,0)</f>
        <v>0</v>
      </c>
    </row>
    <row r="69" spans="2:15">
      <c r="B69" s="232"/>
      <c r="C69" s="106" t="s">
        <v>481</v>
      </c>
      <c r="D69" s="100" t="s">
        <v>1043</v>
      </c>
      <c r="J69" s="106" t="s">
        <v>505</v>
      </c>
      <c r="K69" s="933"/>
      <c r="L69" s="1011">
        <v>1.1999999999999999E-3</v>
      </c>
      <c r="M69" s="106" t="s">
        <v>505</v>
      </c>
      <c r="N69" s="933"/>
      <c r="O69" s="1011">
        <v>1.2999999999999999E-3</v>
      </c>
    </row>
    <row r="70" spans="2:15">
      <c r="B70" s="232"/>
      <c r="C70" s="106" t="s">
        <v>482</v>
      </c>
      <c r="D70" s="100" t="s">
        <v>1044</v>
      </c>
      <c r="J70" s="106" t="s">
        <v>504</v>
      </c>
      <c r="K70" s="933"/>
      <c r="L70" s="1011">
        <f>IF(L67&gt;0,ROUND(+L68*L69,3),0)</f>
        <v>0</v>
      </c>
      <c r="M70" s="106" t="s">
        <v>504</v>
      </c>
      <c r="N70" s="933"/>
      <c r="O70" s="1011">
        <f>IF(O67&gt;0,ROUND(+O68*O69,3),0)</f>
        <v>0</v>
      </c>
    </row>
    <row r="71" spans="2:15">
      <c r="B71" s="232"/>
      <c r="C71" s="106" t="s">
        <v>484</v>
      </c>
      <c r="D71" s="100" t="s">
        <v>1045</v>
      </c>
      <c r="J71" s="106" t="s">
        <v>506</v>
      </c>
      <c r="K71" s="933"/>
      <c r="L71" s="1011">
        <v>1.1579999999999999</v>
      </c>
      <c r="M71" s="106" t="s">
        <v>506</v>
      </c>
      <c r="N71" s="933"/>
      <c r="O71" s="1011">
        <v>1.268</v>
      </c>
    </row>
    <row r="72" spans="2:15">
      <c r="B72" s="232"/>
      <c r="C72" s="106" t="s">
        <v>521</v>
      </c>
      <c r="D72" s="100" t="s">
        <v>1263</v>
      </c>
      <c r="J72" s="106" t="s">
        <v>504</v>
      </c>
      <c r="K72" s="933"/>
      <c r="L72" s="1011">
        <f>IF(L67&gt;0,+L70+L71,0)</f>
        <v>0</v>
      </c>
      <c r="M72" s="106" t="s">
        <v>504</v>
      </c>
      <c r="N72" s="933"/>
      <c r="O72" s="1011">
        <f>IF(O67&gt;0,+O70+O71,0)</f>
        <v>0</v>
      </c>
    </row>
    <row r="73" spans="2:15">
      <c r="B73" s="232"/>
      <c r="C73" s="106" t="s">
        <v>522</v>
      </c>
      <c r="D73" s="100" t="s">
        <v>1264</v>
      </c>
      <c r="J73" s="106" t="s">
        <v>505</v>
      </c>
      <c r="K73" s="1003" t="s">
        <v>316</v>
      </c>
      <c r="L73" s="1012">
        <v>474.47</v>
      </c>
      <c r="M73" s="106" t="s">
        <v>505</v>
      </c>
      <c r="N73" s="1003" t="s">
        <v>316</v>
      </c>
      <c r="O73" s="1012">
        <v>494.39</v>
      </c>
    </row>
    <row r="74" spans="2:15" ht="12.75" thickBot="1">
      <c r="B74" s="232"/>
      <c r="C74" s="106" t="s">
        <v>523</v>
      </c>
      <c r="D74" s="106"/>
      <c r="F74" s="100" t="s">
        <v>520</v>
      </c>
      <c r="J74" s="106" t="s">
        <v>504</v>
      </c>
      <c r="K74" s="1007" t="s">
        <v>316</v>
      </c>
      <c r="L74" s="1008">
        <f>IF(L67&gt;0,ROUND(+L72*L73,2),0)</f>
        <v>0</v>
      </c>
      <c r="M74" s="106" t="s">
        <v>504</v>
      </c>
      <c r="N74" s="1007" t="s">
        <v>316</v>
      </c>
      <c r="O74" s="1008">
        <f>IF(O67&gt;0,ROUND(+O72*O73,2),0)</f>
        <v>0</v>
      </c>
    </row>
    <row r="75" spans="2:15" ht="7.5" customHeight="1" thickTop="1">
      <c r="B75" s="232"/>
    </row>
    <row r="76" spans="2:15">
      <c r="B76" s="924" t="s">
        <v>33</v>
      </c>
      <c r="C76" s="100" t="str">
        <f>_xlfn.CONCAT("FY ",Cover!E3," Student Count (",PriorFiscalYear," ADM):   600.000 or More and Career Technical Education Districts")</f>
        <v>FY 2025 Student Count (2024 ADM):   600.000 or More and Career Technical Education Districts</v>
      </c>
    </row>
    <row r="77" spans="2:15" ht="12.75" thickBot="1">
      <c r="F77" s="100" t="s">
        <v>520</v>
      </c>
      <c r="K77" s="1007" t="s">
        <v>316</v>
      </c>
      <c r="L77" s="1008">
        <v>549.45000000000005</v>
      </c>
      <c r="N77" s="1007" t="s">
        <v>316</v>
      </c>
      <c r="O77" s="1008">
        <v>600.86</v>
      </c>
    </row>
    <row r="78" spans="2:15" ht="12.75" thickTop="1">
      <c r="K78" s="106"/>
      <c r="L78" s="944"/>
      <c r="N78" s="106"/>
      <c r="O78" s="944"/>
    </row>
    <row r="80" spans="2:15">
      <c r="B80" s="240"/>
      <c r="N80" s="106"/>
      <c r="O80" s="944"/>
    </row>
    <row r="82" spans="1:19" ht="15.75" customHeight="1">
      <c r="A82" s="1859" t="s">
        <v>985</v>
      </c>
      <c r="B82" s="1859"/>
      <c r="C82" s="1859"/>
      <c r="D82" s="1859"/>
      <c r="E82" s="1859"/>
      <c r="F82" s="1859"/>
      <c r="G82" s="1859"/>
      <c r="H82" s="1859"/>
      <c r="I82" s="1859"/>
      <c r="J82" s="1859"/>
      <c r="K82" s="1859"/>
      <c r="L82" s="1859"/>
      <c r="M82" s="1859"/>
      <c r="N82" s="1859"/>
      <c r="O82" s="1859"/>
      <c r="P82" s="1859"/>
      <c r="Q82" s="1859"/>
      <c r="R82" s="1859"/>
      <c r="S82" s="1859"/>
    </row>
    <row r="83" spans="1:19">
      <c r="B83" s="240" t="s">
        <v>1</v>
      </c>
      <c r="C83" s="100" t="str">
        <f>_xlfn.CONCAT("General Budget Limit (GBL) (from FY ",PriorFiscalYear," latest revised budget, page 7, line 11)")</f>
        <v>General Budget Limit (GBL) (from FY 2024 latest revised budget, page 7, line 11)</v>
      </c>
      <c r="Q83" s="1003" t="s">
        <v>316</v>
      </c>
      <c r="R83" s="1004">
        <f>[1]!GBLBudgFY</f>
        <v>33250572</v>
      </c>
    </row>
    <row r="84" spans="1:19">
      <c r="B84" s="1013" t="s">
        <v>2</v>
      </c>
      <c r="C84" s="100" t="str">
        <f>_xlfn.CONCAT("Adjustments to the GBL (from FY ",PriorFiscalYear," BUDG75, amount will be zero for budget adoption)")</f>
        <v>Adjustments to the GBL (from FY 2024 BUDG75, amount will be zero for budget adoption)</v>
      </c>
      <c r="Q84" s="1003" t="s">
        <v>316</v>
      </c>
      <c r="R84" s="1004">
        <f>BUDG75Adj</f>
        <v>0</v>
      </c>
    </row>
    <row r="85" spans="1:19">
      <c r="B85" s="240" t="s">
        <v>14</v>
      </c>
      <c r="C85" s="100" t="s">
        <v>524</v>
      </c>
      <c r="Q85" s="1003" t="s">
        <v>316</v>
      </c>
      <c r="R85" s="1004">
        <f>R83+R84</f>
        <v>33250572</v>
      </c>
    </row>
    <row r="86" spans="1:19">
      <c r="B86" s="240" t="s">
        <v>33</v>
      </c>
      <c r="C86" s="100" t="str">
        <f>_xlfn.CONCAT("Budgeted M and O expenditures (from FY ",PriorFiscalYear," latest revised Budget, page 1, line 30, Total Budget Year Column)")</f>
        <v>Budgeted M and O expenditures (from FY 2024 latest revised Budget, page 1, line 30, Total Budget Year Column)</v>
      </c>
      <c r="Q86" s="1003" t="s">
        <v>316</v>
      </c>
      <c r="R86" s="1004">
        <f>[1]!F001TotalExp</f>
        <v>33250572</v>
      </c>
    </row>
    <row r="87" spans="1:19">
      <c r="B87" s="240" t="s">
        <v>123</v>
      </c>
      <c r="C87" s="100" t="s">
        <v>525</v>
      </c>
      <c r="Q87" s="1003" t="s">
        <v>316</v>
      </c>
      <c r="R87" s="1004">
        <f>R84</f>
        <v>0</v>
      </c>
    </row>
    <row r="88" spans="1:19">
      <c r="B88" s="240" t="s">
        <v>124</v>
      </c>
      <c r="C88" s="100" t="s">
        <v>1053</v>
      </c>
      <c r="Q88" s="1003" t="s">
        <v>316</v>
      </c>
      <c r="R88" s="1004">
        <f>R86+R87</f>
        <v>33250572</v>
      </c>
    </row>
    <row r="89" spans="1:19">
      <c r="B89" s="240" t="s">
        <v>125</v>
      </c>
      <c r="C89" s="100" t="s">
        <v>1054</v>
      </c>
      <c r="Q89" s="1003" t="s">
        <v>316</v>
      </c>
      <c r="R89" s="1004">
        <f>MIN(R85,R88)</f>
        <v>33250572</v>
      </c>
    </row>
    <row r="90" spans="1:19">
      <c r="B90" s="1013" t="s">
        <v>127</v>
      </c>
      <c r="C90" s="100" t="str">
        <f>_xlfn.CONCAT("FY ",PriorFiscalYear," M and O Fund actual expenditures (from FY ",PriorFiscalYear," AFR, amount will be estimated for budget adoption)")</f>
        <v>FY 2024 M and O Fund actual expenditures (from FY 2024 AFR, amount will be estimated for budget adoption)</v>
      </c>
      <c r="Q90" s="1003" t="s">
        <v>316</v>
      </c>
      <c r="R90" s="1004">
        <f>PYTotMOActExpend</f>
        <v>29250572</v>
      </c>
    </row>
    <row r="91" spans="1:19" ht="23.25" customHeight="1">
      <c r="B91" s="951" t="s">
        <v>128</v>
      </c>
      <c r="C91" s="1618" t="s">
        <v>1055</v>
      </c>
      <c r="D91" s="1618"/>
      <c r="E91" s="1618"/>
      <c r="F91" s="1618"/>
      <c r="G91" s="1618"/>
      <c r="H91" s="1618"/>
      <c r="I91" s="1618"/>
      <c r="K91" s="1003" t="s">
        <v>316</v>
      </c>
      <c r="L91" s="1004" t="str">
        <f>IF((R89-R90&lt;0),R89-R90," ")</f>
        <v xml:space="preserve"> </v>
      </c>
      <c r="N91" s="1862" t="str">
        <f>IF(L91&lt;0,"OVEREXPENDED"," ")</f>
        <v xml:space="preserve"> </v>
      </c>
      <c r="O91" s="1862"/>
      <c r="Q91" s="1003" t="s">
        <v>316</v>
      </c>
      <c r="R91" s="1004">
        <f>IF(R89-R90&gt;0,R89-R90,0)</f>
        <v>4000000</v>
      </c>
    </row>
    <row r="92" spans="1:19">
      <c r="C92" s="432"/>
      <c r="D92" s="432"/>
      <c r="E92" s="432"/>
      <c r="F92" s="432"/>
      <c r="G92" s="432"/>
      <c r="H92" s="432"/>
      <c r="I92" s="432"/>
    </row>
    <row r="93" spans="1:19">
      <c r="B93" s="124"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13" t="s">
        <v>129</v>
      </c>
      <c r="C95" s="100" t="str">
        <f>_xlfn.CONCAT("FY ",PriorFiscalYear," Actual expenditures:")</f>
        <v>FY 2024 Actual expenditures:</v>
      </c>
      <c r="K95" s="1548" t="str">
        <f>_xlfn.CONCAT("FY ",PriorFiscalYear," Budget")</f>
        <v>FY 2024 Budget</v>
      </c>
      <c r="L95" s="1548"/>
      <c r="N95" s="1548" t="s">
        <v>526</v>
      </c>
      <c r="O95" s="1548"/>
      <c r="Q95" s="1548" t="s">
        <v>527</v>
      </c>
      <c r="R95" s="1548"/>
    </row>
    <row r="96" spans="1:19">
      <c r="C96" s="106" t="s">
        <v>424</v>
      </c>
      <c r="D96" s="100" t="s">
        <v>1052</v>
      </c>
      <c r="K96" s="1003" t="s">
        <v>316</v>
      </c>
      <c r="L96" s="1004">
        <f>[1]!SpecProgOverride</f>
        <v>0</v>
      </c>
      <c r="M96" s="3" t="s">
        <v>502</v>
      </c>
      <c r="N96" s="1003" t="s">
        <v>316</v>
      </c>
      <c r="O96" s="1004">
        <f>'Data Entry'!L91</f>
        <v>0</v>
      </c>
      <c r="P96" s="3" t="s">
        <v>504</v>
      </c>
      <c r="Q96" s="1003" t="s">
        <v>316</v>
      </c>
      <c r="R96" s="1004">
        <f t="shared" ref="R96:R100" si="0">IF(L96-O96&gt;0,L96-O96,0)</f>
        <v>0</v>
      </c>
    </row>
    <row r="97" spans="2:18">
      <c r="C97" s="106" t="s">
        <v>425</v>
      </c>
      <c r="D97" s="100" t="s">
        <v>528</v>
      </c>
      <c r="K97" s="1003" t="s">
        <v>316</v>
      </c>
      <c r="L97" s="1004">
        <f>[1]!BudgIncrDesegExp</f>
        <v>0</v>
      </c>
      <c r="M97" s="3" t="s">
        <v>502</v>
      </c>
      <c r="N97" s="1003" t="s">
        <v>316</v>
      </c>
      <c r="O97" s="1004">
        <f>'Data Entry'!L92</f>
        <v>0</v>
      </c>
      <c r="P97" s="3" t="s">
        <v>504</v>
      </c>
      <c r="Q97" s="1003" t="s">
        <v>316</v>
      </c>
      <c r="R97" s="1004">
        <f t="shared" si="0"/>
        <v>0</v>
      </c>
    </row>
    <row r="98" spans="2:18">
      <c r="C98" s="223" t="s">
        <v>426</v>
      </c>
      <c r="D98" s="100" t="s">
        <v>1021</v>
      </c>
      <c r="K98" s="1003" t="s">
        <v>316</v>
      </c>
      <c r="L98" s="1004">
        <f>[1]!BudgIncrDropPrevProg</f>
        <v>0</v>
      </c>
      <c r="M98" s="3" t="s">
        <v>502</v>
      </c>
      <c r="N98" s="1003" t="s">
        <v>316</v>
      </c>
      <c r="O98" s="1004">
        <f>'Data Entry'!L93</f>
        <v>0</v>
      </c>
      <c r="P98" s="3" t="s">
        <v>504</v>
      </c>
      <c r="Q98" s="1003" t="s">
        <v>316</v>
      </c>
      <c r="R98" s="1004">
        <f t="shared" si="0"/>
        <v>0</v>
      </c>
    </row>
    <row r="99" spans="2:18">
      <c r="C99" s="223" t="s">
        <v>481</v>
      </c>
      <c r="D99" s="100" t="s">
        <v>529</v>
      </c>
      <c r="K99" s="1003" t="s">
        <v>316</v>
      </c>
      <c r="L99" s="1004">
        <f>[1]!BudgIncrJCTEVEC</f>
        <v>0</v>
      </c>
      <c r="M99" s="3" t="s">
        <v>502</v>
      </c>
      <c r="N99" s="1003" t="s">
        <v>316</v>
      </c>
      <c r="O99" s="1004">
        <f>'Data Entry'!L94</f>
        <v>0</v>
      </c>
      <c r="P99" s="3" t="s">
        <v>504</v>
      </c>
      <c r="Q99" s="1003" t="s">
        <v>316</v>
      </c>
      <c r="R99" s="1004">
        <f t="shared" si="0"/>
        <v>0</v>
      </c>
    </row>
    <row r="100" spans="2:18">
      <c r="C100" s="223" t="s">
        <v>482</v>
      </c>
      <c r="D100" s="100" t="s">
        <v>1051</v>
      </c>
      <c r="K100" s="1003" t="s">
        <v>316</v>
      </c>
      <c r="L100" s="1004">
        <f>[1]!BudgIncrJCTEVEC</f>
        <v>0</v>
      </c>
      <c r="M100" s="3" t="s">
        <v>502</v>
      </c>
      <c r="N100" s="1003" t="s">
        <v>316</v>
      </c>
      <c r="O100" s="1004">
        <f>'Data Entry'!L95</f>
        <v>0</v>
      </c>
      <c r="P100" s="3" t="s">
        <v>504</v>
      </c>
      <c r="Q100" s="1003" t="s">
        <v>316</v>
      </c>
      <c r="R100" s="1004">
        <f t="shared" si="0"/>
        <v>0</v>
      </c>
    </row>
    <row r="101" spans="2:18">
      <c r="C101" s="223" t="s">
        <v>484</v>
      </c>
      <c r="D101" s="100" t="s">
        <v>1050</v>
      </c>
      <c r="P101" s="3" t="s">
        <v>504</v>
      </c>
      <c r="Q101" s="1003" t="s">
        <v>316</v>
      </c>
      <c r="R101" s="1004">
        <f>R96+R97+R98+R99+R100</f>
        <v>0</v>
      </c>
    </row>
    <row r="102" spans="2:18">
      <c r="B102" s="240" t="s">
        <v>130</v>
      </c>
      <c r="C102" s="100" t="s">
        <v>1049</v>
      </c>
      <c r="Q102" s="1003" t="s">
        <v>316</v>
      </c>
      <c r="R102" s="1004">
        <f>IF(R91-R101&gt;0,R91-R101,0)</f>
        <v>4000000</v>
      </c>
    </row>
    <row r="103" spans="2:18" ht="23.25" customHeight="1">
      <c r="B103" s="951" t="s">
        <v>131</v>
      </c>
      <c r="C103" s="1782"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82"/>
      <c r="E103" s="1782"/>
      <c r="F103" s="1782"/>
      <c r="G103" s="1782"/>
      <c r="H103" s="1782"/>
      <c r="I103" s="1782"/>
      <c r="J103" s="1782"/>
      <c r="P103" s="3" t="s">
        <v>502</v>
      </c>
      <c r="Q103" s="1003" t="s">
        <v>316</v>
      </c>
      <c r="R103" s="1004">
        <f>IF('Data Entry'!L96&gt;0,MIN('Data Entry'!L96,R102),0)</f>
        <v>0</v>
      </c>
    </row>
    <row r="104" spans="2:18">
      <c r="B104" s="240" t="s">
        <v>132</v>
      </c>
      <c r="C104" s="100" t="s">
        <v>530</v>
      </c>
      <c r="P104" s="100" t="s">
        <v>504</v>
      </c>
      <c r="Q104" s="1003" t="s">
        <v>316</v>
      </c>
      <c r="R104" s="1004">
        <f>R102-R103</f>
        <v>4000000</v>
      </c>
    </row>
    <row r="106" spans="2:18">
      <c r="B106" s="240" t="s">
        <v>133</v>
      </c>
      <c r="C106" s="100" t="s">
        <v>1048</v>
      </c>
    </row>
    <row r="107" spans="2:18">
      <c r="C107" s="1014" t="s">
        <v>424</v>
      </c>
      <c r="D107" s="100" t="str">
        <f>_xlfn.CONCAT("M and O Fund cash balance as of June 30, ",PriorFiscalYear)</f>
        <v>M and O Fund cash balance as of June 30, 2024</v>
      </c>
      <c r="Q107" s="1003" t="s">
        <v>316</v>
      </c>
      <c r="R107" s="1004">
        <f>IF(VALUE(LEFT(RIGHT(O1,7),2))=1,PYEndMOCash,0)</f>
        <v>0</v>
      </c>
    </row>
    <row r="108" spans="2:18">
      <c r="C108" s="106" t="s">
        <v>425</v>
      </c>
      <c r="D108" s="100" t="s">
        <v>531</v>
      </c>
      <c r="P108" s="106" t="s">
        <v>502</v>
      </c>
      <c r="Q108" s="1003" t="s">
        <v>316</v>
      </c>
      <c r="R108" s="1004">
        <f>IF(AND(VALUE(LEFT(RIGHT(O1,7),2))=1,LessDSLorRCL912&gt;0),R104,0)</f>
        <v>0</v>
      </c>
    </row>
    <row r="109" spans="2:18">
      <c r="C109" s="106" t="s">
        <v>426</v>
      </c>
      <c r="D109" s="100" t="s">
        <v>1047</v>
      </c>
      <c r="P109" s="106" t="s">
        <v>504</v>
      </c>
      <c r="Q109" s="1003" t="s">
        <v>316</v>
      </c>
      <c r="R109" s="1004">
        <f>R107-R108</f>
        <v>0</v>
      </c>
    </row>
    <row r="110" spans="2:18">
      <c r="B110" s="240" t="s">
        <v>134</v>
      </c>
      <c r="C110" s="100" t="s">
        <v>1046</v>
      </c>
    </row>
    <row r="111" spans="2:18">
      <c r="C111" s="106" t="s">
        <v>424</v>
      </c>
      <c r="D111" s="100" t="s">
        <v>532</v>
      </c>
      <c r="N111" s="1003" t="s">
        <v>316</v>
      </c>
      <c r="O111" s="1004">
        <f>R109</f>
        <v>0</v>
      </c>
    </row>
    <row r="112" spans="2:18">
      <c r="C112" s="1014" t="s">
        <v>425</v>
      </c>
      <c r="D112" s="100" t="str">
        <f>_xlfn.CONCAT("10% of the FY ",Cover!E3," RCL calculated using the district's ",PriorFiscalYear," ADM")</f>
        <v>10% of the FY 2025 RCL calculated using the district's 2024 ADM</v>
      </c>
      <c r="N112" s="1003" t="s">
        <v>316</v>
      </c>
      <c r="O112" s="1004">
        <f>AccommRCL10</f>
        <v>0</v>
      </c>
    </row>
    <row r="113" spans="1:18">
      <c r="C113" s="1014" t="s">
        <v>426</v>
      </c>
      <c r="D113" s="100" t="str">
        <f>_xlfn.CONCAT("Up to 5% of the FY ",Cover!E3," RCL calculated pursuant to A.R.S. Section 15-482.B")</f>
        <v>Up to 5% of the FY 2025 RCL calculated pursuant to A.R.S. Section 15-482.B</v>
      </c>
      <c r="M113" s="100" t="s">
        <v>506</v>
      </c>
      <c r="N113" s="1003" t="s">
        <v>316</v>
      </c>
      <c r="O113" s="1004">
        <f>AccommRCL05</f>
        <v>0</v>
      </c>
    </row>
    <row r="114" spans="1:18">
      <c r="C114" s="106" t="s">
        <v>481</v>
      </c>
      <c r="D114" s="100" t="s">
        <v>533</v>
      </c>
      <c r="M114" s="100" t="s">
        <v>504</v>
      </c>
      <c r="N114" s="1003" t="s">
        <v>316</v>
      </c>
      <c r="O114" s="1004">
        <f>O112+O113</f>
        <v>0</v>
      </c>
    </row>
    <row r="115" spans="1:18">
      <c r="C115" s="106" t="s">
        <v>482</v>
      </c>
      <c r="D115" s="100" t="s">
        <v>534</v>
      </c>
      <c r="Q115" s="1003" t="s">
        <v>316</v>
      </c>
      <c r="R115" s="1004">
        <f>MIN(O111,O114)</f>
        <v>0</v>
      </c>
    </row>
    <row r="117" spans="1:18" s="107" customFormat="1" ht="17.25" customHeight="1">
      <c r="A117" s="1313" t="s">
        <v>986</v>
      </c>
      <c r="B117" s="1311"/>
      <c r="C117" s="1311"/>
      <c r="D117" s="1311"/>
      <c r="E117" s="1311"/>
      <c r="F117" s="1311"/>
      <c r="G117" s="1311"/>
      <c r="H117" s="1311"/>
      <c r="I117" s="1311"/>
      <c r="J117" s="1311"/>
      <c r="K117" s="1311"/>
      <c r="L117" s="1311"/>
    </row>
    <row r="118" spans="1:18">
      <c r="B118" s="1013" t="s">
        <v>1</v>
      </c>
      <c r="C118" s="100" t="str">
        <f>_xlfn.CONCAT("FY ",Cover!E3," Impact Aid revenue")</f>
        <v>FY 2025 Impact Aid revenue</v>
      </c>
      <c r="Q118" s="1003" t="s">
        <v>316</v>
      </c>
      <c r="R118" s="1004">
        <f>'Data Entry'!L99</f>
        <v>0</v>
      </c>
    </row>
    <row r="119" spans="1:18">
      <c r="B119" s="1013" t="s">
        <v>2</v>
      </c>
      <c r="C119" s="1782"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82"/>
      <c r="E119" s="1782"/>
      <c r="F119" s="1782"/>
      <c r="G119" s="1782"/>
      <c r="H119" s="1782"/>
      <c r="I119" s="1782"/>
      <c r="J119" s="1782"/>
      <c r="K119" s="1782"/>
      <c r="L119" s="1782"/>
    </row>
    <row r="120" spans="1:18">
      <c r="B120" s="240"/>
      <c r="C120" s="1782"/>
      <c r="D120" s="1782"/>
      <c r="E120" s="1782"/>
      <c r="F120" s="1782"/>
      <c r="G120" s="1782"/>
      <c r="H120" s="1782"/>
      <c r="I120" s="1782"/>
      <c r="J120" s="1782"/>
      <c r="K120" s="1782"/>
      <c r="L120" s="1782"/>
      <c r="P120" s="3" t="s">
        <v>502</v>
      </c>
      <c r="Q120" s="1003" t="s">
        <v>316</v>
      </c>
      <c r="R120" s="1004">
        <f>'Data Entry'!L100</f>
        <v>0</v>
      </c>
    </row>
    <row r="121" spans="1:18">
      <c r="B121" s="240" t="s">
        <v>14</v>
      </c>
      <c r="C121" s="100" t="s">
        <v>486</v>
      </c>
      <c r="N121" s="1003" t="s">
        <v>316</v>
      </c>
      <c r="O121" s="1004">
        <f>IF('Data Entry'!L99&gt;0,CYTRCL-TSL,0)</f>
        <v>0</v>
      </c>
      <c r="P121" s="3"/>
    </row>
    <row r="122" spans="1:18" ht="24" customHeight="1">
      <c r="B122" s="1013" t="s">
        <v>33</v>
      </c>
      <c r="C122" s="1618"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18"/>
      <c r="E122" s="1618"/>
      <c r="F122" s="1618"/>
      <c r="G122" s="1618"/>
      <c r="H122" s="1618"/>
      <c r="I122" s="1618"/>
      <c r="J122" s="1618"/>
      <c r="K122" s="1618"/>
      <c r="L122" s="1618"/>
      <c r="M122" s="1618"/>
      <c r="N122" s="1618"/>
      <c r="P122" s="3" t="s">
        <v>502</v>
      </c>
      <c r="Q122" s="1003" t="s">
        <v>316</v>
      </c>
      <c r="R122" s="1004">
        <f>'Data Entry'!L101</f>
        <v>0</v>
      </c>
    </row>
    <row r="123" spans="1:18">
      <c r="B123" s="1013" t="s">
        <v>123</v>
      </c>
      <c r="C123" s="100" t="str">
        <f>_xlfn.CONCAT("Impact Aid revenue transferred in FY ",Cover!E3," to the M and O Fund to reduce or eliminate taxes")</f>
        <v>Impact Aid revenue transferred in FY 2025 to the M and O Fund to reduce or eliminate taxes</v>
      </c>
      <c r="P123" s="3" t="s">
        <v>502</v>
      </c>
      <c r="Q123" s="1003" t="s">
        <v>316</v>
      </c>
      <c r="R123" s="1004">
        <f>'Data Entry'!L102</f>
        <v>0</v>
      </c>
    </row>
    <row r="124" spans="1:18">
      <c r="B124" s="1013" t="s">
        <v>124</v>
      </c>
      <c r="C124" s="100" t="str">
        <f>_xlfn.CONCAT("FY ",PriorFiscalYear," Ending cash balance in the Impact Aid Fund")</f>
        <v>FY 2024 Ending cash balance in the Impact Aid Fund</v>
      </c>
      <c r="P124" s="3" t="s">
        <v>506</v>
      </c>
      <c r="Q124" s="1003" t="s">
        <v>316</v>
      </c>
      <c r="R124" s="1004">
        <f>'Data Entry'!L103</f>
        <v>0</v>
      </c>
    </row>
    <row r="125" spans="1:18" ht="11.25" customHeight="1">
      <c r="B125" s="951" t="s">
        <v>125</v>
      </c>
      <c r="C125" s="1618" t="str">
        <f>_xlfn.CONCAT("FY ",Cover!E3," Amount available to be spent in the Impact Aid Fund  (on page 6, Federal Projects line 16)")</f>
        <v>FY 2025 Amount available to be spent in the Impact Aid Fund  (on page 6, Federal Projects line 16)</v>
      </c>
      <c r="D125" s="1618"/>
      <c r="E125" s="1618"/>
      <c r="F125" s="1618"/>
      <c r="G125" s="1618"/>
      <c r="H125" s="1618"/>
      <c r="I125" s="1618"/>
      <c r="J125" s="1618"/>
      <c r="P125" s="3" t="s">
        <v>504</v>
      </c>
      <c r="Q125" s="1003" t="s">
        <v>316</v>
      </c>
      <c r="R125" s="1004">
        <f>R118-R120-R122-R123+R124</f>
        <v>0</v>
      </c>
    </row>
    <row r="129" spans="1:33" ht="14.25">
      <c r="A129" s="963" t="s">
        <v>987</v>
      </c>
    </row>
    <row r="131" spans="1:33" ht="34.5" customHeight="1">
      <c r="A131" s="1858" t="s">
        <v>535</v>
      </c>
      <c r="B131" s="1858"/>
      <c r="C131" s="1858"/>
      <c r="D131" s="1858"/>
      <c r="E131" s="1858"/>
      <c r="F131" s="1858"/>
      <c r="G131" s="1858"/>
      <c r="H131" s="1858"/>
      <c r="I131" s="1858"/>
      <c r="J131" s="1858"/>
      <c r="K131" s="1858"/>
      <c r="L131" s="1858"/>
      <c r="M131" s="1858"/>
      <c r="N131" s="1858"/>
      <c r="O131" s="1858"/>
      <c r="P131" s="1858"/>
      <c r="Q131" s="1858"/>
      <c r="R131" s="1858"/>
    </row>
    <row r="133" spans="1:33" ht="43.5" customHeight="1">
      <c r="A133" s="1618"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18"/>
      <c r="C133" s="1618"/>
      <c r="D133" s="1618"/>
      <c r="E133" s="1618"/>
      <c r="F133" s="1618"/>
      <c r="G133" s="1618"/>
      <c r="H133" s="1618"/>
      <c r="I133" s="1618"/>
      <c r="J133" s="1618"/>
      <c r="K133" s="1618"/>
      <c r="L133" s="1618"/>
      <c r="M133" s="1618"/>
      <c r="N133" s="1618"/>
      <c r="O133" s="1618"/>
      <c r="P133" s="1618"/>
      <c r="Q133" s="1618"/>
      <c r="R133" s="1618"/>
      <c r="S133" s="560"/>
      <c r="AF133" s="1386" t="s">
        <v>1080</v>
      </c>
      <c r="AG133" s="1386"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40" t="s">
        <v>1</v>
      </c>
      <c r="C135" s="100" t="s">
        <v>536</v>
      </c>
      <c r="W135" s="124"/>
      <c r="Y135" s="244" t="s">
        <v>537</v>
      </c>
    </row>
    <row r="136" spans="1:33">
      <c r="C136" s="128" t="s">
        <v>424</v>
      </c>
      <c r="D136" s="1015" t="s">
        <v>538</v>
      </c>
      <c r="Q136" s="1003" t="s">
        <v>316</v>
      </c>
      <c r="R136" s="1004">
        <v>150000</v>
      </c>
      <c r="T136" s="1881" t="s">
        <v>539</v>
      </c>
      <c r="U136" s="1881"/>
      <c r="Y136" s="886" t="s">
        <v>540</v>
      </c>
      <c r="Z136" s="244" t="s">
        <v>537</v>
      </c>
    </row>
    <row r="137" spans="1:33">
      <c r="C137" s="128" t="s">
        <v>425</v>
      </c>
      <c r="D137" s="107" t="str">
        <f>_xlfn.CONCAT("FY ",Cover!E3," K-8 student count")</f>
        <v>FY 2025 K-8 student count</v>
      </c>
      <c r="O137" s="900">
        <f>IF(AND(SSAPhaseDownCheckbox="X",SSAFYExceeded&lt;2000,UnweightedStudCntK8PY&gt;125,UnweightedStudCntK8PY&lt;154),UnweightedStudCntK8PY,0)</f>
        <v>0</v>
      </c>
      <c r="T137" s="100" t="s">
        <v>1042</v>
      </c>
      <c r="Y137" s="900">
        <v>500</v>
      </c>
      <c r="Z137" s="900">
        <v>500</v>
      </c>
    </row>
    <row r="138" spans="1:33">
      <c r="C138" s="128" t="s">
        <v>426</v>
      </c>
      <c r="D138" s="1015" t="s">
        <v>541</v>
      </c>
      <c r="N138" s="3" t="s">
        <v>502</v>
      </c>
      <c r="O138" s="900">
        <v>125</v>
      </c>
      <c r="T138" s="100" t="str">
        <f>_xlfn.CONCAT("FY ",Cover!E3," Student count (line 1.b to left)")</f>
        <v>FY 2025 Student count (line 1.b to left)</v>
      </c>
      <c r="X138" s="106" t="s">
        <v>502</v>
      </c>
      <c r="Y138" s="900">
        <f>IF(AND(SSAPhaseDownCheckbox="X",SmallIsolatedPSD8Checkbox="X"),O137,0)</f>
        <v>0</v>
      </c>
      <c r="Z138" s="900">
        <f>IF(AND(SSAPhaseDownCheckbox="X",SmallIsolatedPSD8Checkbox&lt;&gt;"X"),O137,0)</f>
        <v>0</v>
      </c>
    </row>
    <row r="139" spans="1:33">
      <c r="C139" s="128" t="s">
        <v>481</v>
      </c>
      <c r="D139" s="1015" t="s">
        <v>542</v>
      </c>
      <c r="N139" s="3" t="s">
        <v>504</v>
      </c>
      <c r="O139" s="900">
        <f>IF(O137&gt;0,O137-O138,0)</f>
        <v>0</v>
      </c>
      <c r="U139" s="100" t="s">
        <v>503</v>
      </c>
      <c r="X139" s="106" t="s">
        <v>504</v>
      </c>
      <c r="Y139" s="900">
        <f>IF(Y138&gt;0,Y137-Y138,0)</f>
        <v>0</v>
      </c>
      <c r="Z139" s="900">
        <f>IF(Z138&gt;0,Z137-Z138,0)</f>
        <v>0</v>
      </c>
    </row>
    <row r="140" spans="1:33">
      <c r="C140" s="128" t="s">
        <v>482</v>
      </c>
      <c r="D140" s="1015" t="s">
        <v>543</v>
      </c>
      <c r="N140" s="3" t="s">
        <v>505</v>
      </c>
      <c r="O140" s="900">
        <f>IF(AND(O137&gt;0,SSAPhaseDownCheckbox="X",SmallIsolatedPSD8Checkbox="X"),Y143,IF(AND(O137&gt;0,SSAPhaseDownCheckbox="X",SmallIsolatedPSD8Checkbox&lt;&gt;"X"),Z143,0))</f>
        <v>0</v>
      </c>
      <c r="U140" s="100" t="s">
        <v>1043</v>
      </c>
      <c r="X140" s="106" t="s">
        <v>505</v>
      </c>
      <c r="Y140" s="900">
        <v>5.0000000000000001E-4</v>
      </c>
      <c r="Z140" s="900">
        <v>2.9999999999999997E-4</v>
      </c>
    </row>
    <row r="141" spans="1:33">
      <c r="C141" s="128" t="s">
        <v>484</v>
      </c>
      <c r="D141" s="1015" t="s">
        <v>544</v>
      </c>
      <c r="N141" s="3" t="s">
        <v>504</v>
      </c>
      <c r="O141" s="900">
        <f>ROUND(O139*O140,3)</f>
        <v>0</v>
      </c>
      <c r="U141" s="100" t="s">
        <v>1044</v>
      </c>
      <c r="X141" s="106" t="s">
        <v>504</v>
      </c>
      <c r="Y141" s="900">
        <f>Y139*Y140</f>
        <v>0</v>
      </c>
      <c r="Z141" s="900">
        <f>Z139*Z140</f>
        <v>0</v>
      </c>
    </row>
    <row r="142" spans="1:33">
      <c r="C142" s="128" t="s">
        <v>521</v>
      </c>
      <c r="D142" s="1015" t="s">
        <v>545</v>
      </c>
      <c r="N142" s="3" t="s">
        <v>505</v>
      </c>
      <c r="O142" s="939">
        <f>IF(O137&gt;0,'Data Entry'!L53,0)</f>
        <v>0</v>
      </c>
      <c r="U142" s="100" t="s">
        <v>1045</v>
      </c>
      <c r="X142" s="106" t="s">
        <v>506</v>
      </c>
      <c r="Y142" s="959">
        <v>1.3580000000000001</v>
      </c>
      <c r="Z142" s="959">
        <v>1.278</v>
      </c>
    </row>
    <row r="143" spans="1:33">
      <c r="C143" s="128" t="s">
        <v>522</v>
      </c>
      <c r="D143" s="1015" t="s">
        <v>546</v>
      </c>
      <c r="P143" s="3" t="s">
        <v>502</v>
      </c>
      <c r="Q143" s="1003" t="s">
        <v>316</v>
      </c>
      <c r="R143" s="1004">
        <f>ROUND(O141*O142,2)</f>
        <v>0</v>
      </c>
      <c r="T143" s="100" t="str">
        <f>_xlfn.CONCAT("FY ",Cover!E3," Adjusted support level weight (to line 1.e)")</f>
        <v>FY 2025 Adjusted support level weight (to line 1.e)</v>
      </c>
      <c r="X143" s="106" t="s">
        <v>504</v>
      </c>
      <c r="Y143" s="900">
        <f>IF(Y138&gt;0,Y141+Y142,0)</f>
        <v>0</v>
      </c>
      <c r="Z143" s="900">
        <f>IF(Z138&gt;0,Z141+Z142,0)</f>
        <v>0</v>
      </c>
    </row>
    <row r="144" spans="1:33">
      <c r="C144" s="128" t="s">
        <v>523</v>
      </c>
      <c r="D144" s="1015" t="s">
        <v>547</v>
      </c>
      <c r="Q144" s="1003" t="s">
        <v>316</v>
      </c>
      <c r="R144" s="1004">
        <f>IF(O137&gt;0,R136-R143,0)</f>
        <v>0</v>
      </c>
    </row>
    <row r="146" spans="1:26" ht="23.25" customHeight="1">
      <c r="A146" s="127"/>
      <c r="B146" s="951" t="s">
        <v>2</v>
      </c>
      <c r="C146" s="1782" t="s">
        <v>548</v>
      </c>
      <c r="D146" s="1782"/>
      <c r="E146" s="1782"/>
      <c r="F146" s="1782"/>
      <c r="G146" s="1782"/>
      <c r="H146" s="1782"/>
      <c r="I146" s="1782"/>
      <c r="J146" s="1782"/>
      <c r="K146" s="1782"/>
      <c r="L146" s="1782"/>
      <c r="M146" s="1782"/>
      <c r="N146" s="1782"/>
      <c r="O146" s="1782"/>
      <c r="P146" s="1782"/>
      <c r="Q146" s="1782"/>
      <c r="R146" s="129"/>
      <c r="W146" s="124"/>
      <c r="Y146" s="244" t="s">
        <v>537</v>
      </c>
    </row>
    <row r="147" spans="1:26">
      <c r="C147" s="128" t="s">
        <v>424</v>
      </c>
      <c r="D147" s="1015" t="s">
        <v>538</v>
      </c>
      <c r="Q147" s="1003" t="s">
        <v>316</v>
      </c>
      <c r="R147" s="1004">
        <v>350000</v>
      </c>
      <c r="T147" s="1881" t="s">
        <v>549</v>
      </c>
      <c r="U147" s="1881"/>
      <c r="Y147" s="886" t="s">
        <v>540</v>
      </c>
      <c r="Z147" s="244" t="s">
        <v>537</v>
      </c>
    </row>
    <row r="148" spans="1:26">
      <c r="C148" s="128" t="s">
        <v>425</v>
      </c>
      <c r="D148" s="107" t="str">
        <f>_xlfn.CONCAT("FY ",Cover!E3," 9-12 student count")</f>
        <v>FY 2025 9-12 student count</v>
      </c>
      <c r="O148" s="900">
        <f>IF(AND(SSAPhaseDownCheckbox="X",SSAFYExceeded&lt;2000,UnweightedStudCnt912PY&gt;100,UnweightedStudCnt912PY&lt;176),UnweightedStudCnt912PY,0)</f>
        <v>0</v>
      </c>
      <c r="T148" s="100" t="s">
        <v>1042</v>
      </c>
      <c r="Y148" s="900">
        <v>500</v>
      </c>
      <c r="Z148" s="900">
        <v>500</v>
      </c>
    </row>
    <row r="149" spans="1:26">
      <c r="C149" s="128" t="s">
        <v>426</v>
      </c>
      <c r="D149" s="1015" t="s">
        <v>541</v>
      </c>
      <c r="N149" s="3" t="s">
        <v>502</v>
      </c>
      <c r="O149" s="900">
        <v>100</v>
      </c>
      <c r="T149" s="100" t="str">
        <f>_xlfn.CONCAT("FY ",Cover!E3," Student count (line 2.b to left)")</f>
        <v>FY 2025 Student count (line 2.b to left)</v>
      </c>
      <c r="X149" s="106" t="s">
        <v>502</v>
      </c>
      <c r="Y149" s="900">
        <f>IF(AND(SSAPhaseDownCheckbox="X",SmallIsolated912Checkbox="X"),O148,0)</f>
        <v>0</v>
      </c>
      <c r="Z149" s="900">
        <f>IF(AND(SSAPhaseDownCheckbox="X",SmallIsolated912Checkbox&lt;&gt;"X"),O148,0)</f>
        <v>0</v>
      </c>
    </row>
    <row r="150" spans="1:26">
      <c r="C150" s="128" t="s">
        <v>481</v>
      </c>
      <c r="D150" s="1015" t="s">
        <v>542</v>
      </c>
      <c r="N150" s="3" t="s">
        <v>504</v>
      </c>
      <c r="O150" s="900">
        <f>IF(O148&gt;0,O148-O149,0)</f>
        <v>0</v>
      </c>
      <c r="U150" s="100" t="s">
        <v>503</v>
      </c>
      <c r="X150" s="106" t="s">
        <v>504</v>
      </c>
      <c r="Y150" s="900">
        <f>IF(Y149&gt;0,Y148-Y149,0)</f>
        <v>0</v>
      </c>
      <c r="Z150" s="900">
        <f>IF(Z149&gt;0,Z148-Z149,0)</f>
        <v>0</v>
      </c>
    </row>
    <row r="151" spans="1:26">
      <c r="C151" s="128" t="s">
        <v>482</v>
      </c>
      <c r="D151" s="1015" t="s">
        <v>1041</v>
      </c>
      <c r="N151" s="3" t="s">
        <v>505</v>
      </c>
      <c r="O151" s="900">
        <f>IF(AND(O148&gt;0,SSAPhaseDownCheckbox="X",SmallIsolatedPSD8Checkbox="X"),Y154,IF(AND(O148&gt;0,SSAPhaseDownCheckbox="X",SmallIsolatedPSD8Checkbox&lt;&gt;"X"),Z154,0))</f>
        <v>0</v>
      </c>
      <c r="U151" s="100" t="s">
        <v>1043</v>
      </c>
      <c r="X151" s="106" t="s">
        <v>505</v>
      </c>
      <c r="Y151" s="900">
        <v>5.0000000000000001E-4</v>
      </c>
      <c r="Z151" s="900">
        <v>4.0000000000000002E-4</v>
      </c>
    </row>
    <row r="152" spans="1:26">
      <c r="C152" s="128" t="s">
        <v>484</v>
      </c>
      <c r="D152" s="1015" t="s">
        <v>544</v>
      </c>
      <c r="N152" s="3" t="s">
        <v>504</v>
      </c>
      <c r="O152" s="900">
        <f>ROUND(O150*O151,30)</f>
        <v>0</v>
      </c>
      <c r="U152" s="100" t="s">
        <v>1044</v>
      </c>
      <c r="X152" s="106" t="s">
        <v>504</v>
      </c>
      <c r="Y152" s="900">
        <f>Y150*Y151</f>
        <v>0</v>
      </c>
      <c r="Z152" s="900">
        <f>Z150*Z151</f>
        <v>0</v>
      </c>
    </row>
    <row r="153" spans="1:26">
      <c r="C153" s="128" t="s">
        <v>521</v>
      </c>
      <c r="D153" s="1015" t="s">
        <v>545</v>
      </c>
      <c r="N153" s="3" t="s">
        <v>505</v>
      </c>
      <c r="O153" s="939">
        <f>IF(O148&gt;0,'Data Entry'!L53,0)</f>
        <v>0</v>
      </c>
      <c r="U153" s="100" t="s">
        <v>1045</v>
      </c>
      <c r="X153" s="106" t="s">
        <v>506</v>
      </c>
      <c r="Y153" s="959">
        <v>1.468</v>
      </c>
      <c r="Z153" s="959">
        <v>1.3979999999999999</v>
      </c>
    </row>
    <row r="154" spans="1:26">
      <c r="C154" s="128" t="s">
        <v>522</v>
      </c>
      <c r="D154" s="1015" t="s">
        <v>546</v>
      </c>
      <c r="P154" s="100" t="s">
        <v>502</v>
      </c>
      <c r="Q154" s="1003" t="s">
        <v>316</v>
      </c>
      <c r="R154" s="1004">
        <f>ROUND(O152*O153,2)</f>
        <v>0</v>
      </c>
      <c r="T154" s="100" t="str">
        <f>_xlfn.CONCAT("FY ",Cover!E3," Adjusted support level weight (to line 2.e)")</f>
        <v>FY 2025 Adjusted support level weight (to line 2.e)</v>
      </c>
      <c r="X154" s="106" t="s">
        <v>504</v>
      </c>
      <c r="Y154" s="900">
        <f>IF(Y149&gt;0,Y152+Y153,0)</f>
        <v>0</v>
      </c>
      <c r="Z154" s="900">
        <f>IF(Z149&gt;0,Z152+Z153,0)</f>
        <v>0</v>
      </c>
    </row>
    <row r="155" spans="1:26">
      <c r="C155" s="128" t="s">
        <v>523</v>
      </c>
      <c r="D155" s="1015" t="s">
        <v>550</v>
      </c>
      <c r="Q155" s="1003" t="s">
        <v>316</v>
      </c>
      <c r="R155" s="1004">
        <f>IF(O148&gt;0,R147-R154,0)</f>
        <v>0</v>
      </c>
    </row>
    <row r="157" spans="1:26" ht="23.25" customHeight="1">
      <c r="A157" s="127"/>
      <c r="B157" s="1016" t="s">
        <v>14</v>
      </c>
      <c r="C157" s="1782" t="s">
        <v>551</v>
      </c>
      <c r="D157" s="1782"/>
      <c r="E157" s="1782"/>
      <c r="F157" s="1782"/>
      <c r="G157" s="1782"/>
      <c r="H157" s="1782"/>
      <c r="I157" s="1782"/>
      <c r="J157" s="1782"/>
      <c r="K157" s="1782"/>
      <c r="L157" s="1782"/>
      <c r="M157" s="1782"/>
      <c r="N157" s="1782"/>
      <c r="O157" s="1782"/>
      <c r="P157" s="129"/>
      <c r="Q157" s="1003" t="s">
        <v>316</v>
      </c>
      <c r="R157" s="1004">
        <f>SSAPDRCL10</f>
        <v>0</v>
      </c>
    </row>
    <row r="158" spans="1:26">
      <c r="B158" s="240" t="s">
        <v>33</v>
      </c>
      <c r="C158" s="100" t="s">
        <v>1039</v>
      </c>
      <c r="Q158" s="1003" t="s">
        <v>316</v>
      </c>
      <c r="R158" s="1004">
        <f>R144+R155+R157</f>
        <v>0</v>
      </c>
    </row>
    <row r="159" spans="1:26">
      <c r="B159" s="240" t="s">
        <v>123</v>
      </c>
      <c r="C159" s="100" t="s">
        <v>1040</v>
      </c>
      <c r="Q159" s="1003" t="s">
        <v>316</v>
      </c>
      <c r="R159" s="1004">
        <f>IF(R158&gt;0,RCL*0.1,0)</f>
        <v>0</v>
      </c>
    </row>
    <row r="160" spans="1:26">
      <c r="B160" s="240" t="s">
        <v>124</v>
      </c>
      <c r="C160" s="100" t="s">
        <v>553</v>
      </c>
      <c r="Q160" s="1003" t="s">
        <v>316</v>
      </c>
      <c r="R160" s="1004">
        <f>MAX(R158,R159)</f>
        <v>0</v>
      </c>
    </row>
    <row r="163" spans="1:32" ht="30" customHeight="1">
      <c r="A163" s="1860" t="s">
        <v>988</v>
      </c>
      <c r="B163" s="1860"/>
      <c r="C163" s="1860"/>
      <c r="D163" s="1860"/>
      <c r="E163" s="1860"/>
      <c r="F163" s="1860"/>
      <c r="G163" s="1860"/>
      <c r="H163" s="1860"/>
      <c r="I163" s="1860"/>
      <c r="J163" s="1860"/>
      <c r="K163" s="1860"/>
      <c r="L163" s="1860"/>
      <c r="M163" s="1860"/>
      <c r="N163" s="1860"/>
      <c r="O163" s="1860"/>
      <c r="P163" s="1860"/>
      <c r="Q163" s="1860"/>
      <c r="R163" s="1860"/>
    </row>
    <row r="165" spans="1:32" ht="34.5" customHeight="1">
      <c r="A165" s="1858" t="s">
        <v>554</v>
      </c>
      <c r="B165" s="1858"/>
      <c r="C165" s="1858"/>
      <c r="D165" s="1858"/>
      <c r="E165" s="1858"/>
      <c r="F165" s="1858"/>
      <c r="G165" s="1858"/>
      <c r="H165" s="1858"/>
      <c r="I165" s="1858"/>
      <c r="J165" s="1858"/>
      <c r="K165" s="1858"/>
      <c r="L165" s="1858"/>
      <c r="M165" s="1858"/>
      <c r="N165" s="1858"/>
      <c r="O165" s="1858"/>
      <c r="P165" s="1858"/>
      <c r="Q165" s="1858"/>
      <c r="R165" s="1858"/>
    </row>
    <row r="167" spans="1:32" ht="34.5" customHeight="1">
      <c r="A167" s="1618"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18"/>
      <c r="C167" s="1618"/>
      <c r="D167" s="1618"/>
      <c r="E167" s="1618"/>
      <c r="F167" s="1618"/>
      <c r="G167" s="1618"/>
      <c r="H167" s="1618"/>
      <c r="I167" s="1618"/>
      <c r="J167" s="1618"/>
      <c r="K167" s="1618"/>
      <c r="L167" s="1618"/>
      <c r="M167" s="1618"/>
      <c r="N167" s="1618"/>
      <c r="O167" s="1618"/>
      <c r="P167" s="1618"/>
      <c r="Q167" s="1618"/>
      <c r="R167" s="1618"/>
      <c r="S167" s="560"/>
      <c r="AF167" s="1386"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40" t="s">
        <v>1</v>
      </c>
      <c r="C169" s="100" t="s">
        <v>555</v>
      </c>
    </row>
    <row r="170" spans="1:32">
      <c r="C170" s="223" t="s">
        <v>424</v>
      </c>
      <c r="D170" s="100" t="str">
        <f>_xlfn.CONCAT("FY ",Cover!E3," K-8 student count")</f>
        <v>FY 2025 K-8 student count</v>
      </c>
      <c r="O170" s="900">
        <f>IF(AND(SSAPhaseDownCheckbox="X",SSAFYExceeded&gt;=2000,UnweightedStudCntK8PY&gt;125,UnweightedStudCntK8PY&lt;181),UnweightedStudCntK8PY,0)</f>
        <v>0</v>
      </c>
    </row>
    <row r="171" spans="1:32">
      <c r="C171" s="106" t="s">
        <v>425</v>
      </c>
      <c r="D171" s="100" t="s">
        <v>541</v>
      </c>
      <c r="N171" s="3" t="s">
        <v>502</v>
      </c>
      <c r="O171" s="900">
        <v>125</v>
      </c>
    </row>
    <row r="172" spans="1:32">
      <c r="C172" s="106" t="s">
        <v>426</v>
      </c>
      <c r="D172" s="100" t="s">
        <v>542</v>
      </c>
      <c r="N172" s="3" t="s">
        <v>504</v>
      </c>
      <c r="O172" s="900">
        <f>IF(O170&gt;0,O170-O171,0)</f>
        <v>0</v>
      </c>
    </row>
    <row r="173" spans="1:32">
      <c r="C173" s="106" t="s">
        <v>481</v>
      </c>
      <c r="D173" s="100" t="s">
        <v>556</v>
      </c>
      <c r="N173" s="3" t="s">
        <v>505</v>
      </c>
      <c r="O173" s="900">
        <v>4.4999999999999997E-3</v>
      </c>
    </row>
    <row r="174" spans="1:32">
      <c r="C174" s="106" t="s">
        <v>482</v>
      </c>
      <c r="D174" s="100" t="s">
        <v>557</v>
      </c>
      <c r="N174" s="3" t="s">
        <v>504</v>
      </c>
      <c r="O174" s="900">
        <f>ROUND(O172*O173,3)</f>
        <v>0</v>
      </c>
    </row>
    <row r="175" spans="1:32">
      <c r="C175" s="106" t="s">
        <v>484</v>
      </c>
      <c r="D175" s="100" t="s">
        <v>1038</v>
      </c>
      <c r="N175" s="3"/>
      <c r="O175" s="900">
        <f>IF(O170&gt;0,0.35-O174,0)</f>
        <v>0</v>
      </c>
    </row>
    <row r="176" spans="1:32">
      <c r="C176" s="106" t="s">
        <v>521</v>
      </c>
      <c r="D176" s="1376" t="s">
        <v>558</v>
      </c>
      <c r="E176" s="1377"/>
      <c r="F176" s="1377"/>
      <c r="N176" s="3" t="s">
        <v>505</v>
      </c>
      <c r="O176" s="939">
        <f>IF(O170&gt;0,DSLRCLPSD8,0)</f>
        <v>0</v>
      </c>
    </row>
    <row r="177" spans="2:25">
      <c r="C177" s="106" t="s">
        <v>522</v>
      </c>
      <c r="D177" s="100" t="s">
        <v>559</v>
      </c>
      <c r="Q177" s="1003" t="s">
        <v>316</v>
      </c>
      <c r="R177" s="1004">
        <f>IF(O175*O176&gt;0,ROUND(O175*O176,2),0)</f>
        <v>0</v>
      </c>
    </row>
    <row r="179" spans="2:25">
      <c r="B179" s="240" t="s">
        <v>2</v>
      </c>
      <c r="C179" s="100" t="s">
        <v>560</v>
      </c>
    </row>
    <row r="180" spans="2:25">
      <c r="C180" s="223" t="s">
        <v>424</v>
      </c>
      <c r="D180" s="100" t="str">
        <f>_xlfn.CONCAT("FY ",Cover!E3," 9-12 student count")</f>
        <v>FY 2025 9-12 student count</v>
      </c>
      <c r="O180" s="900">
        <f>IF(AND(SSAPhaseDownCheckbox="X",SSAFYExceeded&gt;=2000,UnweightedStudCnt912PY&gt;100,UnweightedStudCnt912PY&lt;185),UnweightedStudCnt912PY,0)</f>
        <v>0</v>
      </c>
    </row>
    <row r="181" spans="2:25">
      <c r="C181" s="106" t="s">
        <v>425</v>
      </c>
      <c r="D181" s="100" t="s">
        <v>541</v>
      </c>
      <c r="N181" s="3" t="s">
        <v>502</v>
      </c>
      <c r="O181" s="900">
        <v>100</v>
      </c>
    </row>
    <row r="182" spans="2:25">
      <c r="C182" s="106" t="s">
        <v>426</v>
      </c>
      <c r="D182" s="100" t="s">
        <v>542</v>
      </c>
      <c r="N182" s="3" t="s">
        <v>504</v>
      </c>
      <c r="O182" s="900">
        <f>IF(O180&gt;0,O180-O181,0)</f>
        <v>0</v>
      </c>
    </row>
    <row r="183" spans="2:25">
      <c r="C183" s="106" t="s">
        <v>481</v>
      </c>
      <c r="D183" s="100" t="s">
        <v>556</v>
      </c>
      <c r="N183" s="3" t="s">
        <v>505</v>
      </c>
      <c r="O183" s="900">
        <v>6.4999999999999997E-3</v>
      </c>
    </row>
    <row r="184" spans="2:25">
      <c r="C184" s="106" t="s">
        <v>482</v>
      </c>
      <c r="D184" s="100" t="s">
        <v>557</v>
      </c>
      <c r="N184" s="3" t="s">
        <v>504</v>
      </c>
      <c r="O184" s="900">
        <f>ROUND(O182*O183,3)</f>
        <v>0</v>
      </c>
    </row>
    <row r="185" spans="2:25">
      <c r="C185" s="106" t="s">
        <v>484</v>
      </c>
      <c r="D185" s="100" t="s">
        <v>561</v>
      </c>
      <c r="N185" s="3"/>
      <c r="O185" s="900">
        <f>IF(O180&gt;0,0.65-O184,0)</f>
        <v>0</v>
      </c>
    </row>
    <row r="186" spans="2:25">
      <c r="C186" s="106" t="s">
        <v>521</v>
      </c>
      <c r="D186" s="1017" t="s">
        <v>562</v>
      </c>
      <c r="E186" s="1017"/>
      <c r="F186" s="1017"/>
      <c r="N186" s="3" t="s">
        <v>505</v>
      </c>
      <c r="O186" s="939">
        <f>IF(O180&gt;0,DSLRCL912,0)</f>
        <v>0</v>
      </c>
    </row>
    <row r="187" spans="2:25">
      <c r="C187" s="106" t="s">
        <v>522</v>
      </c>
      <c r="D187" s="100" t="s">
        <v>563</v>
      </c>
      <c r="Q187" s="1003" t="s">
        <v>316</v>
      </c>
      <c r="R187" s="1004">
        <f>IF(O185*O186&gt;0,ROUND(O185*O186,2),0)</f>
        <v>0</v>
      </c>
    </row>
    <row r="188" spans="2:25">
      <c r="U188" s="1812" t="s">
        <v>888</v>
      </c>
      <c r="V188" s="1812"/>
      <c r="W188" s="1812"/>
      <c r="X188" s="1812"/>
      <c r="Y188" s="237"/>
    </row>
    <row r="189" spans="2:25" ht="23.25" customHeight="1">
      <c r="B189" s="1016" t="s">
        <v>14</v>
      </c>
      <c r="C189" s="1782" t="s">
        <v>551</v>
      </c>
      <c r="D189" s="1782"/>
      <c r="E189" s="1782"/>
      <c r="F189" s="1782"/>
      <c r="G189" s="1782"/>
      <c r="H189" s="1782"/>
      <c r="I189" s="1782"/>
      <c r="J189" s="1782"/>
      <c r="K189" s="1782"/>
      <c r="L189" s="1782"/>
      <c r="M189" s="1782"/>
      <c r="N189" s="1782"/>
      <c r="O189" s="1782"/>
      <c r="Q189" s="1003" t="s">
        <v>316</v>
      </c>
      <c r="R189" s="1004">
        <f>SSAPDRCL10</f>
        <v>0</v>
      </c>
      <c r="U189" s="1882" t="s">
        <v>564</v>
      </c>
      <c r="V189" s="1883"/>
      <c r="W189" s="1883"/>
      <c r="X189" s="1884"/>
      <c r="Y189" s="97">
        <f>IF(AND(SSAPhaseDownCheckbox="X",SSAFYExceeded&gt;=2000,UnweightedStudCnt912PY&gt;100,UnweightedStudCnt912PY&lt;185),('BSA55'!G144*RCL),0)</f>
        <v>0</v>
      </c>
    </row>
    <row r="190" spans="2:25">
      <c r="B190" s="240" t="s">
        <v>33</v>
      </c>
      <c r="C190" s="374" t="s">
        <v>565</v>
      </c>
      <c r="D190" s="374"/>
      <c r="E190" s="374"/>
      <c r="F190" s="374"/>
      <c r="G190" s="374"/>
      <c r="H190" s="374"/>
      <c r="I190" s="374"/>
      <c r="J190" s="622"/>
      <c r="Q190" s="1003" t="s">
        <v>316</v>
      </c>
      <c r="R190" s="1004">
        <f>R177+R187+R189</f>
        <v>0</v>
      </c>
      <c r="U190" s="1882" t="s">
        <v>1035</v>
      </c>
      <c r="V190" s="1883"/>
      <c r="W190" s="1883"/>
      <c r="X190" s="1884"/>
      <c r="Y190" s="1018">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40" t="s">
        <v>123</v>
      </c>
      <c r="C191" s="100" t="s">
        <v>552</v>
      </c>
      <c r="Q191" s="1003" t="s">
        <v>316</v>
      </c>
      <c r="R191" s="1004">
        <f>IF(R190&gt;0,DSLRCLTotal*0.1,0)</f>
        <v>0</v>
      </c>
      <c r="U191" s="1882" t="s">
        <v>566</v>
      </c>
      <c r="V191" s="1883"/>
      <c r="W191" s="1883"/>
      <c r="X191" s="1884"/>
      <c r="Y191" s="97">
        <f>IF(AND(SSAPhaseDownCheckbox="X",SSAFYExceeded&gt;=2000,UnweightedStudCnt912PY&gt;100,UnweightedStudCnt912PY&lt;185),RCL,0)</f>
        <v>0</v>
      </c>
    </row>
    <row r="192" spans="2:25" ht="12.75" customHeight="1">
      <c r="B192" s="240" t="s">
        <v>124</v>
      </c>
      <c r="C192" s="374" t="s">
        <v>553</v>
      </c>
      <c r="Q192" s="1003" t="s">
        <v>316</v>
      </c>
      <c r="R192" s="1004">
        <f>MAX(R190,R191)</f>
        <v>0</v>
      </c>
      <c r="U192" s="1882" t="s">
        <v>567</v>
      </c>
      <c r="V192" s="1883"/>
      <c r="W192" s="1883"/>
      <c r="X192" s="1884"/>
      <c r="Y192" s="97">
        <f>Y190*Y191</f>
        <v>0</v>
      </c>
    </row>
    <row r="193" spans="1:25">
      <c r="U193" s="1882" t="s">
        <v>1036</v>
      </c>
      <c r="V193" s="1883"/>
      <c r="W193" s="1883"/>
      <c r="X193" s="1884"/>
      <c r="Y193" s="1019">
        <f>Y189-Y192</f>
        <v>0</v>
      </c>
    </row>
    <row r="194" spans="1:25">
      <c r="U194" s="1882" t="s">
        <v>1037</v>
      </c>
      <c r="V194" s="1883"/>
      <c r="W194" s="1883"/>
      <c r="X194" s="1884"/>
      <c r="Y194" s="1019">
        <f>Y193*0.1</f>
        <v>0</v>
      </c>
    </row>
    <row r="197" spans="1:25" ht="31.5" customHeight="1">
      <c r="A197" s="1861" t="s">
        <v>989</v>
      </c>
      <c r="B197" s="1861"/>
      <c r="C197" s="1861"/>
      <c r="D197" s="1861"/>
      <c r="E197" s="1861"/>
      <c r="F197" s="1861"/>
      <c r="G197" s="1861"/>
      <c r="H197" s="1861"/>
      <c r="I197" s="1861"/>
      <c r="J197" s="1861"/>
      <c r="K197" s="1861"/>
      <c r="L197" s="1861"/>
      <c r="M197" s="1861"/>
      <c r="N197" s="1861"/>
      <c r="O197" s="1861"/>
      <c r="P197" s="1861"/>
      <c r="Q197" s="1861"/>
      <c r="R197" s="1861"/>
      <c r="S197" s="1861"/>
    </row>
    <row r="199" spans="1:25" ht="24.75" customHeight="1">
      <c r="B199" s="1858" t="s">
        <v>568</v>
      </c>
      <c r="C199" s="1858"/>
      <c r="D199" s="1858"/>
      <c r="E199" s="1858"/>
      <c r="F199" s="1858"/>
      <c r="G199" s="1858"/>
      <c r="H199" s="1858"/>
      <c r="I199" s="1858"/>
      <c r="J199" s="1858"/>
      <c r="K199" s="1858"/>
      <c r="L199" s="1858"/>
      <c r="M199" s="1858"/>
      <c r="N199" s="1858"/>
      <c r="O199" s="1858"/>
      <c r="P199" s="1858"/>
      <c r="Q199" s="1858"/>
      <c r="R199" s="1858"/>
    </row>
    <row r="201" spans="1:25">
      <c r="B201" s="240" t="s">
        <v>1</v>
      </c>
      <c r="C201" s="100" t="s">
        <v>1023</v>
      </c>
      <c r="R201" s="939">
        <f>'Data Entry'!L116</f>
        <v>0</v>
      </c>
    </row>
    <row r="202" spans="1:25">
      <c r="B202" s="240" t="s">
        <v>2</v>
      </c>
      <c r="C202" s="100" t="s">
        <v>569</v>
      </c>
      <c r="Q202" s="100" t="s">
        <v>505</v>
      </c>
      <c r="R202" s="939">
        <v>0.05</v>
      </c>
    </row>
    <row r="203" spans="1:25">
      <c r="B203" s="240" t="s">
        <v>14</v>
      </c>
      <c r="C203" s="100" t="s">
        <v>570</v>
      </c>
      <c r="Q203" s="100" t="s">
        <v>504</v>
      </c>
      <c r="R203" s="959">
        <f>IF(R201&gt;0,R201*R202,0)</f>
        <v>0</v>
      </c>
    </row>
    <row r="204" spans="1:25" ht="23.25" customHeight="1">
      <c r="B204" s="951" t="s">
        <v>33</v>
      </c>
      <c r="C204" s="1618" t="s">
        <v>571</v>
      </c>
      <c r="D204" s="1618"/>
      <c r="E204" s="1618"/>
      <c r="F204" s="1618"/>
      <c r="G204" s="1618"/>
      <c r="H204" s="1618"/>
      <c r="I204" s="1618"/>
      <c r="J204" s="1618"/>
      <c r="K204" s="1618"/>
      <c r="L204" s="1618"/>
      <c r="R204" s="959">
        <f>'Data Entry'!L117</f>
        <v>0</v>
      </c>
    </row>
    <row r="206" spans="1:25">
      <c r="B206" s="124" t="s">
        <v>572</v>
      </c>
    </row>
    <row r="208" spans="1:25">
      <c r="B208" s="240" t="s">
        <v>123</v>
      </c>
      <c r="C208" s="1020" t="s">
        <v>573</v>
      </c>
      <c r="R208" s="939">
        <f>'Data Entry'!L118</f>
        <v>0</v>
      </c>
    </row>
    <row r="209" spans="2:18">
      <c r="B209" s="240" t="s">
        <v>124</v>
      </c>
      <c r="C209" s="1020" t="s">
        <v>574</v>
      </c>
      <c r="Q209" s="3" t="s">
        <v>502</v>
      </c>
      <c r="R209" s="939">
        <f>'Data Entry'!L119</f>
        <v>0</v>
      </c>
    </row>
    <row r="210" spans="2:18">
      <c r="B210" s="240" t="s">
        <v>125</v>
      </c>
      <c r="C210" s="1020" t="s">
        <v>575</v>
      </c>
      <c r="Q210" s="100" t="s">
        <v>504</v>
      </c>
      <c r="R210" s="939">
        <f>IF(R208-R209&gt;0,R208-R209,0)</f>
        <v>0</v>
      </c>
    </row>
    <row r="211" spans="2:18">
      <c r="B211" s="240" t="s">
        <v>127</v>
      </c>
      <c r="C211" s="1020" t="s">
        <v>1031</v>
      </c>
      <c r="L211" s="106" t="s">
        <v>576</v>
      </c>
      <c r="N211" s="106" t="s">
        <v>505</v>
      </c>
      <c r="O211" s="939">
        <v>0.75</v>
      </c>
      <c r="Q211" s="100" t="s">
        <v>504</v>
      </c>
      <c r="R211" s="939">
        <f>IF(OR(Cover!FiscalYear='Data Entry'!L115+1,Cover!FiscalYear='Data Entry'!L115+2,Cover!FiscalYear='Data Entry'!L115+3),R210*O211,0)</f>
        <v>0</v>
      </c>
    </row>
    <row r="212" spans="2:18">
      <c r="B212" s="240" t="s">
        <v>128</v>
      </c>
      <c r="C212" s="1020" t="s">
        <v>1032</v>
      </c>
      <c r="L212" s="106" t="s">
        <v>577</v>
      </c>
      <c r="N212" s="106" t="s">
        <v>505</v>
      </c>
      <c r="O212" s="939">
        <v>0.5</v>
      </c>
      <c r="Q212" s="100" t="s">
        <v>504</v>
      </c>
      <c r="R212" s="939">
        <f>IF(OR(Cover!FiscalYear='Data Entry'!L115+2,Cover!FiscalYear='Data Entry'!L115+3),R210*O211,0)</f>
        <v>0</v>
      </c>
    </row>
    <row r="213" spans="2:18">
      <c r="B213" s="240" t="s">
        <v>129</v>
      </c>
      <c r="C213" s="1020" t="s">
        <v>1033</v>
      </c>
      <c r="L213" s="106" t="s">
        <v>578</v>
      </c>
      <c r="N213" s="106" t="s">
        <v>505</v>
      </c>
      <c r="O213" s="939">
        <v>0.25</v>
      </c>
      <c r="Q213" s="100" t="s">
        <v>504</v>
      </c>
      <c r="R213" s="939">
        <f>IF(Cover!FiscalYear='Data Entry'!L115+3,R210*O211,0)</f>
        <v>0</v>
      </c>
    </row>
    <row r="214" spans="2:18">
      <c r="B214" s="240" t="s">
        <v>130</v>
      </c>
      <c r="C214" s="1020" t="s">
        <v>1034</v>
      </c>
      <c r="R214" s="939">
        <f>R211+R212+R213</f>
        <v>0</v>
      </c>
    </row>
    <row r="215" spans="2:18">
      <c r="C215" s="1020"/>
    </row>
    <row r="216" spans="2:18" ht="34.5" customHeight="1">
      <c r="B216" s="1858" t="s">
        <v>579</v>
      </c>
      <c r="C216" s="1858"/>
      <c r="D216" s="1858"/>
      <c r="E216" s="1858"/>
      <c r="F216" s="1858"/>
      <c r="G216" s="1858"/>
      <c r="H216" s="1858"/>
      <c r="I216" s="1858"/>
      <c r="J216" s="1858"/>
      <c r="K216" s="1858"/>
      <c r="L216" s="1858"/>
      <c r="M216" s="1858"/>
      <c r="N216" s="1858"/>
      <c r="O216" s="1858"/>
      <c r="P216" s="1858"/>
      <c r="Q216" s="1858"/>
      <c r="R216" s="1858"/>
    </row>
    <row r="218" spans="2:18">
      <c r="B218" s="240" t="s">
        <v>131</v>
      </c>
      <c r="C218" s="100" t="s">
        <v>580</v>
      </c>
    </row>
    <row r="219" spans="2:18">
      <c r="C219" s="106" t="s">
        <v>424</v>
      </c>
      <c r="D219" s="1020" t="s">
        <v>581</v>
      </c>
      <c r="Q219" s="1003" t="s">
        <v>316</v>
      </c>
      <c r="R219" s="1004">
        <f>IF(AND('Data Entry'!C121="X",'Data Entry'!L117&gt;=500,Cover!FiscalYear='Data Entry'!L115+1),650000,0)</f>
        <v>0</v>
      </c>
    </row>
    <row r="220" spans="2:18">
      <c r="C220" s="106" t="s">
        <v>425</v>
      </c>
      <c r="D220" s="1020" t="s">
        <v>582</v>
      </c>
      <c r="Q220" s="1003" t="s">
        <v>316</v>
      </c>
      <c r="R220" s="1004">
        <f>IF(AND('Data Entry'!C121="X",'Data Entry'!L117&gt;=500,Cover!FiscalYear='Data Entry'!L115+2),600000,0)</f>
        <v>0</v>
      </c>
    </row>
    <row r="221" spans="2:18">
      <c r="C221" s="106" t="s">
        <v>426</v>
      </c>
      <c r="D221" s="1020" t="s">
        <v>583</v>
      </c>
      <c r="Q221" s="1003" t="s">
        <v>316</v>
      </c>
      <c r="R221" s="1004">
        <f>IF(AND('Data Entry'!C121="X",'Data Entry'!L117&gt;=500,Cover!FiscalYear='Data Entry'!L115+3),500000,0)</f>
        <v>0</v>
      </c>
    </row>
    <row r="222" spans="2:18">
      <c r="C222" s="106" t="s">
        <v>481</v>
      </c>
      <c r="D222" s="1020" t="s">
        <v>584</v>
      </c>
      <c r="Q222" s="1003" t="s">
        <v>316</v>
      </c>
      <c r="R222" s="1004">
        <f>IF(AND('Data Entry'!C121="X",'Data Entry'!L117&gt;=500,Cover!FiscalYear='Data Entry'!L115+4),300000,0)</f>
        <v>0</v>
      </c>
    </row>
    <row r="223" spans="2:18">
      <c r="C223" s="106" t="s">
        <v>482</v>
      </c>
      <c r="D223" s="1020" t="s">
        <v>585</v>
      </c>
      <c r="Q223" s="1003" t="s">
        <v>316</v>
      </c>
      <c r="R223" s="1004">
        <f>IF(AND('Data Entry'!C121="X",'Data Entry'!L117&gt;=500,Cover!FiscalYear='Data Entry'!L115+5),100000,0)</f>
        <v>0</v>
      </c>
    </row>
    <row r="224" spans="2:18">
      <c r="B224" s="240" t="s">
        <v>132</v>
      </c>
      <c r="C224" s="100" t="s">
        <v>586</v>
      </c>
    </row>
    <row r="225" spans="1:18">
      <c r="C225" s="106" t="s">
        <v>424</v>
      </c>
      <c r="D225" s="1020" t="s">
        <v>587</v>
      </c>
      <c r="Q225" s="1003" t="s">
        <v>316</v>
      </c>
      <c r="R225" s="1004">
        <f>IF(AND(VALUE(LEFT(RIGHT(O1,7),2))=5,'Data Entry'!C121="X",'Data Entry'!L117&gt;=50,Cover!FiscalYear='Data Entry'!L115+1),100000,0)</f>
        <v>0</v>
      </c>
    </row>
    <row r="226" spans="1:18">
      <c r="C226" s="106" t="s">
        <v>425</v>
      </c>
      <c r="D226" s="1020" t="s">
        <v>588</v>
      </c>
      <c r="Q226" s="1003" t="s">
        <v>316</v>
      </c>
      <c r="R226" s="1004">
        <f>IF(AND(VALUE(LEFT(RIGHT(O1,7),2))=5,'Data Entry'!C121="X",'Data Entry'!L123&gt;=50,Cover!FiscalYear='Data Entry'!L115+2),200000,0)</f>
        <v>0</v>
      </c>
    </row>
    <row r="227" spans="1:18">
      <c r="C227" s="106" t="s">
        <v>426</v>
      </c>
      <c r="D227" s="1020" t="s">
        <v>589</v>
      </c>
      <c r="Q227" s="1003" t="s">
        <v>316</v>
      </c>
      <c r="R227" s="1004">
        <f>IF(AND(VALUE(LEFT(RIGHT(O1,7),2))=5,'Data Entry'!C121="X",'Data Entry'!L124&gt;=50,Cover!FiscalYear='Data Entry'!L115+3),325000,0)</f>
        <v>0</v>
      </c>
    </row>
    <row r="228" spans="1:18">
      <c r="C228" s="106" t="s">
        <v>481</v>
      </c>
      <c r="D228" s="1020" t="s">
        <v>590</v>
      </c>
      <c r="Q228" s="1003" t="s">
        <v>316</v>
      </c>
      <c r="R228" s="1004">
        <f>IF(AND(VALUE(LEFT(RIGHT(O1,7),2))=5,'Data Entry'!C121="X",Cover!FiscalYear='Data Entry'!L115+4),200000,0)</f>
        <v>0</v>
      </c>
    </row>
    <row r="229" spans="1:18">
      <c r="C229" s="106" t="s">
        <v>482</v>
      </c>
      <c r="D229" s="1020" t="s">
        <v>591</v>
      </c>
      <c r="Q229" s="1003" t="s">
        <v>316</v>
      </c>
      <c r="R229" s="1004">
        <f>IF(AND(VALUE(LEFT(RIGHT(O1,7),2))=5,'Data Entry'!C121="X",Cover!FiscalYear='Data Entry'!L115+5),100000,0)</f>
        <v>0</v>
      </c>
    </row>
    <row r="232" spans="1:18" ht="15.75" customHeight="1">
      <c r="A232" s="963" t="s">
        <v>990</v>
      </c>
      <c r="B232" s="963"/>
      <c r="C232" s="963"/>
      <c r="D232" s="963"/>
      <c r="E232" s="963"/>
      <c r="F232" s="963"/>
      <c r="G232" s="963"/>
      <c r="H232" s="963"/>
      <c r="I232" s="963"/>
      <c r="J232" s="963"/>
      <c r="K232" s="963"/>
      <c r="L232" s="963"/>
    </row>
    <row r="233" spans="1:18" ht="8.25" customHeight="1"/>
    <row r="234" spans="1:18">
      <c r="B234" s="240" t="s">
        <v>1</v>
      </c>
      <c r="C234" s="1021" t="s">
        <v>592</v>
      </c>
      <c r="Q234" s="1003" t="s">
        <v>316</v>
      </c>
      <c r="R234" s="1004">
        <f>F001P530</f>
        <v>0</v>
      </c>
    </row>
    <row r="235" spans="1:18">
      <c r="B235" s="240" t="s">
        <v>2</v>
      </c>
      <c r="C235" s="1022" t="s">
        <v>1026</v>
      </c>
      <c r="Q235" s="1003" t="s">
        <v>316</v>
      </c>
      <c r="R235" s="1004">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40" t="s">
        <v>14</v>
      </c>
      <c r="C236" s="1021" t="s">
        <v>1027</v>
      </c>
      <c r="Q236" s="1003" t="s">
        <v>316</v>
      </c>
      <c r="R236" s="1004">
        <f>'Truth in Tax'!I31</f>
        <v>0</v>
      </c>
    </row>
    <row r="237" spans="1:18">
      <c r="B237" s="240" t="s">
        <v>33</v>
      </c>
      <c r="C237" s="1021" t="s">
        <v>1028</v>
      </c>
      <c r="Q237" s="1003" t="s">
        <v>316</v>
      </c>
      <c r="R237" s="1004">
        <f>F001P540</f>
        <v>0</v>
      </c>
    </row>
    <row r="238" spans="1:18">
      <c r="B238" s="240" t="s">
        <v>123</v>
      </c>
      <c r="C238" s="1021" t="s">
        <v>1029</v>
      </c>
      <c r="Q238" s="1003" t="s">
        <v>316</v>
      </c>
      <c r="R238" s="1004">
        <f>'Truth in Tax'!I29</f>
        <v>0</v>
      </c>
    </row>
    <row r="239" spans="1:18" ht="23.25" customHeight="1">
      <c r="B239" s="951" t="s">
        <v>124</v>
      </c>
      <c r="C239" s="1618" t="s">
        <v>1030</v>
      </c>
      <c r="D239" s="1618"/>
      <c r="E239" s="1618"/>
      <c r="F239" s="1618"/>
      <c r="G239" s="1618"/>
      <c r="H239" s="1618"/>
      <c r="I239" s="1618"/>
      <c r="J239" s="1618"/>
      <c r="K239" s="1618"/>
      <c r="L239" s="1618"/>
      <c r="Q239" s="1003" t="s">
        <v>316</v>
      </c>
      <c r="R239" s="1004">
        <f>IF(AND(SSA_MO&lt;=50000,OR('Data Entry'!Y17=1,'Data Entry'!Z17=1)),SSA_MO,0)</f>
        <v>0</v>
      </c>
    </row>
  </sheetData>
  <sheetProtection sheet="1"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zoomScaleNormal="100" workbookViewId="0"/>
  </sheetViews>
  <sheetFormatPr defaultColWidth="8.88671875" defaultRowHeight="15" customHeight="1"/>
  <cols>
    <col min="1" max="1" width="39.109375" style="102" customWidth="1"/>
    <col min="2" max="2" width="9.88671875" style="102" customWidth="1"/>
    <col min="3" max="4" width="9.109375" style="102" customWidth="1"/>
    <col min="5" max="5" width="11.88671875" style="102" customWidth="1"/>
    <col min="6" max="6" width="13.88671875" style="102" customWidth="1"/>
    <col min="7" max="7" width="11.88671875" style="102" customWidth="1"/>
    <col min="8" max="8" width="11.44140625" style="102" customWidth="1"/>
    <col min="9" max="9" width="10.88671875" style="102" customWidth="1"/>
    <col min="10" max="10" width="10.109375" style="102" customWidth="1"/>
    <col min="11" max="11" width="10.88671875" style="102" customWidth="1"/>
    <col min="12" max="12" width="15.44140625" style="102" bestFit="1" customWidth="1"/>
    <col min="13" max="13" width="10.109375" style="138" bestFit="1" customWidth="1"/>
    <col min="14" max="26" width="8.88671875" style="102" customWidth="1"/>
    <col min="27" max="27" width="8.88671875" style="165" customWidth="1"/>
    <col min="28" max="31" width="8.88671875" style="102" customWidth="1"/>
    <col min="32" max="16384" width="8.88671875" style="102"/>
  </cols>
  <sheetData>
    <row r="1" spans="1:27" ht="15" customHeight="1">
      <c r="A1" s="1023" t="s">
        <v>911</v>
      </c>
      <c r="B1" s="1889" t="str">
        <f>DistrictName</f>
        <v xml:space="preserve">Prescott Unified </v>
      </c>
      <c r="C1" s="1889"/>
      <c r="D1" s="1889"/>
      <c r="E1" s="1889"/>
      <c r="F1" s="1023" t="s">
        <v>446</v>
      </c>
      <c r="G1" s="1888" t="str">
        <f>Cover!H1</f>
        <v>Yavapai</v>
      </c>
      <c r="H1" s="1889"/>
      <c r="I1" s="1889"/>
      <c r="K1" s="1023" t="s">
        <v>1056</v>
      </c>
      <c r="L1" s="1890" t="str">
        <f>CTD</f>
        <v>130201000</v>
      </c>
      <c r="M1" s="1890"/>
      <c r="AA1" s="138"/>
    </row>
    <row r="2" spans="1:27" ht="15" customHeight="1">
      <c r="A2" s="543"/>
      <c r="B2" s="543"/>
      <c r="C2" s="451"/>
      <c r="D2" s="3"/>
      <c r="E2" s="543"/>
      <c r="F2" s="451"/>
      <c r="G2" s="3"/>
      <c r="H2" s="3"/>
      <c r="I2" s="100"/>
      <c r="K2" s="1023" t="s">
        <v>9</v>
      </c>
      <c r="L2" s="1883" t="str">
        <f>Version</f>
        <v>Adopted</v>
      </c>
      <c r="M2" s="1883"/>
      <c r="AA2" s="138"/>
    </row>
    <row r="3" spans="1:27" ht="15" customHeight="1">
      <c r="B3" s="1024"/>
      <c r="C3" s="1024"/>
      <c r="D3" s="1571" t="str">
        <f>IF(DistrictName&lt;&gt;0,DistrictName,"")</f>
        <v xml:space="preserve">Prescott Unified </v>
      </c>
      <c r="E3" s="1571"/>
      <c r="F3" s="1571"/>
      <c r="G3" s="1571"/>
      <c r="H3" s="1571"/>
      <c r="I3" s="1024"/>
      <c r="J3" s="1024"/>
      <c r="K3" s="1024"/>
      <c r="L3" s="1024"/>
      <c r="M3" s="1024"/>
      <c r="AA3" s="138"/>
    </row>
    <row r="4" spans="1:27" ht="34.5" customHeight="1">
      <c r="B4" s="399"/>
      <c r="C4" s="399"/>
      <c r="D4" s="1886" t="s">
        <v>1092</v>
      </c>
      <c r="E4" s="1886"/>
      <c r="F4" s="1886"/>
      <c r="G4" s="1886"/>
      <c r="H4" s="1886"/>
      <c r="I4" s="399"/>
      <c r="J4" s="399"/>
      <c r="K4" s="399"/>
      <c r="L4" s="399"/>
      <c r="M4" s="399"/>
      <c r="AA4" s="138"/>
    </row>
    <row r="5" spans="1:27" ht="15" customHeight="1" thickBot="1">
      <c r="A5" s="996"/>
      <c r="B5" s="996"/>
      <c r="C5" s="1025"/>
      <c r="D5" s="1025"/>
      <c r="E5" s="996"/>
      <c r="F5" s="1026" t="s">
        <v>593</v>
      </c>
      <c r="G5" s="1027" t="str">
        <f>IF(AND(SmallIsolatedPSD8Checkbox="X",SmallIsolated912Checkbox="X"),"Both Elementary and High School",IF(SmallIsolatedPSD8Checkbox="X","Elementary",IF(SmallIsolated912Checkbox="X","High School","Not Isolated")))</f>
        <v>Not Isolated</v>
      </c>
      <c r="H5" s="996"/>
      <c r="I5" s="996"/>
      <c r="J5" s="996"/>
      <c r="K5" s="1025"/>
      <c r="L5" s="1028" t="s">
        <v>594</v>
      </c>
      <c r="M5" s="1028" t="s">
        <v>595</v>
      </c>
      <c r="AA5" s="138"/>
    </row>
    <row r="6" spans="1:27" ht="26.25" customHeight="1">
      <c r="A6" s="1029" t="s">
        <v>596</v>
      </c>
      <c r="B6" s="100"/>
      <c r="C6" s="1030" t="s">
        <v>597</v>
      </c>
      <c r="D6" s="1030" t="s">
        <v>598</v>
      </c>
      <c r="E6" s="1030" t="s">
        <v>599</v>
      </c>
      <c r="F6" s="1030" t="s">
        <v>499</v>
      </c>
      <c r="G6" s="1030" t="s">
        <v>600</v>
      </c>
      <c r="H6" s="1030" t="s">
        <v>601</v>
      </c>
      <c r="I6" s="1030" t="s">
        <v>602</v>
      </c>
      <c r="AA6" s="138"/>
    </row>
    <row r="7" spans="1:27" ht="15" customHeight="1">
      <c r="A7" s="1031" t="s">
        <v>452</v>
      </c>
      <c r="B7" s="100"/>
      <c r="C7" s="1032">
        <f>NonAOIStudCntPSDCY</f>
        <v>15.5288</v>
      </c>
      <c r="D7" s="1032">
        <f>AOIFTStudCntPSDCY</f>
        <v>0</v>
      </c>
      <c r="E7" s="1033">
        <f>AOIPTStudCntPSDCY</f>
        <v>0</v>
      </c>
      <c r="F7" s="1034">
        <f>IF(AND(C7=0,D7=0,E7=0),0,1.45)</f>
        <v>1.45</v>
      </c>
      <c r="G7" s="1033">
        <f>NonAOIStudCntPSDCY*F7</f>
        <v>22.5168</v>
      </c>
      <c r="H7" s="1033">
        <f>AOIFTStudCntPSDCY*F7</f>
        <v>0</v>
      </c>
      <c r="I7" s="1033">
        <f>AOIPTStudCntPSDCY*F7</f>
        <v>0</v>
      </c>
      <c r="AA7" s="138"/>
    </row>
    <row r="8" spans="1:27" ht="15" customHeight="1">
      <c r="A8" s="1031" t="s">
        <v>603</v>
      </c>
      <c r="B8" s="100"/>
      <c r="C8" s="1032">
        <f>NonAOIStudCntK8CY</f>
        <v>2096.2732000000001</v>
      </c>
      <c r="D8" s="1032">
        <f>AOIFTStudCntK8CY</f>
        <v>0</v>
      </c>
      <c r="E8" s="1033">
        <f>AOIPTStudCntK8CY</f>
        <v>0</v>
      </c>
      <c r="F8" s="1034">
        <f>IF(UnweightedStudCntK8CY&gt;0,AA13,0)</f>
        <v>1.1579999999999999</v>
      </c>
      <c r="G8" s="1033">
        <f>NonAOIStudCntK8CY*F8</f>
        <v>2427.4843999999998</v>
      </c>
      <c r="H8" s="1033">
        <f>AOIFTStudCntK8CY*F8</f>
        <v>0</v>
      </c>
      <c r="I8" s="1033">
        <f>AOIPTStudCntK8CY*F8</f>
        <v>0</v>
      </c>
      <c r="AA8" s="138"/>
    </row>
    <row r="9" spans="1:27" ht="15" customHeight="1">
      <c r="A9" s="1031" t="s">
        <v>454</v>
      </c>
      <c r="B9" s="100"/>
      <c r="C9" s="1032">
        <f>NonAOIStudCnt912CY</f>
        <v>1520.5485000000001</v>
      </c>
      <c r="D9" s="1035">
        <f>AOIFTStudCnt912CY</f>
        <v>0</v>
      </c>
      <c r="E9" s="1033">
        <f>AOIPTStudCnt912CY</f>
        <v>0</v>
      </c>
      <c r="F9" s="1034">
        <f>IF(VALUE(LEFT(RIGHT(L1,7),2))=8,SuppLvlWgt912NonIsolated,IF(UnweightedStudCnt912CY&gt;0,AA15,0))</f>
        <v>1.268</v>
      </c>
      <c r="G9" s="1033">
        <f>NonAOIStudCnt912CY*F9</f>
        <v>1928.0554999999999</v>
      </c>
      <c r="H9" s="1036">
        <f>AOIFTStudCnt912CY*F9</f>
        <v>0</v>
      </c>
      <c r="I9" s="1033">
        <f>AOIPTStudCnt912CY*F9</f>
        <v>0</v>
      </c>
      <c r="AA9" s="138"/>
    </row>
    <row r="10" spans="1:27" ht="15" customHeight="1">
      <c r="A10" s="323" t="s">
        <v>604</v>
      </c>
      <c r="B10" s="100"/>
      <c r="C10" s="1037">
        <f>TotalNonAOIStudCntCY</f>
        <v>3632.3505</v>
      </c>
      <c r="D10" s="1037">
        <f>TotalAOIFTStudCntCY</f>
        <v>0</v>
      </c>
      <c r="E10" s="1038">
        <f>TotalAOIPTStudCntCY</f>
        <v>0</v>
      </c>
      <c r="F10" s="1033"/>
      <c r="G10" s="1033"/>
      <c r="H10" s="1036"/>
      <c r="I10" s="1033"/>
      <c r="AA10" s="138"/>
    </row>
    <row r="11" spans="1:27" ht="15" customHeight="1">
      <c r="A11" s="323" t="s">
        <v>605</v>
      </c>
      <c r="B11" s="100"/>
      <c r="C11" s="1033"/>
      <c r="D11" s="1033"/>
      <c r="E11" s="1038">
        <f>SUM(C10:E10)</f>
        <v>3632.3505</v>
      </c>
      <c r="F11" s="1033"/>
      <c r="G11" s="1033"/>
      <c r="H11" s="1033"/>
      <c r="I11" s="1033"/>
      <c r="AA11" s="138"/>
    </row>
    <row r="12" spans="1:27" ht="15" customHeight="1">
      <c r="A12" s="323" t="s">
        <v>606</v>
      </c>
      <c r="B12" s="100"/>
      <c r="C12" s="1033"/>
      <c r="D12" s="1033"/>
      <c r="E12" s="1033"/>
      <c r="F12" s="1033"/>
      <c r="G12" s="1038">
        <f>((C7*F7)+(C8*F8)+(C9*F9))</f>
        <v>4378.0565999999999</v>
      </c>
      <c r="H12" s="1038">
        <f>((D7*F7)+(D8*F8)+(D9*F9))</f>
        <v>0</v>
      </c>
      <c r="I12" s="1038">
        <f>((E7*F7)+(E8*F8)+(E9*F9))</f>
        <v>0</v>
      </c>
      <c r="AA12" s="138"/>
    </row>
    <row r="13" spans="1:27" ht="15" customHeight="1">
      <c r="A13" s="1039" t="s">
        <v>607</v>
      </c>
      <c r="B13" s="239"/>
      <c r="C13" s="1036"/>
      <c r="D13" s="1036"/>
      <c r="E13" s="1036"/>
      <c r="F13" s="1036"/>
      <c r="G13" s="1036"/>
      <c r="H13" s="1036"/>
      <c r="I13" s="1040">
        <f>(((C7+D7+E7)*F7)+((C8+D8+E8)*F8)+((C9+D9+E9)*F9))</f>
        <v>4378.0565999999999</v>
      </c>
      <c r="J13" s="158"/>
      <c r="K13" s="158"/>
      <c r="L13" s="158"/>
      <c r="M13" s="1041"/>
      <c r="AA13" s="1042">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43"/>
      <c r="B14" s="996"/>
      <c r="C14" s="1044"/>
      <c r="D14" s="1044"/>
      <c r="E14" s="1044"/>
      <c r="F14" s="1044"/>
      <c r="G14" s="1044"/>
      <c r="H14" s="1044"/>
      <c r="I14" s="1045"/>
      <c r="J14" s="1025"/>
      <c r="K14" s="1025"/>
      <c r="L14" s="1025"/>
      <c r="M14" s="1046"/>
      <c r="AA14" s="1047"/>
    </row>
    <row r="15" spans="1:27" s="158" customFormat="1" ht="7.5" customHeight="1">
      <c r="A15" s="239"/>
      <c r="B15" s="239"/>
      <c r="C15" s="239"/>
      <c r="D15" s="239"/>
      <c r="E15" s="239"/>
      <c r="F15" s="239"/>
      <c r="G15" s="239"/>
      <c r="H15" s="239"/>
      <c r="I15" s="239"/>
      <c r="M15" s="1041"/>
      <c r="AA15" s="1048">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1.268</v>
      </c>
    </row>
    <row r="16" spans="1:27" ht="26.25" customHeight="1">
      <c r="A16" s="1049" t="s">
        <v>608</v>
      </c>
      <c r="B16" s="307"/>
      <c r="C16" s="1030" t="s">
        <v>597</v>
      </c>
      <c r="D16" s="1030" t="s">
        <v>598</v>
      </c>
      <c r="E16" s="1030" t="s">
        <v>599</v>
      </c>
      <c r="F16" s="1030" t="s">
        <v>499</v>
      </c>
      <c r="G16" s="1030" t="s">
        <v>600</v>
      </c>
      <c r="H16" s="1030" t="s">
        <v>601</v>
      </c>
      <c r="I16" s="1030" t="s">
        <v>602</v>
      </c>
      <c r="AA16" s="138"/>
    </row>
    <row r="17" spans="1:27" ht="15" customHeight="1">
      <c r="A17" s="328" t="s">
        <v>463</v>
      </c>
      <c r="B17" s="307"/>
      <c r="C17" s="1033">
        <f>NonAOIStudCntELL</f>
        <v>39.555</v>
      </c>
      <c r="D17" s="1033">
        <f>AOIFTStudCntELL</f>
        <v>0</v>
      </c>
      <c r="E17" s="1033">
        <f>AOIPTStudCntELL</f>
        <v>0</v>
      </c>
      <c r="F17" s="1034">
        <v>0.115</v>
      </c>
      <c r="G17" s="1033">
        <f>NonAOIStudCntELL*F17</f>
        <v>4.5488</v>
      </c>
      <c r="H17" s="1033">
        <f>AOIFTStudCntELL*F17</f>
        <v>0</v>
      </c>
      <c r="I17" s="1033">
        <f>AOIPTStudCntELL*F17</f>
        <v>0</v>
      </c>
      <c r="AA17" s="138"/>
    </row>
    <row r="18" spans="1:27" ht="15" customHeight="1">
      <c r="A18" s="328" t="s">
        <v>462</v>
      </c>
      <c r="B18" s="307"/>
      <c r="C18" s="1033">
        <f>NonAOIStudCntK3</f>
        <v>811.3954</v>
      </c>
      <c r="D18" s="1033">
        <f>AOIFTStudCntK3</f>
        <v>0</v>
      </c>
      <c r="E18" s="1033">
        <f>AOIPTStudCntK3</f>
        <v>0</v>
      </c>
      <c r="F18" s="1034">
        <v>0.06</v>
      </c>
      <c r="G18" s="1033">
        <f>NonAOIStudCntK3*F18</f>
        <v>48.683700000000002</v>
      </c>
      <c r="H18" s="1033">
        <f>AOIFTStudCntK3*F18</f>
        <v>0</v>
      </c>
      <c r="I18" s="1033">
        <f>AOIPTStudCntK3*F18</f>
        <v>0</v>
      </c>
      <c r="AA18" s="138"/>
    </row>
    <row r="19" spans="1:27" ht="15" customHeight="1">
      <c r="A19" s="328" t="s">
        <v>609</v>
      </c>
      <c r="B19" s="307"/>
      <c r="C19" s="1033">
        <f>NonAOIStudCntK3R</f>
        <v>811.3954</v>
      </c>
      <c r="D19" s="1033">
        <f>AOIFTStudCntK3R</f>
        <v>0</v>
      </c>
      <c r="E19" s="1033">
        <f>AOIPTStudCntK3R</f>
        <v>0</v>
      </c>
      <c r="F19" s="1034">
        <v>0.04</v>
      </c>
      <c r="G19" s="1033">
        <f>NonAOIStudCntK3R*F19</f>
        <v>32.455800000000004</v>
      </c>
      <c r="H19" s="1033">
        <f>AOIFTStudCntK3R*F19</f>
        <v>0</v>
      </c>
      <c r="I19" s="1033">
        <f>AOIPTStudCntK3R*F19</f>
        <v>0</v>
      </c>
      <c r="AA19" s="138"/>
    </row>
    <row r="20" spans="1:27" ht="15" customHeight="1">
      <c r="A20" s="328" t="s">
        <v>464</v>
      </c>
      <c r="B20" s="307"/>
      <c r="C20" s="1033">
        <f>NonAOIStudCntHI</f>
        <v>1.08</v>
      </c>
      <c r="D20" s="1033">
        <f>AOIFTStudCntHI</f>
        <v>0</v>
      </c>
      <c r="E20" s="1033">
        <f>AOIPTStudCntHI</f>
        <v>0</v>
      </c>
      <c r="F20" s="1034">
        <v>4.7709999999999999</v>
      </c>
      <c r="G20" s="1033">
        <f>NonAOIStudCntHI*F20</f>
        <v>5.1527000000000003</v>
      </c>
      <c r="H20" s="1033">
        <f>AOIFTStudCntHI*F20</f>
        <v>0</v>
      </c>
      <c r="I20" s="1033">
        <f>AOIPTStudCntHI*F20</f>
        <v>0</v>
      </c>
      <c r="AA20" s="138"/>
    </row>
    <row r="21" spans="1:27" ht="15" customHeight="1">
      <c r="A21" s="328" t="s">
        <v>610</v>
      </c>
      <c r="B21" s="307"/>
      <c r="C21" s="1033">
        <f>NonAOIStudCntMDR.AR.SIDR</f>
        <v>26.36</v>
      </c>
      <c r="D21" s="1033">
        <f>AOIFTStudCntMDR.AR.SIDR</f>
        <v>0</v>
      </c>
      <c r="E21" s="1033">
        <f>AOIPTStudCntMDR.AR.SIDR</f>
        <v>0</v>
      </c>
      <c r="F21" s="1034">
        <v>6.024</v>
      </c>
      <c r="G21" s="1033">
        <f>NonAOIStudCntMDR.AR.SIDR*F21</f>
        <v>158.79259999999999</v>
      </c>
      <c r="H21" s="1033">
        <f>AOIFTStudCntMDR.AR.SIDR*F21</f>
        <v>0</v>
      </c>
      <c r="I21" s="1033">
        <f>AOIPTStudCntMDR.AR.SIDR*F21</f>
        <v>0</v>
      </c>
      <c r="AA21" s="138"/>
    </row>
    <row r="22" spans="1:27" ht="15" customHeight="1">
      <c r="A22" s="1050" t="s">
        <v>611</v>
      </c>
      <c r="B22" s="307"/>
      <c r="C22" s="1033">
        <f>NonAOIStudCntMDSC.ASC.SIDSC</f>
        <v>34.950000000000003</v>
      </c>
      <c r="D22" s="1033">
        <f>AOIFTStudCntMDSC.ASC.SIDSC</f>
        <v>0</v>
      </c>
      <c r="E22" s="1033">
        <f>AOIPTStudCntMDSC.ASC.SIDSC</f>
        <v>0</v>
      </c>
      <c r="F22" s="1051">
        <v>5.9880000000000004</v>
      </c>
      <c r="G22" s="1033">
        <f>NonAOIStudCntMDSC.ASC.SIDSC*F22</f>
        <v>209.28059999999999</v>
      </c>
      <c r="H22" s="1033">
        <f>AOIFTStudCntMDSC.ASC.SIDSC*F22</f>
        <v>0</v>
      </c>
      <c r="I22" s="1033">
        <f>AOIPTStudCntMDSC.ASC.SIDSC*F22</f>
        <v>0</v>
      </c>
      <c r="AA22" s="138"/>
    </row>
    <row r="23" spans="1:27" ht="15" customHeight="1">
      <c r="A23" s="1050" t="s">
        <v>467</v>
      </c>
      <c r="B23" s="307"/>
      <c r="C23" s="1033">
        <f>NonAOIStudCntMDSSI</f>
        <v>1</v>
      </c>
      <c r="D23" s="1033">
        <f>AOIFTStudCntMDSSI</f>
        <v>0</v>
      </c>
      <c r="E23" s="1033">
        <f>AOIPTStudCntMDSSI</f>
        <v>0</v>
      </c>
      <c r="F23" s="1051">
        <v>7.9470000000000001</v>
      </c>
      <c r="G23" s="1033">
        <f>NonAOIStudCntMDSSI*F23</f>
        <v>7.9470000000000001</v>
      </c>
      <c r="H23" s="1033">
        <f>AOIFTStudCntMDSSI*F23</f>
        <v>0</v>
      </c>
      <c r="I23" s="1033">
        <f>AOIPTStudCntMDSSI*F23</f>
        <v>0</v>
      </c>
      <c r="AA23" s="138"/>
    </row>
    <row r="24" spans="1:27" ht="15" customHeight="1">
      <c r="A24" s="1050" t="s">
        <v>468</v>
      </c>
      <c r="B24" s="307"/>
      <c r="C24" s="1033">
        <f>NonAOIStudCntOIR</f>
        <v>5</v>
      </c>
      <c r="D24" s="1033">
        <f>AOIFTStudCntOIR</f>
        <v>0</v>
      </c>
      <c r="E24" s="1033">
        <f>AOIPTStudCntOIR</f>
        <v>0</v>
      </c>
      <c r="F24" s="1051">
        <v>3.1579999999999999</v>
      </c>
      <c r="G24" s="1033">
        <f>NonAOIStudCntOIR*F24</f>
        <v>15.79</v>
      </c>
      <c r="H24" s="1033">
        <f>AOIFTStudCntOIR*F24</f>
        <v>0</v>
      </c>
      <c r="I24" s="1033">
        <f>AOIPTStudCntOIR*F24</f>
        <v>0</v>
      </c>
      <c r="AA24" s="138"/>
    </row>
    <row r="25" spans="1:27" ht="15" customHeight="1">
      <c r="A25" s="1050" t="s">
        <v>469</v>
      </c>
      <c r="B25" s="307"/>
      <c r="C25" s="1033">
        <f>NonAOIStudCntOISC</f>
        <v>3</v>
      </c>
      <c r="D25" s="1033">
        <f>AOIFTStudCntOISC</f>
        <v>0</v>
      </c>
      <c r="E25" s="1033">
        <f>AOIPTStudCntOISC</f>
        <v>0</v>
      </c>
      <c r="F25" s="1051">
        <v>6.7729999999999997</v>
      </c>
      <c r="G25" s="1033">
        <f>NonAOIStudCntOISC*F25</f>
        <v>20.318999999999999</v>
      </c>
      <c r="H25" s="1033">
        <f>AOIFTStudCntOISC*F25</f>
        <v>0</v>
      </c>
      <c r="I25" s="1033">
        <f>AOIPTStudCntOISC*F25</f>
        <v>0</v>
      </c>
      <c r="AA25" s="138"/>
    </row>
    <row r="26" spans="1:27" ht="15" customHeight="1">
      <c r="A26" s="1050" t="s">
        <v>470</v>
      </c>
      <c r="B26" s="307"/>
      <c r="C26" s="1033">
        <f>NonAOIStudCntP.SD</f>
        <v>4.97</v>
      </c>
      <c r="D26" s="1033">
        <f>AOIFTStudCntP.SD</f>
        <v>0</v>
      </c>
      <c r="E26" s="1033">
        <f>AOIPTStudCntP.SD</f>
        <v>0</v>
      </c>
      <c r="F26" s="1051">
        <v>3.5950000000000002</v>
      </c>
      <c r="G26" s="1033">
        <f>NonAOIStudCntP.SD*F26</f>
        <v>17.8672</v>
      </c>
      <c r="H26" s="1033">
        <f>AOIFTStudCntP.SD*F26</f>
        <v>0</v>
      </c>
      <c r="I26" s="1033">
        <f>AOIPTStudCntP.SD*F26</f>
        <v>0</v>
      </c>
      <c r="M26" s="102"/>
      <c r="AA26" s="102"/>
    </row>
    <row r="27" spans="1:27" ht="15" customHeight="1">
      <c r="A27" s="1050" t="s">
        <v>612</v>
      </c>
      <c r="B27" s="307"/>
      <c r="C27" s="1033">
        <f>NonAOIStudCntDD.ED.MIID.SLD.SLI.OHI</f>
        <v>371.6139</v>
      </c>
      <c r="D27" s="1033">
        <f>AOIFTStudCntDD.ED.MIID.SLD.SLI.OHI</f>
        <v>0</v>
      </c>
      <c r="E27" s="1033">
        <f>AOIPTStudCntDD.ED.MIID.SLD.SLI.OHI</f>
        <v>0</v>
      </c>
      <c r="F27" s="1034">
        <v>0.29199999999999998</v>
      </c>
      <c r="G27" s="1033">
        <f>NonAOIStudCntDD.ED.MIID.SLD.SLI.OHI*F27</f>
        <v>108.51130000000001</v>
      </c>
      <c r="H27" s="1033">
        <f>AOIFTStudCntDD.ED.MIID.SLD.SLI.OHI*F27</f>
        <v>0</v>
      </c>
      <c r="I27" s="1033">
        <f>AOIPTStudCntDD.ED.MIID.SLD.SLI.OHI*F27</f>
        <v>0</v>
      </c>
      <c r="AA27" s="138"/>
    </row>
    <row r="28" spans="1:27" ht="15" customHeight="1">
      <c r="A28" s="1050" t="s">
        <v>473</v>
      </c>
      <c r="B28" s="307"/>
      <c r="C28" s="1033">
        <f>NonAOIStudCntEDP</f>
        <v>14</v>
      </c>
      <c r="D28" s="1033">
        <f>AOIFTStudCntEDP</f>
        <v>0</v>
      </c>
      <c r="E28" s="1033">
        <f>AOIPTStudCntEDP</f>
        <v>0</v>
      </c>
      <c r="F28" s="1051">
        <v>4.8220000000000001</v>
      </c>
      <c r="G28" s="1033">
        <f>NonAOIStudCntEDP*F28</f>
        <v>67.507999999999996</v>
      </c>
      <c r="H28" s="1033">
        <f>AOIFTStudCntEDP*F28</f>
        <v>0</v>
      </c>
      <c r="I28" s="1033">
        <f>AOIPTStudCntEDP*F28</f>
        <v>0</v>
      </c>
      <c r="AA28" s="138"/>
    </row>
    <row r="29" spans="1:27" ht="15" customHeight="1">
      <c r="A29" s="1050" t="s">
        <v>474</v>
      </c>
      <c r="B29" s="307"/>
      <c r="C29" s="1033">
        <f>NonAOIStudCntMOID</f>
        <v>8.5299999999999994</v>
      </c>
      <c r="D29" s="1033">
        <f>AOIFTStudCntMOID</f>
        <v>0</v>
      </c>
      <c r="E29" s="1033">
        <f>AOIPTStudCntMOID</f>
        <v>0</v>
      </c>
      <c r="F29" s="1051">
        <v>4.4210000000000003</v>
      </c>
      <c r="G29" s="1033">
        <f>NonAOIStudCntMOID*F29</f>
        <v>37.711100000000002</v>
      </c>
      <c r="H29" s="1033">
        <f>AOIFTStudCntMOID*F29</f>
        <v>0</v>
      </c>
      <c r="I29" s="1033">
        <f>AOIPTStudCntMOID*F29</f>
        <v>0</v>
      </c>
      <c r="AA29" s="138"/>
    </row>
    <row r="30" spans="1:27" ht="15" customHeight="1">
      <c r="A30" s="1050" t="s">
        <v>475</v>
      </c>
      <c r="B30" s="307"/>
      <c r="C30" s="1033">
        <f>NonAOIStudCntVI</f>
        <v>0</v>
      </c>
      <c r="D30" s="1033">
        <f>AOIFTStudCntVI</f>
        <v>0</v>
      </c>
      <c r="E30" s="1033">
        <f>AOIPTStudCntVI</f>
        <v>0</v>
      </c>
      <c r="F30" s="1051">
        <v>4.806</v>
      </c>
      <c r="G30" s="1033">
        <f>NonAOIStudCntVI*F30</f>
        <v>0</v>
      </c>
      <c r="H30" s="1033">
        <f>AOIFTStudCntVI*F30</f>
        <v>0</v>
      </c>
      <c r="I30" s="1033">
        <f>AOIPTStudCntVI*F30</f>
        <v>0</v>
      </c>
      <c r="AA30" s="138"/>
    </row>
    <row r="31" spans="1:27" ht="15" customHeight="1">
      <c r="A31" s="1050" t="s">
        <v>476</v>
      </c>
      <c r="B31" s="307"/>
      <c r="C31" s="1033">
        <f>NonAOIStudCntG</f>
        <v>273.91000000000003</v>
      </c>
      <c r="D31" s="1033">
        <f>AOIFTStudCntG</f>
        <v>0</v>
      </c>
      <c r="E31" s="1033">
        <f>AOIPTStudCntG</f>
        <v>0</v>
      </c>
      <c r="F31" s="1051">
        <v>7.0000000000000001E-3</v>
      </c>
      <c r="G31" s="1033">
        <f>NonAOIStudCntG*F31</f>
        <v>1.9174</v>
      </c>
      <c r="H31" s="1033">
        <f>AOIFTStudCntG*F31</f>
        <v>0</v>
      </c>
      <c r="I31" s="1033">
        <f>AOIPTStudCntG*F31</f>
        <v>0</v>
      </c>
      <c r="AA31" s="138"/>
    </row>
    <row r="32" spans="1:27" ht="15" customHeight="1">
      <c r="A32" s="328" t="s">
        <v>477</v>
      </c>
      <c r="C32" s="1033">
        <f>NonAOIStudCntFRPL</f>
        <v>1280.6427000000001</v>
      </c>
      <c r="D32" s="1033">
        <f>AOIFTStudCntFRPL</f>
        <v>0</v>
      </c>
      <c r="E32" s="1033">
        <f>AOIPTStudCntFRPL</f>
        <v>0</v>
      </c>
      <c r="F32" s="1034">
        <v>2.1999999999999999E-2</v>
      </c>
      <c r="G32" s="1033">
        <f>NonAOIStudCntFRPL*F32</f>
        <v>28.174099999999999</v>
      </c>
      <c r="H32" s="1033">
        <f>AOIFTStudCntFRPL*F32</f>
        <v>0</v>
      </c>
      <c r="I32" s="1033">
        <f>AOIPTStudCntFRPL*F32</f>
        <v>0</v>
      </c>
      <c r="AA32" s="138"/>
    </row>
    <row r="33" spans="1:27" ht="15" customHeight="1">
      <c r="A33" s="1052" t="s">
        <v>613</v>
      </c>
      <c r="B33" s="1052"/>
      <c r="C33" s="1040">
        <f>SUM(C17:C32)</f>
        <v>3687.4023999999999</v>
      </c>
      <c r="D33" s="1040">
        <f>SUM(D17:D32)</f>
        <v>0</v>
      </c>
      <c r="E33" s="1040">
        <f>SUM(E17:E32)</f>
        <v>0</v>
      </c>
      <c r="F33" s="1053"/>
      <c r="G33" s="1038"/>
      <c r="H33" s="1038"/>
      <c r="I33" s="1038"/>
      <c r="M33" s="102"/>
      <c r="AA33" s="102"/>
    </row>
    <row r="34" spans="1:27" ht="15" customHeight="1">
      <c r="A34" s="1052" t="s">
        <v>614</v>
      </c>
      <c r="B34" s="1052"/>
      <c r="C34" s="1052"/>
      <c r="D34" s="1054"/>
      <c r="E34" s="1038">
        <f>SUM(C33:E33)</f>
        <v>3687.4023999999999</v>
      </c>
      <c r="F34" s="1055"/>
      <c r="G34" s="1038"/>
      <c r="H34" s="1038"/>
      <c r="I34" s="1038"/>
      <c r="AA34" s="138"/>
    </row>
    <row r="35" spans="1:27" ht="15" customHeight="1">
      <c r="A35" s="1052" t="s">
        <v>615</v>
      </c>
      <c r="B35" s="1052"/>
      <c r="C35" s="1052"/>
      <c r="D35" s="1056"/>
      <c r="E35" s="1055"/>
      <c r="F35" s="1055"/>
      <c r="G35" s="1057">
        <f>((C17*F17)+(C18*F18)+(C19*F19)+(C20*F20)+(C21*F21)+(C22*F22)+(C23*F23)+(C24*F24)+(C25*F25)+(C26*F26)+(C27*F27)+(C28*F28)+(C29*F29)+(C30*F30)+(C31*F31)+(C32*F32))</f>
        <v>764.65930000000003</v>
      </c>
      <c r="H35" s="1057">
        <f>((D17*F17)+(D18*F18)+(D19*F19)+(D20*F20)+(D21*F21)+(D22*F22)+(D23*F23)+(D24*F24)+(D25*F25)+(D26*F26)+(D27*F27)+(D28*F28)+(D29*F29)+(D30*F30)+(D31*F31)+(D32*F32))</f>
        <v>0</v>
      </c>
      <c r="I35" s="1057">
        <f>((E17*F17)+(E18*F18)+(E19*F19)+(E20*F20)+(E21*F21)+(E22*F22)+(E23*F23)+(E24*F24)+(E25*F25)+(E26*F26)+(E27*F27)+(E28*F28)+(E29*F29)+(E30*F30)+(E31*F31)+(E32*F32))</f>
        <v>0</v>
      </c>
      <c r="AA35" s="138"/>
    </row>
    <row r="36" spans="1:27" ht="15" customHeight="1">
      <c r="A36" s="1052" t="s">
        <v>616</v>
      </c>
      <c r="B36" s="1052"/>
      <c r="C36" s="1052"/>
      <c r="D36" s="1056"/>
      <c r="E36" s="1055"/>
      <c r="F36" s="1055"/>
      <c r="G36" s="1038"/>
      <c r="H36" s="1038"/>
      <c r="I36" s="1038">
        <f>(((C17+D17+E17)*F17)+((C18+D18+E18)*F18)+((C19+D19+E19)*F19)+((C20+D20+E20)*F20)+((C21+D21+E21)*F21)+((C22+D22+E22)*F22)+((C23+D23+E23)*F23)+((C24+D24+E24)*F24)+((C25+D25+E25)*F25)+((C26+D26+E26)*F26)+((C27+D27+E27)*F27)+((C28+D28+E28)*F28)+((C29+D29+E29)*F29)+((C30+D30+E30)*F30)+((C31+D31+E31)*F31)+((C32+D32+E32)*F32))</f>
        <v>764.65930000000003</v>
      </c>
      <c r="AA36" s="138"/>
    </row>
    <row r="37" spans="1:27" ht="15" customHeight="1">
      <c r="B37" s="307"/>
      <c r="G37" s="307"/>
      <c r="H37" s="307"/>
      <c r="I37" s="307"/>
      <c r="AA37" s="138"/>
    </row>
    <row r="38" spans="1:27" ht="15" customHeight="1">
      <c r="A38" s="1058"/>
      <c r="B38" s="1893"/>
      <c r="C38" s="1893"/>
      <c r="D38" s="1893"/>
      <c r="E38" s="1058"/>
      <c r="F38" s="1893"/>
      <c r="G38" s="1894"/>
      <c r="H38" s="1894"/>
      <c r="I38" s="239"/>
      <c r="J38" s="543"/>
      <c r="K38" s="1887"/>
      <c r="L38" s="1887" t="str">
        <f>CTD</f>
        <v>130201000</v>
      </c>
      <c r="AA38" s="138"/>
    </row>
    <row r="39" spans="1:27" ht="15" customHeight="1">
      <c r="A39" s="1024"/>
      <c r="B39" s="1024"/>
      <c r="C39" s="1024"/>
      <c r="D39" s="1571" t="str">
        <f>IF(DistrictName&lt;&gt;0,DistrictName,"")</f>
        <v xml:space="preserve">Prescott Unified </v>
      </c>
      <c r="E39" s="1571"/>
      <c r="F39" s="1571"/>
      <c r="G39" s="1571"/>
      <c r="H39" s="1571"/>
      <c r="I39" s="1024"/>
      <c r="J39" s="1024"/>
      <c r="K39" s="1024"/>
      <c r="L39" s="1024"/>
      <c r="M39" s="1024"/>
      <c r="AA39" s="138"/>
    </row>
    <row r="40" spans="1:27" ht="34.5" customHeight="1">
      <c r="A40" s="399"/>
      <c r="B40" s="399"/>
      <c r="C40" s="399"/>
      <c r="D40" s="1886" t="s">
        <v>1092</v>
      </c>
      <c r="E40" s="1886"/>
      <c r="F40" s="1886"/>
      <c r="G40" s="1886"/>
      <c r="H40" s="1886"/>
      <c r="I40" s="399"/>
      <c r="J40" s="399"/>
      <c r="K40" s="399"/>
      <c r="L40" s="399"/>
      <c r="M40" s="399"/>
      <c r="AA40" s="138"/>
    </row>
    <row r="41" spans="1:27" ht="15" customHeight="1" thickBot="1">
      <c r="A41" s="996"/>
      <c r="B41" s="996"/>
      <c r="C41" s="996"/>
      <c r="D41" s="996"/>
      <c r="E41" s="1027"/>
      <c r="F41" s="1026" t="s">
        <v>593</v>
      </c>
      <c r="G41" s="1027" t="str">
        <f>IF(AND(SmallIsolatedPSD8Checkbox="X",SmallIsolated912Checkbox="X"),"Elementary and High School",IF(SmallIsolatedPSD8Checkbox="X","Elementary",IF(SmallIsolated912Checkbox="X","High School","Not Isolated")))</f>
        <v>Not Isolated</v>
      </c>
      <c r="H41" s="996"/>
      <c r="I41" s="996"/>
      <c r="J41" s="996"/>
      <c r="K41" s="1025"/>
      <c r="L41" s="1028" t="s">
        <v>594</v>
      </c>
      <c r="M41" s="1028" t="s">
        <v>617</v>
      </c>
      <c r="AA41" s="138"/>
    </row>
    <row r="42" spans="1:27" ht="15" customHeight="1">
      <c r="AA42" s="138"/>
    </row>
    <row r="43" spans="1:27" ht="22.5">
      <c r="A43" s="1059" t="s">
        <v>618</v>
      </c>
      <c r="B43" s="307"/>
      <c r="C43" s="307"/>
      <c r="D43" s="1060" t="s">
        <v>619</v>
      </c>
      <c r="E43" s="307"/>
      <c r="F43" s="1060" t="s">
        <v>598</v>
      </c>
      <c r="G43" s="1039"/>
      <c r="H43" s="1060" t="s">
        <v>599</v>
      </c>
      <c r="I43" s="1061"/>
      <c r="J43" s="1061"/>
      <c r="K43" s="1061"/>
      <c r="L43" s="1061"/>
      <c r="M43" s="1061"/>
      <c r="N43" s="1061"/>
      <c r="O43" s="1061"/>
      <c r="P43" s="1061"/>
      <c r="Q43" s="1061"/>
      <c r="AA43" s="138"/>
    </row>
    <row r="44" spans="1:27" ht="15" customHeight="1">
      <c r="A44" s="1895" t="s">
        <v>606</v>
      </c>
      <c r="B44" s="1895"/>
      <c r="C44" s="1062"/>
      <c r="D44" s="1063">
        <f>NonAOIRegEdWgtdADM</f>
        <v>4378.0565999999999</v>
      </c>
      <c r="E44" s="1064"/>
      <c r="F44" s="1063">
        <f>AOIFTRegEdWgtdADM</f>
        <v>0</v>
      </c>
      <c r="G44" s="1064"/>
      <c r="H44" s="1063">
        <f>AOIPTRegEdWgtdADM</f>
        <v>0</v>
      </c>
      <c r="I44" s="1065"/>
      <c r="J44" s="1885"/>
      <c r="K44" s="1885"/>
      <c r="L44" s="1885"/>
      <c r="AA44" s="138"/>
    </row>
    <row r="45" spans="1:27" ht="15" customHeight="1">
      <c r="A45" s="1895" t="s">
        <v>615</v>
      </c>
      <c r="B45" s="1895"/>
      <c r="C45" s="1062" t="s">
        <v>506</v>
      </c>
      <c r="D45" s="1066">
        <f>NonAOIGrBAddOnWgtdADM</f>
        <v>764.65930000000003</v>
      </c>
      <c r="E45" s="1064" t="s">
        <v>506</v>
      </c>
      <c r="F45" s="1063">
        <f>AOIFTGrBAddOnWgtdADM</f>
        <v>0</v>
      </c>
      <c r="G45" s="1064" t="s">
        <v>506</v>
      </c>
      <c r="H45" s="1063">
        <f>AOIPTGrBAddOnWgtdADM</f>
        <v>0</v>
      </c>
      <c r="I45" s="1065"/>
      <c r="J45" s="100"/>
      <c r="K45" s="1065"/>
      <c r="L45" s="1065"/>
      <c r="AA45" s="138"/>
    </row>
    <row r="46" spans="1:27" ht="15" customHeight="1">
      <c r="A46" s="1067" t="s">
        <v>620</v>
      </c>
      <c r="B46" s="307"/>
      <c r="C46" s="1062" t="s">
        <v>504</v>
      </c>
      <c r="D46" s="1066">
        <f>((C7*F7)+(C8*F8)+(C9*F9)+C17*F17)+(C18*F18)+(C19*F19)+(C20*F20)+(C21*F21)+(C22*F22)+(C23*F23)+(C24*F24)+(C25*F25)+(C26*F26)+(C27*F27)+(C28*F28)+(C29*F29)+(C30*F30)+(C31*F31)+(C32*F32)</f>
        <v>5142.7160000000003</v>
      </c>
      <c r="E46" s="1064" t="s">
        <v>504</v>
      </c>
      <c r="F46" s="1063">
        <f>((D7*F7)+(D8*F8)+(D9*F9)+(D17*F17)+(D18*F18)+(D19*F19)+(D20*F20)+(D21*F21)+(D22*F22)+(D23*F23)+(D24*F24)+(D25*F25)+(D26*F26)+(D27*F27)+(D28*F28)+(D29*F29)+(D30*F30)+(D31*F31)+(D32*F32))</f>
        <v>0</v>
      </c>
      <c r="G46" s="1064" t="s">
        <v>504</v>
      </c>
      <c r="H46" s="1063">
        <f>((E7*F7)+(E8*F8)+(E9*F9)+(E17*F17)+(E18*F18)+(E19*F19)+(E20*F20)+(E21*F21)+(E22*F22)+(E23*F23)+(E24*F24)+(E25*F25)+(E26*F26)+(E27*F27)+(E28*F28)+(E29*F29)+(E30*F30)+(E31*F31)+(E32*F32))</f>
        <v>0</v>
      </c>
      <c r="I46" s="1065"/>
      <c r="J46" s="100"/>
      <c r="K46" s="1065"/>
      <c r="L46" s="1065"/>
      <c r="AA46" s="138"/>
    </row>
    <row r="47" spans="1:27" ht="15" customHeight="1">
      <c r="A47" s="1067" t="s">
        <v>621</v>
      </c>
      <c r="B47" s="307"/>
      <c r="C47" s="1062" t="s">
        <v>505</v>
      </c>
      <c r="D47" s="1066">
        <v>1</v>
      </c>
      <c r="E47" s="1068" t="s">
        <v>505</v>
      </c>
      <c r="F47" s="1066">
        <v>0.95</v>
      </c>
      <c r="G47" s="1068" t="s">
        <v>505</v>
      </c>
      <c r="H47" s="1066">
        <v>0.85</v>
      </c>
      <c r="I47" s="1065"/>
      <c r="J47" s="100"/>
      <c r="K47" s="1065"/>
      <c r="L47" s="1065"/>
      <c r="AA47" s="138"/>
    </row>
    <row r="48" spans="1:27" ht="15" customHeight="1">
      <c r="A48" s="1067" t="s">
        <v>622</v>
      </c>
      <c r="B48" s="307"/>
      <c r="C48" s="1062" t="s">
        <v>504</v>
      </c>
      <c r="D48" s="1066">
        <f>(((C7*F7)+(C8*F8)+(C9*F9)+C17*F17)+(C18*F18)+(C19*F19)+(C20*F20)+(C21*F21)+(C22*F22)+(C23*F23)+(C24*F24)+(C25*F25)+(C26*F26)+(C27*F27)+(C28*F28)+(C29*F29)+(C30*F30)+(C31*F31)+(C32*F32))*D47</f>
        <v>5142.7160000000003</v>
      </c>
      <c r="E48" s="1068" t="s">
        <v>504</v>
      </c>
      <c r="F48" s="1066">
        <f>(((D7*F7)+(D8*F8)+(D9*F9)+(D17*F17)+(D18*F18)+(D19*F19)+(D20*F20)+(D21*F21)+(D22*F22)+(D23*F23)+(D24*F24)+(D25*F25)+(D26*F26)+(D27*F27)+(D28*F28)+(D29*F29)+(D30*F30)+(D31*F31)+(D32*F32)))*F47</f>
        <v>0</v>
      </c>
      <c r="G48" s="1068" t="s">
        <v>504</v>
      </c>
      <c r="H48" s="1066">
        <f>(((E7*F7)+(E8*F8)+(E9*F9)+(E17*F17)+(E18*F18)+(E19*F19)+(E20*F20)+(E21*F21)+(E22*F22)+(E23*F23)+(E24*F24)+(E25*F25)+(E26*F26)+(E27*F27)+(E28*F28)+(E29*F29)+(E30*F30)+(E31*F31)+(E32*F32)))*H47</f>
        <v>0</v>
      </c>
      <c r="I48" s="1065"/>
      <c r="J48" s="100"/>
      <c r="K48" s="1065"/>
      <c r="L48" s="1065"/>
      <c r="AA48" s="138"/>
    </row>
    <row r="49" spans="1:27" s="158" customFormat="1" ht="7.5" customHeight="1" thickBot="1">
      <c r="A49" s="1069"/>
      <c r="B49" s="1027"/>
      <c r="C49" s="1070"/>
      <c r="D49" s="1071"/>
      <c r="E49" s="1072"/>
      <c r="F49" s="1071"/>
      <c r="G49" s="1072"/>
      <c r="H49" s="1071"/>
      <c r="I49" s="1073"/>
      <c r="J49" s="996"/>
      <c r="K49" s="1073"/>
      <c r="L49" s="1073"/>
      <c r="M49" s="1074"/>
      <c r="AA49" s="1075"/>
    </row>
    <row r="50" spans="1:27" s="158" customFormat="1" ht="7.5" customHeight="1">
      <c r="A50" s="1067"/>
      <c r="B50" s="389"/>
      <c r="C50" s="1062"/>
      <c r="D50" s="1063"/>
      <c r="E50" s="1068"/>
      <c r="F50" s="1063"/>
      <c r="G50" s="1068"/>
      <c r="H50" s="1063"/>
      <c r="I50" s="1065"/>
      <c r="J50" s="239"/>
      <c r="K50" s="1065"/>
      <c r="L50" s="1065"/>
      <c r="M50" s="1075"/>
      <c r="AA50" s="1075"/>
    </row>
    <row r="51" spans="1:27" ht="15" customHeight="1">
      <c r="A51" s="1076" t="s">
        <v>623</v>
      </c>
      <c r="B51" s="1077"/>
      <c r="C51" s="389"/>
      <c r="D51" s="803"/>
      <c r="E51" s="803"/>
      <c r="F51" s="803"/>
      <c r="G51" s="803"/>
      <c r="H51" s="1078">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5142.7159570000003</v>
      </c>
      <c r="I51" s="100"/>
      <c r="J51" s="100"/>
      <c r="K51" s="100"/>
      <c r="L51" s="100"/>
      <c r="AA51" s="138"/>
    </row>
    <row r="52" spans="1:27" ht="15" customHeight="1" thickBot="1">
      <c r="A52" s="1378" t="str">
        <f>_xlfn.CONCAT("Base Level Amount (FY",(RIGHT(Cover!E3,2)),")")</f>
        <v>Base Level Amount (FY25)</v>
      </c>
      <c r="B52" s="1077"/>
      <c r="C52" s="307"/>
      <c r="D52" s="307"/>
      <c r="E52" s="1079"/>
      <c r="F52" s="1079"/>
      <c r="G52" s="1079" t="s">
        <v>505</v>
      </c>
      <c r="H52" s="1080">
        <f>IF(Checkbox200Days="X",BaseLevelAmount*1.05,BaseLevelAmount)</f>
        <v>5013</v>
      </c>
      <c r="I52" s="100"/>
      <c r="J52" s="1081"/>
      <c r="K52" s="100"/>
      <c r="L52" s="100"/>
      <c r="AA52" s="138"/>
    </row>
    <row r="53" spans="1:27" ht="15" customHeight="1">
      <c r="A53" s="1077" t="s">
        <v>624</v>
      </c>
      <c r="B53" s="1077"/>
      <c r="C53" s="307"/>
      <c r="D53" s="307"/>
      <c r="E53" s="307"/>
      <c r="F53" s="307"/>
      <c r="G53" s="307"/>
      <c r="H53" s="108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25780435.09</v>
      </c>
      <c r="I53" s="100"/>
      <c r="J53" s="100"/>
      <c r="K53" s="100"/>
      <c r="L53" s="100"/>
      <c r="AA53" s="138"/>
    </row>
    <row r="54" spans="1:27" ht="15" customHeight="1">
      <c r="A54" s="1898" t="str">
        <f>_xlfn.CONCAT("Calculated Teachers Experience Index (FY",RIGHT(PriorFiscalYear,2),")")</f>
        <v>Calculated Teachers Experience Index (FY24)</v>
      </c>
      <c r="B54" s="1898"/>
      <c r="C54" s="1034">
        <f>TEI</f>
        <v>1.0067999999999999</v>
      </c>
      <c r="D54" s="307"/>
      <c r="E54" s="307"/>
      <c r="F54" s="307"/>
      <c r="G54" s="307"/>
      <c r="H54" s="1023"/>
      <c r="I54" s="100"/>
      <c r="J54" s="100"/>
      <c r="K54" s="100"/>
      <c r="L54" s="100"/>
      <c r="AA54" s="138"/>
    </row>
    <row r="55" spans="1:27" ht="15" customHeight="1" thickBot="1">
      <c r="A55" s="1378" t="str">
        <f>_xlfn.CONCAT("Applied Teachers Experience Index (FY",(RIGHT(Cover!E3,2)),")")</f>
        <v>Applied Teachers Experience Index (FY25)</v>
      </c>
      <c r="B55" s="1077"/>
      <c r="C55" s="307"/>
      <c r="D55" s="307"/>
      <c r="E55" s="307"/>
      <c r="F55" s="307"/>
      <c r="G55" s="725" t="s">
        <v>505</v>
      </c>
      <c r="H55" s="1083">
        <f>IF(TEI&gt;1,TEI,1)</f>
        <v>1.0067999999999999</v>
      </c>
      <c r="I55" s="100"/>
      <c r="J55" s="100"/>
      <c r="K55" s="100"/>
      <c r="L55" s="100"/>
      <c r="AA55" s="138"/>
    </row>
    <row r="56" spans="1:27" ht="15" customHeight="1">
      <c r="A56" s="1084" t="s">
        <v>625</v>
      </c>
      <c r="B56" s="307"/>
      <c r="C56" s="1085"/>
      <c r="D56" s="307"/>
      <c r="E56" s="307"/>
      <c r="F56" s="307"/>
      <c r="G56" s="307"/>
      <c r="H56" s="1086"/>
      <c r="I56" s="100"/>
      <c r="J56" s="100"/>
      <c r="K56" s="100"/>
      <c r="L56" s="100"/>
      <c r="AA56" s="138"/>
    </row>
    <row r="57" spans="1:27" ht="15" customHeight="1">
      <c r="A57" s="323" t="s">
        <v>626</v>
      </c>
      <c r="B57" s="307"/>
      <c r="C57" s="307"/>
      <c r="D57" s="307"/>
      <c r="E57" s="307"/>
      <c r="F57" s="307"/>
      <c r="G57" s="307"/>
      <c r="H57" s="1082">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25955742.050000001</v>
      </c>
      <c r="I57" s="100"/>
      <c r="J57" s="100"/>
      <c r="K57" s="100"/>
      <c r="L57" s="100"/>
      <c r="AA57" s="138"/>
    </row>
    <row r="58" spans="1:27" ht="15" customHeight="1">
      <c r="A58" s="323"/>
      <c r="B58" s="307"/>
      <c r="C58" s="307"/>
      <c r="D58" s="307"/>
      <c r="E58" s="307"/>
      <c r="F58" s="307"/>
      <c r="G58" s="307"/>
      <c r="H58" s="1087"/>
      <c r="I58" s="100"/>
      <c r="J58" s="100"/>
      <c r="K58" s="100"/>
      <c r="L58" s="100"/>
      <c r="AA58" s="138"/>
    </row>
    <row r="59" spans="1:27" ht="15" customHeight="1">
      <c r="A59" s="1088" t="s">
        <v>627</v>
      </c>
      <c r="B59" s="307"/>
      <c r="C59" s="1089"/>
      <c r="D59" s="1089"/>
      <c r="E59" s="1089"/>
      <c r="F59" s="1089"/>
      <c r="G59" s="1089"/>
      <c r="H59" s="1090"/>
      <c r="I59" s="100"/>
      <c r="J59" s="100"/>
      <c r="K59" s="100"/>
      <c r="L59" s="100"/>
      <c r="AA59" s="138"/>
    </row>
    <row r="60" spans="1:27" ht="15" customHeight="1">
      <c r="A60" s="1434" t="s">
        <v>628</v>
      </c>
      <c r="B60" s="1023" t="s">
        <v>506</v>
      </c>
      <c r="C60" s="1091">
        <f>NonFedAuditExp</f>
        <v>49660.19</v>
      </c>
      <c r="D60" s="378"/>
      <c r="E60" s="378"/>
      <c r="F60" s="378"/>
      <c r="G60" s="378"/>
      <c r="H60" s="1092"/>
      <c r="I60" s="1093"/>
      <c r="J60" s="100"/>
      <c r="K60" s="100"/>
      <c r="L60" s="100"/>
      <c r="AA60" s="138"/>
    </row>
    <row r="61" spans="1:27" ht="15" customHeight="1">
      <c r="A61" s="307" t="s">
        <v>629</v>
      </c>
      <c r="B61" s="1023" t="s">
        <v>506</v>
      </c>
      <c r="C61" s="1094">
        <f>IncreaseTuitionLossAdj</f>
        <v>0</v>
      </c>
      <c r="D61" s="378"/>
      <c r="E61" s="378"/>
      <c r="F61" s="378"/>
      <c r="G61" s="378"/>
      <c r="H61" s="1092"/>
      <c r="I61" s="1093"/>
      <c r="J61" s="100"/>
      <c r="K61" s="100"/>
      <c r="L61" s="100"/>
      <c r="AA61" s="138"/>
    </row>
    <row r="62" spans="1:27" ht="15" customHeight="1">
      <c r="A62" s="307" t="s">
        <v>630</v>
      </c>
      <c r="B62" s="1023" t="s">
        <v>506</v>
      </c>
      <c r="C62" s="1094">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78"/>
      <c r="E62" s="378"/>
      <c r="F62" s="378"/>
      <c r="G62" s="378"/>
      <c r="H62" s="1092"/>
      <c r="I62" s="1093"/>
      <c r="J62" s="100"/>
      <c r="K62" s="100"/>
      <c r="L62" s="100"/>
      <c r="AA62" s="138"/>
    </row>
    <row r="63" spans="1:27" ht="15" customHeight="1">
      <c r="A63" s="1434" t="s">
        <v>631</v>
      </c>
      <c r="B63" s="1023" t="s">
        <v>506</v>
      </c>
      <c r="C63" s="1094">
        <f>RemoteInstructionDecre</f>
        <v>0</v>
      </c>
      <c r="D63" s="378"/>
      <c r="E63" s="378"/>
      <c r="F63" s="378"/>
      <c r="G63" s="378"/>
      <c r="H63" s="1092"/>
      <c r="I63" s="1093"/>
      <c r="J63" s="100"/>
      <c r="K63" s="100"/>
      <c r="L63" s="100"/>
      <c r="AA63" s="138"/>
    </row>
    <row r="64" spans="1:27" ht="15.75">
      <c r="A64" s="1434" t="s">
        <v>895</v>
      </c>
      <c r="B64" s="1023" t="s">
        <v>506</v>
      </c>
      <c r="C64" s="1091">
        <f>'Data Entry'!L76</f>
        <v>0</v>
      </c>
      <c r="D64" s="378"/>
      <c r="E64" s="378"/>
      <c r="F64" s="378"/>
      <c r="G64" s="378"/>
      <c r="H64" s="1092"/>
      <c r="I64" s="1093"/>
      <c r="J64" s="100"/>
      <c r="K64" s="100"/>
      <c r="L64" s="100"/>
      <c r="AA64" s="138"/>
    </row>
    <row r="65" spans="1:27" ht="15.75">
      <c r="A65" s="1434" t="s">
        <v>896</v>
      </c>
      <c r="B65" s="1023" t="s">
        <v>506</v>
      </c>
      <c r="C65" s="1091">
        <f>'Data Entry'!L77</f>
        <v>0</v>
      </c>
      <c r="D65" s="378"/>
      <c r="E65" s="378"/>
      <c r="F65" s="378"/>
      <c r="G65" s="378"/>
      <c r="H65" s="1092"/>
      <c r="I65" s="1093"/>
      <c r="J65" s="100"/>
      <c r="K65" s="100"/>
      <c r="L65" s="100"/>
      <c r="AA65" s="138"/>
    </row>
    <row r="66" spans="1:27" ht="15.75">
      <c r="A66" s="1513" t="s">
        <v>1290</v>
      </c>
      <c r="B66" s="1023" t="s">
        <v>506</v>
      </c>
      <c r="C66" s="1091" t="str">
        <f>IF(ISBLANK('Data Entry'!L78),"$0.00",'Data Entry'!L78)</f>
        <v>$0.00</v>
      </c>
      <c r="D66" s="378"/>
      <c r="E66" s="378"/>
      <c r="F66" s="378"/>
      <c r="G66" s="378"/>
      <c r="H66" s="1092"/>
      <c r="I66" s="1093"/>
      <c r="J66" s="100"/>
      <c r="K66" s="100"/>
      <c r="L66" s="100"/>
      <c r="AA66" s="138"/>
    </row>
    <row r="67" spans="1:27" ht="15.75">
      <c r="A67" s="1513" t="s">
        <v>1289</v>
      </c>
      <c r="B67" s="1023" t="s">
        <v>506</v>
      </c>
      <c r="C67" s="1091" t="str">
        <f>IF(ISBLANK('Data Entry'!L79),"$0.00",'Data Entry'!L79)</f>
        <v>$0.00</v>
      </c>
      <c r="D67" s="378"/>
      <c r="E67" s="378"/>
      <c r="F67" s="378"/>
      <c r="G67" s="378"/>
      <c r="H67" s="1092"/>
      <c r="I67" s="1093"/>
      <c r="J67" s="100"/>
      <c r="K67" s="100"/>
      <c r="L67" s="100"/>
      <c r="AA67" s="138"/>
    </row>
    <row r="68" spans="1:27" ht="15" customHeight="1">
      <c r="A68" s="775" t="s">
        <v>632</v>
      </c>
      <c r="B68" s="307"/>
      <c r="C68" s="307"/>
      <c r="D68" s="307"/>
      <c r="E68" s="307"/>
      <c r="F68" s="307"/>
      <c r="G68" s="307"/>
      <c r="H68" s="1095">
        <f>SUM(C60:C67)</f>
        <v>49660.19</v>
      </c>
      <c r="I68" s="1096"/>
      <c r="J68" s="100"/>
      <c r="K68" s="100"/>
      <c r="L68" s="100"/>
      <c r="AA68" s="138"/>
    </row>
    <row r="69" spans="1:27" ht="15" customHeight="1">
      <c r="A69" s="1097" t="s">
        <v>633</v>
      </c>
      <c r="B69" s="307"/>
      <c r="C69" s="1097"/>
      <c r="D69" s="1097"/>
      <c r="E69" s="1097"/>
      <c r="F69" s="1097"/>
      <c r="G69" s="1097"/>
      <c r="H69" s="1098">
        <f>H68+H57</f>
        <v>26005402.239999998</v>
      </c>
      <c r="I69" s="1099"/>
      <c r="J69" s="100"/>
      <c r="K69" s="100"/>
      <c r="L69" s="100"/>
      <c r="AA69" s="138"/>
    </row>
    <row r="70" spans="1:27" ht="15" customHeight="1">
      <c r="AA70" s="138"/>
    </row>
    <row r="71" spans="1:27" ht="15" customHeight="1">
      <c r="AA71" s="138"/>
    </row>
    <row r="72" spans="1:27" ht="15" customHeight="1">
      <c r="AA72" s="138"/>
    </row>
    <row r="73" spans="1:27" ht="15" customHeight="1">
      <c r="A73" s="1024"/>
      <c r="B73" s="1024"/>
      <c r="C73" s="1024"/>
      <c r="D73" s="1571" t="str">
        <f>IF(DistrictName&lt;&gt;0,DistrictName,"")</f>
        <v xml:space="preserve">Prescott Unified </v>
      </c>
      <c r="E73" s="1571"/>
      <c r="F73" s="1571"/>
      <c r="G73" s="1571"/>
      <c r="H73" s="1571"/>
      <c r="I73" s="1024"/>
      <c r="J73" s="1024"/>
      <c r="K73" s="1024"/>
      <c r="L73" s="1024"/>
      <c r="M73" s="1024"/>
      <c r="AA73" s="138"/>
    </row>
    <row r="74" spans="1:27" ht="34.5" customHeight="1">
      <c r="A74" s="399"/>
      <c r="B74" s="399"/>
      <c r="C74" s="399"/>
      <c r="D74" s="1886" t="s">
        <v>1092</v>
      </c>
      <c r="E74" s="1886"/>
      <c r="F74" s="1886"/>
      <c r="G74" s="1886"/>
      <c r="H74" s="1886"/>
      <c r="I74" s="399"/>
      <c r="J74" s="399"/>
      <c r="K74" s="399"/>
      <c r="L74" s="399"/>
      <c r="M74" s="399"/>
      <c r="AA74" s="102"/>
    </row>
    <row r="75" spans="1:27" ht="15" customHeight="1" thickBot="1">
      <c r="A75" s="1027"/>
      <c r="B75" s="1027"/>
      <c r="C75" s="1027"/>
      <c r="D75" s="1027"/>
      <c r="E75" s="1027"/>
      <c r="F75" s="1026" t="s">
        <v>593</v>
      </c>
      <c r="G75" s="1027" t="str">
        <f>IF(AND(SmallIsolatedPSD8Checkbox="X",SmallIsolated912Checkbox="X"),"Elementary and High School",IF(SmallIsolatedPSD8Checkbox="X","Elementary",IF(SmallIsolated912Checkbox="X","High School","Not Isolated")))</f>
        <v>Not Isolated</v>
      </c>
      <c r="H75" s="1027"/>
      <c r="I75" s="1027"/>
      <c r="J75" s="1027"/>
      <c r="K75" s="1027"/>
      <c r="L75" s="1028" t="s">
        <v>594</v>
      </c>
      <c r="M75" s="1028" t="s">
        <v>634</v>
      </c>
      <c r="AA75" s="138"/>
    </row>
    <row r="76" spans="1:27" ht="15" customHeight="1">
      <c r="A76" s="307"/>
      <c r="B76" s="307"/>
      <c r="C76" s="307"/>
      <c r="D76" s="307"/>
      <c r="E76" s="1100"/>
      <c r="F76" s="1101"/>
      <c r="G76" s="307"/>
      <c r="H76" s="307"/>
      <c r="I76" s="307"/>
      <c r="J76" s="307"/>
      <c r="K76" s="307"/>
      <c r="L76" s="307"/>
      <c r="M76" s="1102"/>
      <c r="AA76" s="138"/>
    </row>
    <row r="77" spans="1:27" ht="15" customHeight="1">
      <c r="A77" s="1103" t="s">
        <v>635</v>
      </c>
      <c r="B77" s="1104"/>
      <c r="C77" s="1105"/>
      <c r="D77" s="307"/>
      <c r="E77" s="1106"/>
      <c r="F77" s="1107" t="s">
        <v>636</v>
      </c>
      <c r="G77" s="307"/>
      <c r="H77" s="307"/>
      <c r="I77" s="307"/>
      <c r="J77" s="307"/>
      <c r="K77" s="307"/>
      <c r="L77" s="307"/>
      <c r="M77" s="1102"/>
      <c r="AA77" s="138"/>
    </row>
    <row r="78" spans="1:27" ht="15" customHeight="1">
      <c r="A78" s="1896" t="s">
        <v>637</v>
      </c>
      <c r="B78" s="1896"/>
      <c r="C78" s="1105"/>
      <c r="D78" s="307"/>
      <c r="E78" s="1106"/>
      <c r="F78" s="1379" t="str">
        <f>_xlfn.CONCAT("FY",(RIGHT(Cover!E3,2))," Adjusted Base Support Level (BSL)")</f>
        <v>FY25 Adjusted Base Support Level (BSL)</v>
      </c>
      <c r="G78" s="307"/>
      <c r="H78" s="307"/>
      <c r="I78" s="307"/>
      <c r="J78" s="1108">
        <f>AdjBaseSuppLvl</f>
        <v>26005402.239999998</v>
      </c>
      <c r="K78" s="307"/>
      <c r="L78" s="307"/>
      <c r="M78" s="1102"/>
      <c r="AA78" s="138"/>
    </row>
    <row r="79" spans="1:27" ht="15" customHeight="1">
      <c r="A79" s="1109" t="s">
        <v>638</v>
      </c>
      <c r="B79" s="1109"/>
      <c r="C79" s="307"/>
      <c r="D79" s="307"/>
      <c r="E79" s="1110"/>
      <c r="F79" s="1379" t="str">
        <f>_xlfn.CONCAT("FY",(RIGHT(Cover!E3,2))," Consolidation or Unification Assistance")</f>
        <v>FY25 Consolidation or Unification Assistance</v>
      </c>
      <c r="G79" s="307"/>
      <c r="H79" s="307"/>
      <c r="I79" s="725" t="s">
        <v>506</v>
      </c>
      <c r="J79" s="1111">
        <f>ConsolUnifTransCosts</f>
        <v>0</v>
      </c>
      <c r="K79" s="307"/>
      <c r="L79" s="307"/>
      <c r="M79" s="1102"/>
      <c r="AA79" s="102"/>
    </row>
    <row r="80" spans="1:27" ht="15" customHeight="1" thickBot="1">
      <c r="A80" s="1109" t="str">
        <f>_xlfn.CONCAT("          Eligible Students Transported (FY",RIGHT(PriorFiscalYear,2),")")</f>
        <v>Eligible Students Transported (FY24)</v>
      </c>
      <c r="B80" s="1109"/>
      <c r="C80" s="307"/>
      <c r="D80" s="307"/>
      <c r="E80" s="1112">
        <f>EligibleStudTrans</f>
        <v>811.1</v>
      </c>
      <c r="F80" s="1379" t="str">
        <f>_xlfn.CONCAT("FY",(RIGHT(Cover!E3,2))," Transportation Support Level (TSL)")</f>
        <v>FY25 Transportation Support Level (TSL)</v>
      </c>
      <c r="G80" s="307"/>
      <c r="H80" s="307"/>
      <c r="I80" s="725" t="s">
        <v>506</v>
      </c>
      <c r="J80" s="1113">
        <f>TSL</f>
        <v>907326.78</v>
      </c>
      <c r="K80" s="307"/>
      <c r="L80" s="307"/>
      <c r="M80" s="307"/>
      <c r="AA80" s="138"/>
    </row>
    <row r="81" spans="1:27" ht="15" customHeight="1">
      <c r="A81" s="1109" t="str">
        <f>_xlfn.CONCAT("          Daily Route Miles Per Eligible Student (FY",RIGHT(PriorFiscalYear,2),")")</f>
        <v>Daily Route Miles Per Eligible Student (FY24)</v>
      </c>
      <c r="B81" s="1109"/>
      <c r="C81" s="307"/>
      <c r="D81" s="307"/>
      <c r="E81" s="1114">
        <f>IF(ApprDRMiles&gt;0,ApprDRMiles/EligibleStudTrans,0)</f>
        <v>1.7766</v>
      </c>
      <c r="F81" s="1380" t="str">
        <f>_xlfn.CONCAT("FY",(RIGHT(Cover!E3,2))," District Support Level (DSL)")</f>
        <v>FY25 District Support Level (DSL)</v>
      </c>
      <c r="G81" s="389"/>
      <c r="H81" s="389"/>
      <c r="I81" s="389"/>
      <c r="J81" s="1115">
        <f>SUM(J78:J80)</f>
        <v>26912729.02</v>
      </c>
      <c r="K81" s="389"/>
      <c r="L81" s="389"/>
      <c r="M81" s="1116"/>
      <c r="AA81" s="138"/>
    </row>
    <row r="82" spans="1:27" ht="15" customHeight="1" thickBot="1">
      <c r="A82" s="1109" t="s">
        <v>639</v>
      </c>
      <c r="B82" s="1109"/>
      <c r="C82" s="307"/>
      <c r="D82" s="1117"/>
      <c r="E82" s="1118">
        <f>ApprDRMiles</f>
        <v>1441</v>
      </c>
      <c r="F82" s="1381"/>
      <c r="G82" s="1027"/>
      <c r="H82" s="1027"/>
      <c r="I82" s="1027"/>
      <c r="J82" s="1027"/>
      <c r="K82" s="1027"/>
      <c r="L82" s="1027"/>
      <c r="M82" s="1119"/>
      <c r="AA82" s="138"/>
    </row>
    <row r="83" spans="1:27" ht="15" customHeight="1">
      <c r="A83" s="1109" t="s">
        <v>640</v>
      </c>
      <c r="B83" s="1109"/>
      <c r="C83" s="307"/>
      <c r="D83" s="725" t="s">
        <v>505</v>
      </c>
      <c r="E83" s="1120">
        <f>IF(DailyRteMilesPerElgStud=0,0,IF(AND(DailyRteMilesPerElgStud&gt;0.5,DailyRteMilesPerElgStud&lt;=1),StateSupportLevelRouteMile2,StateSupportLevelRouteMile1))</f>
        <v>2.95</v>
      </c>
      <c r="AA83" s="138"/>
    </row>
    <row r="84" spans="1:27" ht="15" customHeight="1" thickBot="1">
      <c r="A84" s="1109" t="s">
        <v>641</v>
      </c>
      <c r="B84" s="1109"/>
      <c r="C84" s="307"/>
      <c r="D84" s="725" t="s">
        <v>505</v>
      </c>
      <c r="E84" s="1121">
        <f>IF(Checkbox200Days="X",200,180)</f>
        <v>180</v>
      </c>
      <c r="F84" s="1107" t="s">
        <v>642</v>
      </c>
      <c r="G84" s="307"/>
      <c r="H84" s="307"/>
      <c r="I84" s="307"/>
      <c r="J84" s="307"/>
      <c r="K84" s="307"/>
      <c r="L84" s="307"/>
      <c r="M84" s="1102"/>
      <c r="AA84" s="138"/>
    </row>
    <row r="85" spans="1:27" ht="15" customHeight="1">
      <c r="A85" s="1109" t="s">
        <v>643</v>
      </c>
      <c r="B85" s="1109"/>
      <c r="C85" s="307"/>
      <c r="D85" s="725"/>
      <c r="E85" s="1120">
        <f>E82*E83*E84</f>
        <v>765171</v>
      </c>
      <c r="F85" s="1379" t="str">
        <f>_xlfn.CONCAT("FY",(RIGHT(Cover!E3,2))," Adjusted Base Support Level (BSL)")</f>
        <v>FY25 Adjusted Base Support Level (BSL)</v>
      </c>
      <c r="G85" s="307"/>
      <c r="H85" s="307"/>
      <c r="I85" s="307"/>
      <c r="J85" s="1108">
        <f>AdjBaseSuppLvl</f>
        <v>26005402.239999998</v>
      </c>
      <c r="K85" s="307"/>
      <c r="L85" s="307"/>
      <c r="M85" s="1102"/>
      <c r="AA85" s="138"/>
    </row>
    <row r="86" spans="1:27" ht="15" customHeight="1" thickBot="1">
      <c r="A86" s="1122" t="s">
        <v>644</v>
      </c>
      <c r="B86" s="1109"/>
      <c r="C86" s="307"/>
      <c r="D86" s="725" t="s">
        <v>505</v>
      </c>
      <c r="E86" s="1123">
        <f>IF(VALUE(LEFT(RIGHT(L1,7),2))=3,Type03TranspFactor,IF(VALUE(LEFT(RIGHT(L1,7),2))=2,Type02TranspFactor,IF(VALUE(LEFT(RIGHT(L1,7),2))=4,Type04TranspFactor,IF(VALUE(LEFT(RIGHT(L1,7),2))=5,Type05TranspFactor,IF(VALUE(LEFT(RIGHT(L1,7),2))=1,Type01TranspFactor,0)))))</f>
        <v>0.18</v>
      </c>
      <c r="F86" s="1379" t="str">
        <f>_xlfn.CONCAT("FY",(RIGHT(Cover!E3,2))," Consolidation or Unification Assistance")</f>
        <v>FY25 Consolidation or Unification Assistance</v>
      </c>
      <c r="G86" s="307"/>
      <c r="H86" s="307"/>
      <c r="I86" s="725" t="s">
        <v>506</v>
      </c>
      <c r="J86" s="1111">
        <f>ConsolUnifTransCosts</f>
        <v>0</v>
      </c>
      <c r="K86" s="307"/>
      <c r="L86" s="307"/>
      <c r="M86" s="1102"/>
      <c r="AA86" s="138"/>
    </row>
    <row r="87" spans="1:27" ht="15" customHeight="1" thickBot="1">
      <c r="A87" s="1124" t="s">
        <v>645</v>
      </c>
      <c r="B87" s="1109"/>
      <c r="C87" s="307"/>
      <c r="D87" s="725"/>
      <c r="E87" s="1120">
        <f>ROUND((E84*E82)*E83*E86,2)</f>
        <v>137730.78</v>
      </c>
      <c r="F87" s="1379" t="str">
        <f>_xlfn.CONCAT("FY",(RIGHT(Cover!E3,2))," Transportation Revenue Control Limit (TRCL)")</f>
        <v>FY25 Transportation Revenue Control Limit (TRCL)</v>
      </c>
      <c r="G87" s="307"/>
      <c r="H87" s="307"/>
      <c r="I87" s="725" t="s">
        <v>506</v>
      </c>
      <c r="J87" s="1113">
        <f>CYTRCL</f>
        <v>1476063.78</v>
      </c>
      <c r="K87" s="307"/>
      <c r="L87" s="307"/>
      <c r="M87" s="1102"/>
      <c r="AA87" s="138"/>
    </row>
    <row r="88" spans="1:27" ht="15" customHeight="1">
      <c r="A88" s="1109" t="str">
        <f>_xlfn.CONCAT("Handicapped Extended School Year Mileage (FY",RIGHT(PriorFiscalYear,2),")")</f>
        <v>Handicapped Extended School Year Mileage (FY24)</v>
      </c>
      <c r="B88" s="1109"/>
      <c r="C88" s="307"/>
      <c r="D88" s="725"/>
      <c r="E88" s="1112">
        <f>ActDisabilityRM+EstDisabilityRM</f>
        <v>1500</v>
      </c>
      <c r="F88" s="1380" t="str">
        <f>_xlfn.CONCAT("FY",(RIGHT(Cover!E3,2))," Revenue Control Limit (RCL)")</f>
        <v>FY25 Revenue Control Limit (RCL)</v>
      </c>
      <c r="G88" s="307"/>
      <c r="H88" s="307"/>
      <c r="I88" s="307"/>
      <c r="J88" s="1095">
        <f>SUM(J85:J87)</f>
        <v>27481466.02</v>
      </c>
      <c r="K88" s="307"/>
      <c r="L88" s="307"/>
      <c r="M88" s="1102"/>
      <c r="AA88" s="138"/>
    </row>
    <row r="89" spans="1:27" ht="15" customHeight="1" thickBot="1">
      <c r="A89" s="1109" t="s">
        <v>640</v>
      </c>
      <c r="B89" s="1109"/>
      <c r="C89" s="307"/>
      <c r="D89" s="725" t="s">
        <v>505</v>
      </c>
      <c r="E89" s="1123">
        <f>E83</f>
        <v>2.95</v>
      </c>
      <c r="F89" s="1381"/>
      <c r="G89" s="1027"/>
      <c r="H89" s="1027"/>
      <c r="I89" s="1027"/>
      <c r="J89" s="1027"/>
      <c r="K89" s="307"/>
      <c r="L89" s="307"/>
      <c r="M89" s="1102"/>
      <c r="AA89" s="138"/>
    </row>
    <row r="90" spans="1:27" ht="15" customHeight="1" thickBot="1">
      <c r="A90" s="1109" t="s">
        <v>646</v>
      </c>
      <c r="B90" s="307"/>
      <c r="C90" s="307"/>
      <c r="D90" s="307"/>
      <c r="E90" s="1120">
        <f>ROUND(E88*E89,2)</f>
        <v>4425</v>
      </c>
      <c r="F90" s="1382" t="str">
        <f>_xlfn.CONCAT("FY",(RIGHT(Cover!E3,2))," Lesser of DSL/RCL")</f>
        <v>FY25 Lesser of DSL/RCL</v>
      </c>
      <c r="G90" s="1125"/>
      <c r="H90" s="1125"/>
      <c r="I90" s="1126"/>
      <c r="J90" s="1127">
        <f>IF(J81&gt;J88,J88,J81)</f>
        <v>26912729.02</v>
      </c>
      <c r="K90" s="389"/>
      <c r="L90" s="307"/>
      <c r="M90" s="1102"/>
      <c r="AA90" s="138"/>
    </row>
    <row r="91" spans="1:27" ht="15" customHeight="1">
      <c r="A91" s="307" t="s">
        <v>647</v>
      </c>
      <c r="B91" s="307"/>
      <c r="C91" s="328" t="s">
        <v>648</v>
      </c>
      <c r="D91" s="328" t="s">
        <v>649</v>
      </c>
      <c r="E91" s="1128"/>
      <c r="AA91" s="138"/>
    </row>
    <row r="92" spans="1:27" ht="15" customHeight="1">
      <c r="A92" s="307" t="str">
        <f>_xlfn.CONCAT("     Districts (FY",RIGHT(PriorFiscalYear,2),")")</f>
        <v>Districts (FY24)</v>
      </c>
      <c r="B92" s="307"/>
      <c r="C92" s="1129">
        <f>AnnualExpforBusPass</f>
        <v>0</v>
      </c>
      <c r="D92" s="1129">
        <f>AnnualExpforBusToken</f>
        <v>0</v>
      </c>
      <c r="E92" s="1130">
        <f>C92+D92</f>
        <v>0</v>
      </c>
      <c r="AA92" s="138"/>
    </row>
    <row r="93" spans="1:27" ht="15" customHeight="1">
      <c r="A93" s="323" t="str">
        <f>_xlfn.CONCAT("FY",(RIGHT(Cover!E3,2))," Transportation Support Level (TSL)")</f>
        <v>FY25 Transportation Support Level (TSL)</v>
      </c>
      <c r="B93" s="307"/>
      <c r="C93" s="307"/>
      <c r="D93" s="307"/>
      <c r="E93" s="1120">
        <f>E85+E87+E90+E92</f>
        <v>907326.78</v>
      </c>
      <c r="F93" s="1131"/>
      <c r="G93" s="307"/>
      <c r="H93" s="307"/>
      <c r="I93" s="307"/>
      <c r="J93" s="307"/>
      <c r="K93" s="307"/>
      <c r="L93" s="307"/>
      <c r="M93" s="1102"/>
      <c r="AA93" s="138"/>
    </row>
    <row r="94" spans="1:27" ht="15" customHeight="1" thickBot="1">
      <c r="A94" s="1132"/>
      <c r="B94" s="1027"/>
      <c r="C94" s="1027"/>
      <c r="D94" s="1027"/>
      <c r="E94" s="1133"/>
      <c r="F94" s="1131"/>
      <c r="G94" s="307"/>
      <c r="H94" s="307"/>
      <c r="I94" s="307"/>
      <c r="J94" s="307"/>
      <c r="K94" s="307"/>
      <c r="L94" s="307"/>
      <c r="M94" s="1102"/>
      <c r="AA94" s="138"/>
    </row>
    <row r="95" spans="1:27" ht="15" customHeight="1">
      <c r="A95" s="307"/>
      <c r="B95" s="307"/>
      <c r="C95" s="307"/>
      <c r="D95" s="307"/>
      <c r="E95" s="1134"/>
      <c r="F95" s="1131"/>
      <c r="G95" s="389"/>
      <c r="H95" s="307"/>
      <c r="I95" s="307"/>
      <c r="J95" s="307"/>
      <c r="K95" s="307"/>
      <c r="L95" s="307"/>
      <c r="M95" s="1102"/>
      <c r="AA95" s="138"/>
    </row>
    <row r="96" spans="1:27" ht="15" customHeight="1">
      <c r="A96" s="1103" t="s">
        <v>650</v>
      </c>
      <c r="B96" s="389"/>
      <c r="C96" s="389"/>
      <c r="D96" s="389"/>
      <c r="E96" s="1110"/>
      <c r="F96" s="1131"/>
      <c r="G96" s="307"/>
      <c r="H96" s="307"/>
      <c r="I96" s="307"/>
      <c r="J96" s="307"/>
      <c r="K96" s="307"/>
      <c r="L96" s="307"/>
      <c r="M96" s="1102"/>
      <c r="AA96" s="138"/>
    </row>
    <row r="97" spans="1:27" ht="15" customHeight="1">
      <c r="A97" s="307" t="str">
        <f>_xlfn.CONCAT("FY",RIGHT(PriorFiscalYear,2)," Transportation Revenue Control Limit (TRCL)")</f>
        <v>FY24 Transportation Revenue Control Limit (TRCL)</v>
      </c>
      <c r="B97" s="307"/>
      <c r="C97" s="307"/>
      <c r="D97" s="725"/>
      <c r="E97" s="1135">
        <f t="array" ref="E97">[1]!CYTRCL</f>
        <v>1476063.78</v>
      </c>
      <c r="F97" s="1131"/>
      <c r="G97" s="307"/>
      <c r="H97" s="307"/>
      <c r="I97" s="307"/>
      <c r="J97" s="307"/>
      <c r="K97" s="307"/>
      <c r="L97" s="307"/>
      <c r="M97" s="1102"/>
      <c r="AA97" s="138"/>
    </row>
    <row r="98" spans="1:27" ht="15" customHeight="1">
      <c r="A98" s="1136"/>
      <c r="B98" s="1136"/>
      <c r="C98" s="1136"/>
      <c r="D98" s="1136"/>
      <c r="E98" s="1110"/>
      <c r="F98" s="1131"/>
      <c r="G98" s="307"/>
      <c r="H98" s="307"/>
      <c r="I98" s="307"/>
      <c r="J98" s="307"/>
      <c r="K98" s="307"/>
      <c r="L98" s="307"/>
      <c r="M98" s="1102"/>
      <c r="AA98" s="138"/>
    </row>
    <row r="99" spans="1:27" ht="15" customHeight="1">
      <c r="A99" s="1387" t="s">
        <v>651</v>
      </c>
      <c r="B99" s="307" t="str">
        <f>_xlfn.CONCAT("FY",(RIGHT(Cover!E3,2))," TSL")</f>
        <v>FY25 TSL</v>
      </c>
      <c r="C99" s="1137">
        <f>TSL</f>
        <v>907326.78</v>
      </c>
      <c r="D99" s="307"/>
      <c r="E99" s="1110"/>
      <c r="F99" s="1131"/>
      <c r="G99" s="307"/>
      <c r="H99" s="307"/>
      <c r="I99" s="307"/>
      <c r="J99" s="307"/>
      <c r="K99" s="307"/>
      <c r="L99" s="307"/>
      <c r="M99" s="1102"/>
      <c r="AA99" s="138"/>
    </row>
    <row r="100" spans="1:27" ht="15" customHeight="1" thickBot="1">
      <c r="A100" s="307"/>
      <c r="B100" s="307" t="str">
        <f>_xlfn.CONCAT("FY",RIGHT(PriorFiscalYear,2)," TSL         -")</f>
        <v>FY24 TSL         -</v>
      </c>
      <c r="C100" s="1138">
        <f t="array" ref="C100">[1]!TSL</f>
        <v>934872.23</v>
      </c>
      <c r="D100" s="307"/>
      <c r="E100" s="1110"/>
      <c r="F100" s="1131"/>
      <c r="G100" s="307"/>
      <c r="H100" s="307"/>
      <c r="I100" s="307"/>
      <c r="J100" s="307"/>
      <c r="K100" s="307"/>
      <c r="L100" s="307"/>
      <c r="M100" s="1102"/>
      <c r="AA100" s="138"/>
    </row>
    <row r="101" spans="1:27" ht="15" customHeight="1" thickBot="1">
      <c r="A101" s="307"/>
      <c r="B101" s="307" t="s">
        <v>652</v>
      </c>
      <c r="C101" s="1139">
        <f>IF(C99-C100&gt;0,C99-C100,0)</f>
        <v>0</v>
      </c>
      <c r="D101" s="307"/>
      <c r="E101" s="1110"/>
      <c r="F101" s="1131"/>
      <c r="G101" s="307"/>
      <c r="H101" s="307"/>
      <c r="I101" s="307"/>
      <c r="J101" s="307"/>
      <c r="K101" s="307"/>
      <c r="L101" s="307"/>
      <c r="M101" s="1102"/>
      <c r="AA101" s="138"/>
    </row>
    <row r="102" spans="1:27" ht="15" customHeight="1">
      <c r="A102" s="307"/>
      <c r="B102" s="307"/>
      <c r="C102" s="307"/>
      <c r="D102" s="307"/>
      <c r="E102" s="1110"/>
      <c r="F102" s="1131"/>
      <c r="G102" s="307"/>
      <c r="H102" s="307"/>
      <c r="I102" s="307"/>
      <c r="J102" s="307"/>
      <c r="K102" s="307"/>
      <c r="L102" s="307"/>
      <c r="M102" s="1102"/>
      <c r="AA102" s="138"/>
    </row>
    <row r="103" spans="1:27" ht="15" customHeight="1">
      <c r="A103" s="307" t="str">
        <f>_xlfn.CONCAT("Preliminary FY",(RIGHT(Cover!E3,2))," TRCL")</f>
        <v>Preliminary FY25 TRCL</v>
      </c>
      <c r="B103" s="307"/>
      <c r="C103" s="307"/>
      <c r="D103" s="725"/>
      <c r="E103" s="1135">
        <f>C101+E97</f>
        <v>1476063.78</v>
      </c>
      <c r="F103" s="1131"/>
      <c r="G103" s="307"/>
      <c r="H103" s="307"/>
      <c r="I103" s="307"/>
      <c r="J103" s="307"/>
      <c r="K103" s="307"/>
      <c r="L103" s="307"/>
      <c r="M103" s="1102"/>
      <c r="AA103" s="138"/>
    </row>
    <row r="104" spans="1:27" ht="15" customHeight="1">
      <c r="A104" s="1387" t="str">
        <f>_xlfn.CONCAT("120% of FY",(RIGHT(Cover!E3,2))," TRCL")</f>
        <v>120% of FY25 TRCL</v>
      </c>
      <c r="B104" s="725"/>
      <c r="C104" s="1137">
        <f>E93*1.2</f>
        <v>1088792.1399999999</v>
      </c>
      <c r="D104" s="307"/>
      <c r="E104" s="1110"/>
      <c r="F104" s="1131"/>
      <c r="G104" s="307"/>
      <c r="H104" s="307"/>
      <c r="I104" s="307"/>
      <c r="J104" s="307"/>
      <c r="K104" s="307"/>
      <c r="L104" s="307"/>
      <c r="M104" s="1102"/>
      <c r="AA104" s="138"/>
    </row>
    <row r="105" spans="1:27" ht="15" customHeight="1">
      <c r="A105" s="775" t="str">
        <f>_xlfn.CONCAT("FY",(RIGHT(Cover!E3,2))," Transportation Revenue Control Limit (TRCL)")</f>
        <v>FY25 Transportation Revenue Control Limit (TRCL)</v>
      </c>
      <c r="B105" s="307"/>
      <c r="C105" s="307"/>
      <c r="D105" s="725"/>
      <c r="E105" s="1140">
        <f>MAX(TSL,IF(PremFYTRCL&gt;AdjFYTRCL,TRCLBudgPY,PremFYTRCL))</f>
        <v>1476063.78</v>
      </c>
      <c r="F105" s="1131"/>
      <c r="G105" s="307"/>
      <c r="H105" s="307"/>
      <c r="I105" s="307"/>
      <c r="J105" s="307"/>
      <c r="K105" s="307"/>
      <c r="L105" s="307"/>
      <c r="M105" s="1102"/>
      <c r="AA105" s="138"/>
    </row>
    <row r="106" spans="1:27" ht="15" customHeight="1">
      <c r="A106" s="307"/>
      <c r="B106" s="307"/>
      <c r="C106" s="307"/>
      <c r="D106" s="307"/>
      <c r="E106" s="307"/>
      <c r="F106" s="307"/>
      <c r="G106" s="307"/>
      <c r="H106" s="307"/>
      <c r="I106" s="307"/>
      <c r="J106" s="307"/>
      <c r="K106" s="307"/>
      <c r="L106" s="307"/>
      <c r="M106" s="1102"/>
      <c r="AA106" s="138"/>
    </row>
    <row r="107" spans="1:27" ht="15" customHeight="1">
      <c r="M107" s="102"/>
      <c r="AA107" s="138"/>
    </row>
    <row r="108" spans="1:27" ht="15" customHeight="1">
      <c r="A108" s="400"/>
      <c r="B108" s="400"/>
      <c r="C108" s="400"/>
      <c r="D108" s="1571" t="str">
        <f>IF(DistrictName&lt;&gt;0,DistrictName,"")</f>
        <v xml:space="preserve">Prescott Unified </v>
      </c>
      <c r="E108" s="1571"/>
      <c r="F108" s="1571"/>
      <c r="G108" s="1571"/>
      <c r="H108" s="1571"/>
      <c r="I108" s="400"/>
      <c r="J108" s="400"/>
      <c r="K108" s="400"/>
      <c r="L108" s="400"/>
      <c r="M108" s="400"/>
      <c r="AA108" s="138"/>
    </row>
    <row r="109" spans="1:27" ht="34.5" customHeight="1">
      <c r="A109" s="399"/>
      <c r="B109" s="399"/>
      <c r="C109" s="399"/>
      <c r="D109" s="1886" t="s">
        <v>1092</v>
      </c>
      <c r="E109" s="1886"/>
      <c r="F109" s="1886"/>
      <c r="G109" s="1886"/>
      <c r="H109" s="1886"/>
      <c r="I109" s="399"/>
      <c r="J109" s="399"/>
      <c r="K109" s="399"/>
      <c r="L109" s="399"/>
      <c r="M109" s="399"/>
      <c r="AA109" s="138"/>
    </row>
    <row r="110" spans="1:27" ht="15" customHeight="1" thickBot="1">
      <c r="A110" s="1027"/>
      <c r="B110" s="1027"/>
      <c r="C110" s="1027"/>
      <c r="D110" s="1027"/>
      <c r="E110" s="1027"/>
      <c r="F110" s="1026" t="s">
        <v>593</v>
      </c>
      <c r="G110" s="1027" t="str">
        <f>IF(AND(SmallIsolatedPSD8Checkbox="X",SmallIsolated912Checkbox="X"),"Elementary and High School",IF(SmallIsolatedPSD8Checkbox="X","Elementary",IF(SmallIsolated912Checkbox="X","High School","Not Isolated")))</f>
        <v>Not Isolated</v>
      </c>
      <c r="H110" s="1027"/>
      <c r="I110" s="1027"/>
      <c r="J110" s="1027"/>
      <c r="K110" s="1027"/>
      <c r="L110" s="1028" t="s">
        <v>594</v>
      </c>
      <c r="M110" s="1028" t="s">
        <v>653</v>
      </c>
      <c r="AA110" s="102"/>
    </row>
    <row r="111" spans="1:27" ht="15" customHeight="1">
      <c r="A111" s="307"/>
      <c r="B111" s="307"/>
      <c r="C111" s="307"/>
      <c r="D111" s="307"/>
      <c r="E111" s="307"/>
      <c r="F111" s="307"/>
      <c r="G111" s="307"/>
      <c r="H111" s="307"/>
      <c r="I111" s="307"/>
      <c r="J111" s="307"/>
      <c r="K111" s="307"/>
      <c r="L111" s="307"/>
      <c r="M111" s="1102"/>
      <c r="AA111" s="138"/>
    </row>
    <row r="112" spans="1:27" ht="21">
      <c r="A112" s="1141" t="s">
        <v>654</v>
      </c>
      <c r="B112" s="1142"/>
      <c r="C112" s="1142"/>
      <c r="D112" s="1142"/>
      <c r="E112" s="1143" t="s">
        <v>452</v>
      </c>
      <c r="F112" s="1144"/>
      <c r="G112" s="1143" t="s">
        <v>453</v>
      </c>
      <c r="H112" s="1144"/>
      <c r="I112" s="1145" t="s">
        <v>454</v>
      </c>
      <c r="J112" s="1144"/>
      <c r="K112" s="1146" t="s">
        <v>655</v>
      </c>
      <c r="L112" s="1147"/>
      <c r="M112" s="1143" t="s">
        <v>413</v>
      </c>
      <c r="O112" s="100"/>
      <c r="AA112" s="138"/>
    </row>
    <row r="113" spans="1:27" ht="15" customHeight="1">
      <c r="A113" s="307" t="str">
        <f>_xlfn.CONCAT("FY",RIGHT(PriorFiscalYear,2)," District ADM")</f>
        <v>FY24 District ADM</v>
      </c>
      <c r="B113" s="307"/>
      <c r="C113" s="307"/>
      <c r="D113" s="307"/>
      <c r="E113" s="1036">
        <f>UnweightedStudCntPSDPY</f>
        <v>15.375</v>
      </c>
      <c r="F113" s="1148"/>
      <c r="G113" s="1036">
        <f>UnweightedStudCntK8PY</f>
        <v>2075.518</v>
      </c>
      <c r="H113" s="1149"/>
      <c r="I113" s="1036">
        <f>UnweightedStudCnt912PY</f>
        <v>1505.4936</v>
      </c>
      <c r="J113" s="1149"/>
      <c r="K113" s="1063">
        <f>IF(VALUE(LEFT(RIGHT(L1,7),2))=3,(HSCountDORtoDOA),0)</f>
        <v>0</v>
      </c>
      <c r="L113" s="1150"/>
      <c r="M113" s="1151"/>
      <c r="O113" s="100"/>
      <c r="AA113" s="138"/>
    </row>
    <row r="114" spans="1:27" ht="15" customHeight="1" thickBot="1">
      <c r="A114" s="307" t="s">
        <v>656</v>
      </c>
      <c r="B114" s="307"/>
      <c r="C114" s="307"/>
      <c r="D114" s="725" t="s">
        <v>505</v>
      </c>
      <c r="E114" s="1152">
        <f>IF(E113=0,0,Calculations!L77)</f>
        <v>549.45000000000005</v>
      </c>
      <c r="F114" s="725" t="s">
        <v>505</v>
      </c>
      <c r="G114" s="1138">
        <f>IF(VALUE(LEFT(RIGHT(L1,7),2))=8,0,IF(AND(UnweightedStudCntK8PY&gt;0,UnweightedStudCntK8PY&lt;100),Calculations!L52,IF(AND(Calculations!L56&gt;0),Calculations!L63,IF(AND(Calculations!L67&gt;0),Calculations!L74,IF(UnweightedStudCntK8PY&gt;=600,Calculations!L77,0)))))</f>
        <v>549.45000000000005</v>
      </c>
      <c r="H114" s="725" t="s">
        <v>505</v>
      </c>
      <c r="I114" s="1138">
        <f>IF(I113=0,0,IF(VALUE(LEFT(RIGHT(L1,7),2))=3,AA168/2,AA168))</f>
        <v>600.86</v>
      </c>
      <c r="J114" s="725" t="s">
        <v>505</v>
      </c>
      <c r="K114" s="1153">
        <f>IF(K113=0,0,IF(VALUE(LEFT(RIGHT(L1,7),2))=3,AA168/2,AA168))</f>
        <v>0</v>
      </c>
      <c r="L114" s="1154"/>
      <c r="M114" s="1155"/>
      <c r="O114" s="100"/>
      <c r="AA114" s="138"/>
    </row>
    <row r="115" spans="1:27" ht="15" customHeight="1">
      <c r="A115" s="323" t="s">
        <v>657</v>
      </c>
      <c r="B115" s="307"/>
      <c r="C115" s="307"/>
      <c r="D115" s="725" t="s">
        <v>504</v>
      </c>
      <c r="E115" s="1137">
        <f>IF(E113&gt;0,ROUND(E113*E114,2),0)</f>
        <v>8447.7900000000009</v>
      </c>
      <c r="F115" s="725" t="s">
        <v>504</v>
      </c>
      <c r="G115" s="1137">
        <f>IF(G113&gt;0,ROUND(G113*G114,2),0)</f>
        <v>1140393.3700000001</v>
      </c>
      <c r="H115" s="725" t="s">
        <v>504</v>
      </c>
      <c r="I115" s="1137">
        <f>IF(OR(I113&gt;0),I113*I114,0)</f>
        <v>904590.88</v>
      </c>
      <c r="J115" s="725" t="s">
        <v>504</v>
      </c>
      <c r="K115" s="1156">
        <f>IF(OR(K113&gt;0),K113*K114,0)</f>
        <v>0</v>
      </c>
      <c r="L115" s="1157"/>
      <c r="M115" s="1158">
        <f>(E113*E114)+(G113*G114)+(I113*I114)+(K113*K114)</f>
        <v>2053432.04</v>
      </c>
      <c r="O115" s="100"/>
      <c r="AA115" s="102"/>
    </row>
    <row r="116" spans="1:27" ht="15" customHeight="1">
      <c r="A116" s="1159" t="s">
        <v>658</v>
      </c>
      <c r="B116" s="307"/>
      <c r="C116" s="307"/>
      <c r="D116" s="307"/>
      <c r="E116" s="725"/>
      <c r="F116" s="307"/>
      <c r="G116" s="725"/>
      <c r="H116" s="307"/>
      <c r="I116" s="725"/>
      <c r="J116" s="307"/>
      <c r="K116" s="725"/>
      <c r="L116" s="307"/>
      <c r="M116" s="1151"/>
      <c r="N116" s="100"/>
      <c r="O116" s="100"/>
      <c r="AA116" s="138"/>
    </row>
    <row r="117" spans="1:27" ht="15" customHeight="1">
      <c r="A117" s="1103" t="s">
        <v>659</v>
      </c>
      <c r="B117" s="307"/>
      <c r="C117" s="307"/>
      <c r="D117" s="307"/>
      <c r="E117" s="725"/>
      <c r="F117" s="307"/>
      <c r="G117" s="725"/>
      <c r="H117" s="307"/>
      <c r="I117" s="725"/>
      <c r="J117" s="307"/>
      <c r="K117" s="725"/>
      <c r="L117" s="307"/>
      <c r="M117" s="1151"/>
      <c r="N117" s="100"/>
      <c r="O117" s="100"/>
      <c r="AA117" s="138"/>
    </row>
    <row r="118" spans="1:27" ht="15" customHeight="1">
      <c r="A118" s="307" t="str">
        <f>_xlfn.CONCAT("FY",RIGHT(PriorFiscalYear,2)," District ADM")</f>
        <v>FY24 District ADM</v>
      </c>
      <c r="B118" s="307"/>
      <c r="C118" s="1033">
        <f>IF(VALUE(LEFT(RIGHT(L1,7),2))=3,'Data Entry'!G17+UnweightedStudCntK8PY+UnweightedStudCnt912PY+HSCountDORtoDOA,'Data Entry'!G17+UnweightedStudCntK8PY+UnweightedStudCnt912PY)</f>
        <v>3596.3865999999998</v>
      </c>
      <c r="D118" s="307"/>
      <c r="E118" s="725"/>
      <c r="F118" s="307"/>
      <c r="G118" s="725"/>
      <c r="H118" s="307"/>
      <c r="I118" s="725"/>
      <c r="J118" s="307"/>
      <c r="K118" s="725"/>
      <c r="L118" s="307"/>
      <c r="M118" s="1151"/>
      <c r="N118" s="100"/>
      <c r="O118" s="100"/>
      <c r="AA118" s="138"/>
    </row>
    <row r="119" spans="1:27" ht="15" customHeight="1" thickBot="1">
      <c r="A119" s="307" t="str">
        <f>_xlfn.CONCAT("FY",RIGHT(TwoYearsPrior,2)," District ADM")</f>
        <v>FY23 District ADM</v>
      </c>
      <c r="B119" s="725" t="s">
        <v>660</v>
      </c>
      <c r="C119" s="1160">
        <f>PY100DayADM</f>
        <v>3580.4596000000001</v>
      </c>
      <c r="D119" s="307"/>
      <c r="E119" s="725"/>
      <c r="F119" s="307"/>
      <c r="G119" s="725"/>
      <c r="H119" s="307"/>
      <c r="I119" s="725"/>
      <c r="J119" s="307"/>
      <c r="K119" s="725"/>
      <c r="L119" s="307"/>
      <c r="M119" s="1151"/>
      <c r="N119" s="100"/>
      <c r="O119" s="100"/>
      <c r="AA119" s="138"/>
    </row>
    <row r="120" spans="1:27" ht="15" customHeight="1">
      <c r="A120" s="307" t="str">
        <f>_xlfn.CONCAT("FY",(RIGHT(Cover!E3,2))," Calculated DAA Growth Factor")</f>
        <v>FY25 Calculated DAA Growth Factor</v>
      </c>
      <c r="B120" s="725" t="s">
        <v>504</v>
      </c>
      <c r="C120" s="1033">
        <f>IF(C119&gt;0,ROUND(+C118/C119,10),0)</f>
        <v>1.0044</v>
      </c>
      <c r="E120" s="1393"/>
      <c r="G120" s="1393"/>
      <c r="I120" s="1393"/>
      <c r="K120" s="1393"/>
      <c r="L120" s="307"/>
      <c r="M120" s="1151"/>
      <c r="N120" s="100"/>
      <c r="O120" s="100"/>
      <c r="AA120" s="138"/>
    </row>
    <row r="121" spans="1:27" ht="15" customHeight="1" thickBot="1">
      <c r="A121" s="307" t="str">
        <f>_xlfn.CONCAT("FY",(RIGHT(Cover!E3,2))," Applied DAA Growth Factor")</f>
        <v>FY25 Applied DAA Growth Factor</v>
      </c>
      <c r="B121" s="307"/>
      <c r="C121" s="307"/>
      <c r="D121" s="725" t="s">
        <v>505</v>
      </c>
      <c r="E121" s="1161">
        <f>IF(IF(C119&gt;0,ROUND(+C118/C119,10),0)&gt;0,IF(IF(C119&gt;0,ROUND(+C118/C119,10),0)&gt;1.05,+(IF(C119&gt;0,ROUND(+C118/C119,10),0)-1)/2+1,1),0)</f>
        <v>1</v>
      </c>
      <c r="F121" s="725" t="s">
        <v>505</v>
      </c>
      <c r="G121" s="1161">
        <f>IF(IF(C119&gt;0,ROUND(+C118/C119,10),0)&gt;0,IF(IF(C119&gt;0,ROUND(+C118/C119,10),0)&gt;1.05,+(IF(C119&gt;0,ROUND(+C118/C119,10),0)-1)/2+1,1),0)</f>
        <v>1</v>
      </c>
      <c r="H121" s="725" t="s">
        <v>505</v>
      </c>
      <c r="I121" s="1161">
        <f>IF(IF(C119&gt;0,ROUND(+C118/C119,10),0)&gt;0,IF(IF(C119&gt;0,ROUND(+C118/C119,10),0)&gt;1.05,+(IF(C119&gt;0,ROUND(+C118/C119,10),0)-1)/2+1,1),0)</f>
        <v>1</v>
      </c>
      <c r="J121" s="725" t="s">
        <v>505</v>
      </c>
      <c r="K121" s="1161">
        <f>IF(IF(C119&gt;0,ROUND(+C118/C119,10),0)&gt;0,IF(IF(C119&gt;0,ROUND(+C118/C119,10),0)&gt;1.05,+(IF(C119&gt;0,ROUND(+C118/C119,10),0)-1)/2+1,1),0)</f>
        <v>1</v>
      </c>
      <c r="L121" s="307"/>
      <c r="M121" s="1151"/>
      <c r="N121" s="100"/>
      <c r="O121" s="100"/>
      <c r="AA121" s="138"/>
    </row>
    <row r="122" spans="1:27" ht="15" customHeight="1">
      <c r="A122" s="1897" t="s">
        <v>661</v>
      </c>
      <c r="B122" s="1897"/>
      <c r="C122" s="1897"/>
      <c r="D122" s="1162"/>
      <c r="E122" s="307"/>
      <c r="F122" s="307"/>
      <c r="G122" s="307"/>
      <c r="H122" s="307"/>
      <c r="I122" s="307"/>
      <c r="J122" s="307"/>
      <c r="K122" s="725"/>
      <c r="L122" s="307"/>
      <c r="M122" s="725"/>
      <c r="N122" s="100"/>
      <c r="O122" s="100"/>
      <c r="AA122" s="138"/>
    </row>
    <row r="123" spans="1:27" ht="15" customHeight="1">
      <c r="A123" s="1897"/>
      <c r="B123" s="1897"/>
      <c r="C123" s="1897"/>
      <c r="D123" s="1162"/>
      <c r="E123" s="307"/>
      <c r="F123" s="307"/>
      <c r="G123" s="307"/>
      <c r="H123" s="307"/>
      <c r="I123" s="307"/>
      <c r="J123" s="307"/>
      <c r="K123" s="725"/>
      <c r="L123" s="307"/>
      <c r="M123" s="1151"/>
      <c r="N123" s="100"/>
      <c r="O123" s="100"/>
      <c r="AA123" s="138"/>
    </row>
    <row r="124" spans="1:27" ht="15" customHeight="1">
      <c r="A124" s="323" t="s">
        <v>662</v>
      </c>
      <c r="B124" s="307"/>
      <c r="C124" s="307"/>
      <c r="D124" s="307"/>
      <c r="E124" s="1082">
        <f>IF(E121&gt;0,ROUND(E115*E121,2),0)</f>
        <v>8447.7900000000009</v>
      </c>
      <c r="F124" s="1023"/>
      <c r="G124" s="1158">
        <f>IF(G121&gt;0,ROUND(G115*G121,2),0)</f>
        <v>1140393.3700000001</v>
      </c>
      <c r="H124" s="1023"/>
      <c r="I124" s="1158">
        <f>IF(I121&gt;0,ROUND(I115*I121,2),0)</f>
        <v>904590.88</v>
      </c>
      <c r="J124" s="1023"/>
      <c r="K124" s="1158">
        <f>IF(K121&gt;0,ROUND(K115*K121,2),0)</f>
        <v>0</v>
      </c>
      <c r="L124" s="323"/>
      <c r="M124" s="1158">
        <f>(IF(E121&gt;0,(E113*E114)*E121,0))+(IF(G121&gt;0,(G113*G114)*G121,0))+(IF(K121&gt;0,(K113*K114)*I121,0))+(IF(I121&gt;0,(I113*I114)*I121,0))</f>
        <v>2053432.04</v>
      </c>
      <c r="N124" s="100"/>
      <c r="O124" s="100"/>
      <c r="AA124" s="138"/>
    </row>
    <row r="125" spans="1:27" ht="15" customHeight="1">
      <c r="A125" s="307"/>
      <c r="B125" s="307"/>
      <c r="C125" s="307"/>
      <c r="D125" s="307"/>
      <c r="E125" s="307"/>
      <c r="F125" s="307"/>
      <c r="G125" s="307"/>
      <c r="H125" s="307"/>
      <c r="I125" s="307"/>
      <c r="J125" s="307"/>
      <c r="K125" s="307"/>
      <c r="L125" s="307"/>
      <c r="M125" s="1151"/>
      <c r="N125" s="100"/>
      <c r="O125" s="100"/>
      <c r="AA125" s="138"/>
    </row>
    <row r="126" spans="1:27" ht="15" customHeight="1" thickBot="1">
      <c r="A126" s="1163" t="s">
        <v>663</v>
      </c>
      <c r="B126" s="307"/>
      <c r="C126" s="307"/>
      <c r="D126" s="307"/>
      <c r="E126" s="307"/>
      <c r="F126" s="307"/>
      <c r="G126" s="307"/>
      <c r="H126" s="307"/>
      <c r="I126" s="307"/>
      <c r="J126" s="307"/>
      <c r="K126" s="307"/>
      <c r="L126" s="307"/>
      <c r="M126" s="1151"/>
      <c r="N126" s="100"/>
      <c r="O126" s="100"/>
      <c r="AA126" s="138"/>
    </row>
    <row r="127" spans="1:27" ht="15" customHeight="1">
      <c r="A127" s="307" t="str">
        <f>_xlfn.CONCAT("FY",RIGHT(PriorFiscalYear,2)," District High School ADM")</f>
        <v>FY24 District High School ADM</v>
      </c>
      <c r="B127" s="307"/>
      <c r="C127" s="307"/>
      <c r="D127" s="307"/>
      <c r="E127" s="307"/>
      <c r="F127" s="307"/>
      <c r="G127" s="307"/>
      <c r="H127" s="307"/>
      <c r="I127" s="1033">
        <f>UnweightedStudCnt912PY</f>
        <v>1505.4936</v>
      </c>
      <c r="J127" s="307"/>
      <c r="K127" s="307"/>
      <c r="L127" s="307"/>
      <c r="M127" s="725"/>
      <c r="N127" s="100"/>
      <c r="O127" s="100"/>
      <c r="AA127" s="138"/>
    </row>
    <row r="128" spans="1:27" ht="15" customHeight="1">
      <c r="A128" s="307" t="s">
        <v>664</v>
      </c>
      <c r="B128" s="307"/>
      <c r="C128" s="307"/>
      <c r="D128" s="307"/>
      <c r="E128" s="307"/>
      <c r="F128" s="307"/>
      <c r="G128" s="307"/>
      <c r="H128" s="725" t="s">
        <v>505</v>
      </c>
      <c r="I128" s="1164">
        <v>84.93</v>
      </c>
      <c r="J128" s="307"/>
      <c r="K128" s="307"/>
      <c r="L128" s="307"/>
      <c r="M128" s="1151"/>
      <c r="N128" s="100"/>
      <c r="O128" s="100"/>
      <c r="AA128" s="138"/>
    </row>
    <row r="129" spans="1:28" ht="15" customHeight="1">
      <c r="A129" s="1039" t="s">
        <v>663</v>
      </c>
      <c r="B129" s="307"/>
      <c r="C129" s="307"/>
      <c r="D129" s="307"/>
      <c r="E129" s="307"/>
      <c r="F129" s="307"/>
      <c r="G129" s="307"/>
      <c r="H129" s="307"/>
      <c r="I129" s="725"/>
      <c r="J129" s="307"/>
      <c r="K129" s="307"/>
      <c r="L129" s="307"/>
      <c r="M129" s="1158">
        <f>IF(I127&gt;0,ROUND(+I127*I128,2),0)</f>
        <v>127861.57</v>
      </c>
      <c r="N129" s="100"/>
      <c r="O129" s="100"/>
      <c r="AA129" s="138"/>
    </row>
    <row r="130" spans="1:28" ht="15" customHeight="1">
      <c r="A130" s="307"/>
      <c r="B130" s="307"/>
      <c r="C130" s="307"/>
      <c r="D130" s="307"/>
      <c r="E130" s="307"/>
      <c r="F130" s="307"/>
      <c r="G130" s="307"/>
      <c r="H130" s="307"/>
      <c r="I130" s="307"/>
      <c r="J130" s="307"/>
      <c r="K130" s="307"/>
      <c r="L130" s="307"/>
      <c r="M130" s="1165"/>
      <c r="N130" s="100"/>
      <c r="O130" s="100"/>
      <c r="AA130" s="138"/>
    </row>
    <row r="131" spans="1:28" ht="15" customHeight="1" thickBot="1">
      <c r="A131" s="307"/>
      <c r="B131" s="307"/>
      <c r="C131" s="307"/>
      <c r="D131" s="307"/>
      <c r="E131" s="1166" t="s">
        <v>665</v>
      </c>
      <c r="F131" s="307"/>
      <c r="G131" s="1166" t="s">
        <v>454</v>
      </c>
      <c r="H131" s="307"/>
      <c r="I131" s="307"/>
      <c r="J131" s="307"/>
      <c r="K131" s="307"/>
      <c r="L131" s="307"/>
      <c r="M131" s="1165"/>
      <c r="N131" s="100"/>
      <c r="O131" s="100"/>
      <c r="AA131" s="138"/>
    </row>
    <row r="132" spans="1:28" ht="15" customHeight="1">
      <c r="A132" s="323" t="s">
        <v>666</v>
      </c>
      <c r="B132" s="307"/>
      <c r="C132" s="307"/>
      <c r="D132" s="307"/>
      <c r="E132" s="1137">
        <f>E124+G124</f>
        <v>1148841.1599999999</v>
      </c>
      <c r="F132" s="1167"/>
      <c r="G132" s="1137">
        <f>I124+M129</f>
        <v>1032452.45</v>
      </c>
      <c r="H132" s="307"/>
      <c r="I132" s="307"/>
      <c r="J132" s="307"/>
      <c r="K132" s="307"/>
      <c r="L132" s="307"/>
      <c r="M132" s="1158">
        <f>E132+G132+G133</f>
        <v>2181293.61</v>
      </c>
      <c r="N132" s="100"/>
      <c r="O132" s="100"/>
      <c r="AA132" s="138"/>
    </row>
    <row r="133" spans="1:28" ht="15" customHeight="1">
      <c r="A133" s="775" t="s">
        <v>655</v>
      </c>
      <c r="B133" s="307"/>
      <c r="C133" s="307"/>
      <c r="D133" s="395"/>
      <c r="E133" s="1137"/>
      <c r="F133" s="1167"/>
      <c r="G133" s="1137">
        <f>K124</f>
        <v>0</v>
      </c>
      <c r="H133" s="307"/>
      <c r="I133" s="307"/>
      <c r="J133" s="307"/>
      <c r="K133" s="307"/>
      <c r="L133" s="307"/>
      <c r="M133" s="1168"/>
      <c r="N133" s="100"/>
      <c r="O133" s="100"/>
      <c r="AA133" s="138"/>
    </row>
    <row r="134" spans="1:28" ht="15" customHeight="1" thickBot="1">
      <c r="A134" s="307"/>
      <c r="B134" s="307"/>
      <c r="C134" s="307"/>
      <c r="D134" s="307"/>
      <c r="E134" s="1152">
        <f>CapTransportAdjPSD+CapTransportAdjK8</f>
        <v>0</v>
      </c>
      <c r="F134" s="1167"/>
      <c r="G134" s="1152">
        <f>CapTransportAdj912</f>
        <v>0</v>
      </c>
      <c r="H134" s="307"/>
      <c r="I134" s="307"/>
      <c r="J134" s="307"/>
      <c r="K134" s="307"/>
      <c r="L134" s="307"/>
      <c r="M134" s="1169">
        <f>E134+G134</f>
        <v>0</v>
      </c>
      <c r="N134" s="100"/>
      <c r="O134" s="100"/>
      <c r="AA134" s="138"/>
    </row>
    <row r="135" spans="1:28" ht="15" customHeight="1">
      <c r="A135" s="323" t="s">
        <v>667</v>
      </c>
      <c r="B135" s="307"/>
      <c r="C135" s="307"/>
      <c r="D135" s="307"/>
      <c r="E135" s="1137">
        <f>SUM(E134)</f>
        <v>0</v>
      </c>
      <c r="F135" s="1167"/>
      <c r="G135" s="1137">
        <f>G134</f>
        <v>0</v>
      </c>
      <c r="H135" s="307"/>
      <c r="I135" s="307"/>
      <c r="J135" s="307"/>
      <c r="K135" s="307"/>
      <c r="L135" s="307"/>
      <c r="M135" s="1158">
        <f>E135+G135</f>
        <v>0</v>
      </c>
      <c r="N135" s="100"/>
      <c r="O135" s="100"/>
      <c r="AA135" s="138"/>
    </row>
    <row r="136" spans="1:28" ht="15" customHeight="1">
      <c r="A136" s="323" t="str">
        <f>_xlfn.CONCAT("Adjusted FY",(RIGHT(Cover!E3,2))," DAA Base Allocation")</f>
        <v>Adjusted FY25 DAA Base Allocation</v>
      </c>
      <c r="B136" s="307"/>
      <c r="C136" s="307"/>
      <c r="D136" s="307"/>
      <c r="E136" s="1137">
        <f>E132+E135</f>
        <v>1148841.1599999999</v>
      </c>
      <c r="F136" s="1167"/>
      <c r="G136" s="1137">
        <f>G135+G132+G133</f>
        <v>1032452.45</v>
      </c>
      <c r="H136" s="307"/>
      <c r="I136" s="307"/>
      <c r="J136" s="307"/>
      <c r="K136" s="307"/>
      <c r="L136" s="307"/>
      <c r="M136" s="1082">
        <f>E136+G136</f>
        <v>2181293.61</v>
      </c>
      <c r="N136" s="100"/>
      <c r="O136" s="100"/>
      <c r="AA136" s="138"/>
    </row>
    <row r="137" spans="1:28" ht="15" customHeight="1">
      <c r="E137" s="241"/>
      <c r="AA137" s="138"/>
    </row>
    <row r="138" spans="1:28" ht="15" customHeight="1">
      <c r="AA138" s="138"/>
    </row>
    <row r="139" spans="1:28" ht="15" customHeight="1">
      <c r="A139" s="400"/>
      <c r="B139" s="400"/>
      <c r="C139" s="400"/>
      <c r="D139" s="1571" t="str">
        <f>IF(DistrictName&lt;&gt;0,DistrictName,"")</f>
        <v xml:space="preserve">Prescott Unified </v>
      </c>
      <c r="E139" s="1571"/>
      <c r="F139" s="1571"/>
      <c r="G139" s="1571"/>
      <c r="H139" s="1571"/>
      <c r="I139" s="400"/>
      <c r="J139" s="400"/>
      <c r="K139" s="400"/>
      <c r="L139" s="400"/>
      <c r="M139" s="400"/>
    </row>
    <row r="140" spans="1:28" ht="34.5" customHeight="1">
      <c r="A140" s="399"/>
      <c r="B140" s="399"/>
      <c r="C140" s="399"/>
      <c r="D140" s="1886" t="s">
        <v>1092</v>
      </c>
      <c r="E140" s="1886"/>
      <c r="F140" s="1886"/>
      <c r="G140" s="1886"/>
      <c r="H140" s="1886"/>
      <c r="I140" s="399"/>
      <c r="J140" s="399"/>
      <c r="K140" s="399"/>
      <c r="L140" s="399"/>
      <c r="M140" s="399"/>
      <c r="AA140" s="1170" t="str">
        <f>IF(AND(VALUE(LEFT(RIGHT(L1,7),2))=3,DailyRteMilesPerElgStud&gt;1),0.18,IF(AND(VALUE(LEFT(RIGHT(L1,7),2))=3,DailyRteMilesPerElgStud&lt;=1),0.15," "))</f>
        <v xml:space="preserve"> </v>
      </c>
    </row>
    <row r="141" spans="1:28" ht="15" customHeight="1" thickBot="1">
      <c r="A141" s="1027"/>
      <c r="B141" s="1027"/>
      <c r="C141" s="1027"/>
      <c r="D141" s="1027"/>
      <c r="E141" s="1027"/>
      <c r="F141" s="1026" t="s">
        <v>593</v>
      </c>
      <c r="G141" s="1027" t="str">
        <f>IF(AND(SmallIsolatedPSD8Checkbox="X",SmallIsolated912Checkbox="X"),"Elementary and High School",IF(SmallIsolatedPSD8Checkbox="X","Elementary",IF(SmallIsolated912Checkbox="X","High School","Not Isolated")))</f>
        <v>Not Isolated</v>
      </c>
      <c r="H141" s="1027"/>
      <c r="I141" s="1027"/>
      <c r="J141" s="1027"/>
      <c r="K141" s="1027"/>
      <c r="L141" s="1028" t="s">
        <v>594</v>
      </c>
      <c r="M141" s="1028" t="s">
        <v>668</v>
      </c>
      <c r="AA141" s="1170">
        <f>IF(AND(VALUE(LEFT(RIGHT(L1,7),2))=2,DailyRteMilesPerElgStud&gt;1),0.18,IF(AND(VALUE(LEFT(RIGHT(L1,7),2))=2,DailyRteMilesPerElgStud&lt;=1),0.15," "))</f>
        <v>0.18</v>
      </c>
      <c r="AB141" s="285"/>
    </row>
    <row r="142" spans="1:28" ht="15" customHeight="1">
      <c r="A142" s="1171" t="s">
        <v>669</v>
      </c>
      <c r="B142" s="307"/>
      <c r="C142" s="307"/>
      <c r="D142" s="307"/>
      <c r="E142" s="389"/>
      <c r="F142" s="307"/>
      <c r="G142" s="389"/>
      <c r="H142" s="307"/>
      <c r="I142" s="1891" t="s">
        <v>670</v>
      </c>
      <c r="J142" s="389"/>
      <c r="K142" s="307"/>
      <c r="L142" s="389"/>
      <c r="M142" s="1102"/>
      <c r="N142" s="100"/>
      <c r="AA142" s="1170" t="str">
        <f>IF(AND(VALUE(LEFT(RIGHT(L1,7),2))=4,DailyRteMilesPerElgStud&gt;1),0.12,IF(AND(VALUE(LEFT(RIGHT(L1,7),2))=4,DailyRteMilesPerElgStud&lt;=1),0.1," "))</f>
        <v xml:space="preserve"> </v>
      </c>
    </row>
    <row r="143" spans="1:28" ht="15" customHeight="1" thickBot="1">
      <c r="A143" s="307"/>
      <c r="B143" s="307"/>
      <c r="C143" s="307"/>
      <c r="D143" s="307"/>
      <c r="E143" s="1172" t="s">
        <v>671</v>
      </c>
      <c r="F143" s="307"/>
      <c r="G143" s="1166" t="s">
        <v>672</v>
      </c>
      <c r="H143" s="307"/>
      <c r="I143" s="1892"/>
      <c r="J143" s="389"/>
      <c r="K143" s="307"/>
      <c r="L143" s="1166" t="str">
        <f>_xlfn.CONCAT("FY",(RIGHT(Cover!E3,2))," DSL/RCL Allocation")</f>
        <v>FY25 DSL/RCL Allocation</v>
      </c>
      <c r="M143" s="1102"/>
      <c r="N143" s="100"/>
      <c r="AA143" s="1170" t="str">
        <f>IF(AND(VALUE(LEFT(RIGHT(L1,7),2))=5,DailyRteMilesPerElgStud&gt;1),0.3,IF(AND(VALUE(LEFT(RIGHT(L1,7),2))=5,DailyRteMilesPerElgStud&lt;=1),0.25," "))</f>
        <v xml:space="preserve"> </v>
      </c>
    </row>
    <row r="144" spans="1:28" ht="15" customHeight="1">
      <c r="A144" s="307" t="s">
        <v>665</v>
      </c>
      <c r="B144" s="307"/>
      <c r="C144" s="307"/>
      <c r="D144" s="307"/>
      <c r="E144" s="1033">
        <f>((C7*F7)+(D7*F7)+(E7*F7)+(C8*F8)+(D8*F8)+(E8*F8))</f>
        <v>2450.0011</v>
      </c>
      <c r="F144" s="307"/>
      <c r="G144" s="1173">
        <f>ROUND(IF(E146&gt;0,(((C7*F7)+(D7*F7)+(E7*F7)+(C8*F8)+(D8*F8)+(E8*F8))/(((C7*F7)+(D7*F7)+(E7*F7)+(C8*F8)+(D8*F8)+(E8*F8))+((C9*F9)+(D9*F9)+(E9*F9)))),0),10)</f>
        <v>0.55960928239999996</v>
      </c>
      <c r="H144" s="725" t="s">
        <v>505</v>
      </c>
      <c r="I144" s="1174">
        <f>IF(VALUE(LEFT(RIGHT(L1,7),2))=3,G144*J90,MIN(DSL,RCL))</f>
        <v>26912729.02</v>
      </c>
      <c r="J144" s="1175"/>
      <c r="K144" s="307"/>
      <c r="L144" s="1176">
        <f>G144*I144</f>
        <v>15060612.970000001</v>
      </c>
      <c r="M144" s="1102"/>
      <c r="N144" s="100"/>
      <c r="AA144" s="1170"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47" t="s">
        <v>454</v>
      </c>
      <c r="B145" s="307"/>
      <c r="C145" s="307"/>
      <c r="D145" s="307"/>
      <c r="E145" s="1033">
        <f>((C9*F9)+(D9*F9)+(E9*F9))</f>
        <v>1928.0554999999999</v>
      </c>
      <c r="F145" s="307"/>
      <c r="G145" s="1173">
        <f>ROUND(IF(E146&gt;0,(((C9*F9)+(D9*F9)+(E9*F9))/(((C7*F7)+(D7*F7)+(E7*F7)+(C8*F8)+(D8*F8)+(E8*F8))+((C9*F9)+(D9*F9)+(E9*F9)))),0),10)</f>
        <v>0.44039071759999998</v>
      </c>
      <c r="H145" s="725" t="s">
        <v>505</v>
      </c>
      <c r="I145" s="1174">
        <f>IF(VALUE(LEFT(RIGHT(L1,7),2))=3,G144*J90,MIN(DSL,RCL))</f>
        <v>26912729.02</v>
      </c>
      <c r="J145" s="1175"/>
      <c r="K145" s="725" t="s">
        <v>506</v>
      </c>
      <c r="L145" s="1167">
        <f>G145*I145</f>
        <v>11852116.050000001</v>
      </c>
      <c r="M145" s="1102"/>
      <c r="N145" s="100"/>
      <c r="AA145" s="138"/>
    </row>
    <row r="146" spans="1:27" ht="15" customHeight="1" thickBot="1">
      <c r="A146" s="1172" t="s">
        <v>413</v>
      </c>
      <c r="B146" s="1027"/>
      <c r="C146" s="1027"/>
      <c r="D146" s="1027"/>
      <c r="E146" s="1177">
        <f>E144+E145</f>
        <v>4378.0565999999999</v>
      </c>
      <c r="F146" s="1027"/>
      <c r="G146" s="1027"/>
      <c r="H146" s="1027"/>
      <c r="I146" s="1027"/>
      <c r="J146" s="1027"/>
      <c r="K146" s="1027"/>
      <c r="L146" s="1178">
        <f>SUM(L144:L145)</f>
        <v>26912729.02</v>
      </c>
      <c r="M146" s="1119"/>
      <c r="N146" s="100"/>
      <c r="AA146" s="138"/>
    </row>
    <row r="147" spans="1:27" ht="15" customHeight="1">
      <c r="A147" s="307"/>
      <c r="B147" s="307"/>
      <c r="C147" s="307"/>
      <c r="D147" s="307"/>
      <c r="E147" s="307"/>
      <c r="F147" s="307"/>
      <c r="G147" s="307"/>
      <c r="H147" s="307"/>
      <c r="I147" s="307"/>
      <c r="J147" s="307"/>
      <c r="K147" s="307"/>
      <c r="L147" s="307"/>
      <c r="M147" s="1102"/>
      <c r="N147" s="100"/>
      <c r="AA147" s="138"/>
    </row>
    <row r="148" spans="1:27" ht="15" customHeight="1" thickBot="1">
      <c r="A148" s="1171" t="s">
        <v>673</v>
      </c>
      <c r="B148" s="307"/>
      <c r="C148" s="307"/>
      <c r="D148" s="307"/>
      <c r="E148" s="1166" t="s">
        <v>665</v>
      </c>
      <c r="F148" s="307"/>
      <c r="G148" s="1166" t="s">
        <v>674</v>
      </c>
      <c r="H148" s="307"/>
      <c r="I148" s="307"/>
      <c r="J148" s="307"/>
      <c r="K148" s="307"/>
      <c r="L148" s="1166" t="s">
        <v>413</v>
      </c>
      <c r="M148" s="1102"/>
      <c r="N148" s="100"/>
      <c r="AA148" s="138"/>
    </row>
    <row r="149" spans="1:27" ht="15" customHeight="1">
      <c r="A149" s="307" t="s">
        <v>675</v>
      </c>
      <c r="B149" s="307"/>
      <c r="C149" s="307"/>
      <c r="D149" s="307"/>
      <c r="E149" s="1137">
        <f>PAV</f>
        <v>1300318710</v>
      </c>
      <c r="F149" s="1167"/>
      <c r="G149" s="1137">
        <f>PAV</f>
        <v>1300318710</v>
      </c>
      <c r="H149" s="307"/>
      <c r="I149" s="307"/>
      <c r="J149" s="307"/>
      <c r="K149" s="307"/>
      <c r="L149" s="307"/>
      <c r="M149" s="1102"/>
      <c r="N149" s="100"/>
      <c r="AA149" s="138"/>
    </row>
    <row r="150" spans="1:27" ht="15" customHeight="1">
      <c r="A150" s="307" t="s">
        <v>676</v>
      </c>
      <c r="B150" s="307"/>
      <c r="C150" s="307"/>
      <c r="D150" s="307"/>
      <c r="E150" s="1137">
        <f>_PAV2</f>
        <v>0</v>
      </c>
      <c r="F150" s="1167"/>
      <c r="G150" s="1137">
        <f>_PAV2</f>
        <v>0</v>
      </c>
      <c r="H150" s="307"/>
      <c r="I150" s="307"/>
      <c r="J150" s="307"/>
      <c r="K150" s="307"/>
      <c r="L150" s="307"/>
      <c r="M150" s="1102"/>
      <c r="N150" s="100"/>
      <c r="AA150" s="138"/>
    </row>
    <row r="151" spans="1:27" ht="15" customHeight="1">
      <c r="A151" s="307" t="s">
        <v>677</v>
      </c>
      <c r="B151" s="307"/>
      <c r="C151" s="307"/>
      <c r="D151" s="307"/>
      <c r="E151" s="1137">
        <f>SRPV</f>
        <v>0</v>
      </c>
      <c r="F151" s="1167"/>
      <c r="G151" s="1137">
        <f>SRPV</f>
        <v>0</v>
      </c>
      <c r="H151" s="307"/>
      <c r="I151" s="307"/>
      <c r="J151" s="307"/>
      <c r="K151" s="307"/>
      <c r="L151" s="307"/>
      <c r="M151" s="1102"/>
      <c r="N151" s="100"/>
      <c r="AA151" s="138"/>
    </row>
    <row r="152" spans="1:27" ht="15" customHeight="1" thickBot="1">
      <c r="A152" s="307" t="s">
        <v>678</v>
      </c>
      <c r="B152" s="307"/>
      <c r="C152" s="307"/>
      <c r="D152" s="307"/>
      <c r="E152" s="1138">
        <f>GPLETV</f>
        <v>0</v>
      </c>
      <c r="F152" s="1167"/>
      <c r="G152" s="1138">
        <f>GPLETV</f>
        <v>0</v>
      </c>
      <c r="H152" s="307"/>
      <c r="I152" s="307"/>
      <c r="J152" s="307"/>
      <c r="K152" s="307"/>
      <c r="L152" s="307"/>
      <c r="M152" s="1102"/>
      <c r="N152" s="100"/>
      <c r="AA152" s="138"/>
    </row>
    <row r="153" spans="1:27" ht="15" customHeight="1">
      <c r="A153" s="323" t="s">
        <v>679</v>
      </c>
      <c r="B153" s="307"/>
      <c r="C153" s="307"/>
      <c r="D153" s="307"/>
      <c r="E153" s="1137">
        <f>SUM(E149:E152)</f>
        <v>1300318710</v>
      </c>
      <c r="F153" s="1167"/>
      <c r="G153" s="1137">
        <f>SUM(G149:G152)</f>
        <v>1300318710</v>
      </c>
      <c r="H153" s="307"/>
      <c r="I153" s="307"/>
      <c r="J153" s="307"/>
      <c r="K153" s="307"/>
      <c r="L153" s="307"/>
      <c r="M153" s="1102"/>
      <c r="N153" s="100"/>
      <c r="AA153" s="138"/>
    </row>
    <row r="154" spans="1:27" ht="15" customHeight="1" thickBot="1">
      <c r="A154" s="307"/>
      <c r="B154" s="307"/>
      <c r="C154" s="307"/>
      <c r="D154" s="725" t="s">
        <v>660</v>
      </c>
      <c r="E154" s="1026">
        <v>100</v>
      </c>
      <c r="F154" s="725" t="s">
        <v>660</v>
      </c>
      <c r="G154" s="1026">
        <v>100</v>
      </c>
      <c r="H154" s="307"/>
      <c r="I154" s="307"/>
      <c r="J154" s="307"/>
      <c r="K154" s="307"/>
      <c r="L154" s="307"/>
      <c r="M154" s="1102"/>
      <c r="N154" s="100"/>
      <c r="AA154" s="138"/>
    </row>
    <row r="155" spans="1:27" ht="15" customHeight="1">
      <c r="A155" s="307"/>
      <c r="B155" s="307"/>
      <c r="C155" s="307"/>
      <c r="D155" s="307"/>
      <c r="E155" s="1137">
        <f>E153/E154</f>
        <v>13003187.1</v>
      </c>
      <c r="F155" s="1167"/>
      <c r="G155" s="1137">
        <f>G153/G154</f>
        <v>13003187.1</v>
      </c>
      <c r="H155" s="307"/>
      <c r="I155" s="307"/>
      <c r="J155" s="307"/>
      <c r="K155" s="307"/>
      <c r="L155" s="307"/>
      <c r="M155" s="1102"/>
      <c r="N155" s="100"/>
      <c r="AA155" s="138"/>
    </row>
    <row r="156" spans="1:27" ht="15" customHeight="1" thickBot="1">
      <c r="A156" s="307" t="s">
        <v>680</v>
      </c>
      <c r="B156" s="307"/>
      <c r="C156" s="307"/>
      <c r="D156" s="725" t="s">
        <v>505</v>
      </c>
      <c r="E156" s="1161">
        <f>IF(VALUE(LEFT(RIGHT(L1,7),2))=8,0.05,QTR)</f>
        <v>1.593</v>
      </c>
      <c r="F156" s="725" t="s">
        <v>505</v>
      </c>
      <c r="G156" s="1161">
        <f>IF(VALUE(LEFT(RIGHT(L1,7),2))=8,0.05,QTR)</f>
        <v>1.593</v>
      </c>
      <c r="H156" s="307"/>
      <c r="I156" s="307"/>
      <c r="J156" s="307"/>
      <c r="K156" s="307"/>
      <c r="L156" s="307"/>
      <c r="M156" s="1102"/>
      <c r="N156" s="100"/>
      <c r="AA156" s="138"/>
    </row>
    <row r="157" spans="1:27" ht="15" customHeight="1">
      <c r="A157" s="323" t="str">
        <f>_xlfn.CONCAT("FY",(RIGHT(Cover!E3,2))," Qualifying Levy")</f>
        <v>FY25 Qualifying Levy</v>
      </c>
      <c r="B157" s="307"/>
      <c r="C157" s="307"/>
      <c r="D157" s="307"/>
      <c r="E157" s="1137">
        <f>E155*E156</f>
        <v>20714077.050000001</v>
      </c>
      <c r="F157" s="1167"/>
      <c r="G157" s="1137">
        <f>G155*G156</f>
        <v>20714077.050000001</v>
      </c>
      <c r="H157" s="1167"/>
      <c r="I157" s="1167"/>
      <c r="J157" s="1167"/>
      <c r="K157" s="1167"/>
      <c r="L157" s="1137">
        <f>E157+G157</f>
        <v>41428154.100000001</v>
      </c>
      <c r="M157" s="1102"/>
      <c r="N157" s="100"/>
      <c r="AA157" s="138"/>
    </row>
    <row r="158" spans="1:27" ht="15" customHeight="1" thickBot="1">
      <c r="A158" s="1027"/>
      <c r="B158" s="1027"/>
      <c r="C158" s="1027"/>
      <c r="D158" s="1027"/>
      <c r="E158" s="1027"/>
      <c r="F158" s="1027"/>
      <c r="G158" s="1027"/>
      <c r="H158" s="1027"/>
      <c r="I158" s="1027"/>
      <c r="J158" s="1027"/>
      <c r="K158" s="1027"/>
      <c r="L158" s="1027"/>
      <c r="M158" s="1119"/>
      <c r="N158" s="100"/>
      <c r="AA158" s="138"/>
    </row>
    <row r="159" spans="1:27" ht="15" customHeight="1">
      <c r="A159" s="389"/>
      <c r="B159" s="307"/>
      <c r="C159" s="307"/>
      <c r="D159" s="307"/>
      <c r="E159" s="307"/>
      <c r="F159" s="307"/>
      <c r="G159" s="307"/>
      <c r="H159" s="307"/>
      <c r="I159" s="307"/>
      <c r="J159" s="307"/>
      <c r="K159" s="307"/>
      <c r="L159" s="307"/>
      <c r="M159" s="1102"/>
      <c r="N159" s="100"/>
      <c r="AA159" s="138"/>
    </row>
    <row r="160" spans="1:27" ht="15" customHeight="1">
      <c r="A160" s="1103" t="s">
        <v>681</v>
      </c>
      <c r="B160" s="307"/>
      <c r="C160" s="307"/>
      <c r="D160" s="307"/>
      <c r="E160" s="307"/>
      <c r="F160" s="307"/>
      <c r="G160" s="307"/>
      <c r="H160" s="307"/>
      <c r="I160" s="307"/>
      <c r="J160" s="307"/>
      <c r="K160" s="307"/>
      <c r="L160" s="307"/>
      <c r="M160" s="1102"/>
      <c r="N160" s="100"/>
      <c r="AA160" s="138"/>
    </row>
    <row r="161" spans="1:27" ht="15" customHeight="1" thickBot="1">
      <c r="A161" s="307"/>
      <c r="B161" s="307"/>
      <c r="C161" s="307"/>
      <c r="D161" s="307"/>
      <c r="E161" s="1166" t="s">
        <v>665</v>
      </c>
      <c r="F161" s="307"/>
      <c r="G161" s="1166" t="s">
        <v>454</v>
      </c>
      <c r="H161" s="307"/>
      <c r="I161" s="307"/>
      <c r="J161" s="307"/>
      <c r="K161" s="307"/>
      <c r="L161" s="1166" t="s">
        <v>413</v>
      </c>
      <c r="M161" s="1102"/>
      <c r="N161" s="100"/>
      <c r="AA161" s="138"/>
    </row>
    <row r="162" spans="1:27" ht="15" customHeight="1">
      <c r="A162" s="307" t="s">
        <v>682</v>
      </c>
      <c r="B162" s="307"/>
      <c r="C162" s="307"/>
      <c r="D162" s="307"/>
      <c r="E162" s="1137">
        <f>L144</f>
        <v>15060612.970000001</v>
      </c>
      <c r="F162" s="307"/>
      <c r="G162" s="1137">
        <f>L145</f>
        <v>11852116.050000001</v>
      </c>
      <c r="H162" s="307"/>
      <c r="I162" s="307"/>
      <c r="J162" s="307"/>
      <c r="K162" s="307"/>
      <c r="L162" s="1137">
        <f>E162+G162</f>
        <v>26912729.02</v>
      </c>
      <c r="M162" s="1102"/>
      <c r="N162" s="100"/>
      <c r="AA162" s="138"/>
    </row>
    <row r="163" spans="1:27" ht="15" customHeight="1">
      <c r="A163" s="307" t="s">
        <v>683</v>
      </c>
      <c r="B163" s="307"/>
      <c r="C163" s="307"/>
      <c r="D163" s="725" t="s">
        <v>506</v>
      </c>
      <c r="E163" s="1137">
        <f>E136</f>
        <v>1148841.1599999999</v>
      </c>
      <c r="F163" s="725" t="s">
        <v>506</v>
      </c>
      <c r="G163" s="1137">
        <f>G136</f>
        <v>1032452.45</v>
      </c>
      <c r="H163" s="307"/>
      <c r="I163" s="307"/>
      <c r="J163" s="307"/>
      <c r="K163" s="725" t="s">
        <v>506</v>
      </c>
      <c r="L163" s="1137">
        <f>E163+G163</f>
        <v>2181293.61</v>
      </c>
      <c r="M163" s="1102"/>
      <c r="N163" s="100"/>
      <c r="AA163" s="138"/>
    </row>
    <row r="164" spans="1:27" ht="15" customHeight="1">
      <c r="A164" s="323" t="str">
        <f>_xlfn.CONCAT("FY",(RIGHT(Cover!E3,2))," Equalization Base")</f>
        <v>FY25 Equalization Base</v>
      </c>
      <c r="B164" s="307"/>
      <c r="C164" s="307"/>
      <c r="D164" s="725"/>
      <c r="E164" s="1137">
        <f>SUM(E162:E163)</f>
        <v>16209454.130000001</v>
      </c>
      <c r="F164" s="307"/>
      <c r="G164" s="1156">
        <f>SUM(G162:G163)</f>
        <v>12884568.5</v>
      </c>
      <c r="H164" s="307"/>
      <c r="I164" s="307"/>
      <c r="J164" s="307"/>
      <c r="K164" s="725"/>
      <c r="L164" s="1156">
        <f>EqualBasePSD8+EqualBase912</f>
        <v>29094022.629999999</v>
      </c>
      <c r="M164" s="1102"/>
      <c r="N164" s="100"/>
      <c r="AA164" s="138"/>
    </row>
    <row r="165" spans="1:27" ht="15" customHeight="1" thickBot="1">
      <c r="A165" s="323" t="str">
        <f>_xlfn.CONCAT("FY",(RIGHT(Cover!E3,2))," Applied Qualifying Levy")</f>
        <v>FY25 Applied Qualifying Levy</v>
      </c>
      <c r="B165" s="307"/>
      <c r="C165" s="307"/>
      <c r="D165" s="725" t="s">
        <v>502</v>
      </c>
      <c r="E165" s="1138">
        <f>MIN(IF(VALUE(LEFT(RIGHT(L1,7),2))=8,0,IF(E150&gt;0,(E149+E151+E152)*E156/100,E153*E156/100)),EqualBasePSD8)</f>
        <v>16209454.130000001</v>
      </c>
      <c r="F165" s="725" t="s">
        <v>502</v>
      </c>
      <c r="G165" s="1138">
        <f>MIN(IF(G150&gt;0,(G150+G151+G152)*G156/100,G153*G156/100),EqualBase912)</f>
        <v>12884568.5</v>
      </c>
      <c r="H165" s="307"/>
      <c r="I165" s="307"/>
      <c r="J165" s="307"/>
      <c r="K165" s="725" t="s">
        <v>502</v>
      </c>
      <c r="L165" s="1138">
        <f>QLPSD8+_QL912</f>
        <v>29094022.629999999</v>
      </c>
      <c r="M165" s="1102"/>
      <c r="N165" s="100"/>
      <c r="AA165" s="138"/>
    </row>
    <row r="166" spans="1:27" ht="15" customHeight="1">
      <c r="A166" s="323" t="str">
        <f>_xlfn.CONCAT("FY",(RIGHT(Cover!E3,2))," Equalization Assistance")</f>
        <v>FY25 Equalization Assistance</v>
      </c>
      <c r="B166" s="307"/>
      <c r="C166" s="307"/>
      <c r="D166" s="307"/>
      <c r="E166" s="1156">
        <f>IF(E164-E165&lt;0,0,E164-E165)</f>
        <v>0</v>
      </c>
      <c r="F166" s="307"/>
      <c r="G166" s="1156">
        <f>IF(G164-G165&lt;0,0,G164-G165)</f>
        <v>0</v>
      </c>
      <c r="H166" s="307"/>
      <c r="I166" s="307"/>
      <c r="J166" s="307"/>
      <c r="K166" s="307"/>
      <c r="L166" s="1156">
        <f>E166+G166</f>
        <v>0</v>
      </c>
      <c r="M166" s="1102"/>
      <c r="AA166" s="138"/>
    </row>
    <row r="167" spans="1:27" ht="15" customHeight="1">
      <c r="AA167" s="138"/>
    </row>
    <row r="168" spans="1:27" ht="15" customHeight="1">
      <c r="AA168" s="138">
        <f>IF(VALUE(LEFT(RIGHT(L1,7),2))=8,Calculations!O77,IF(AND(UnweightedStudCnt912PY+HSCountDORtoDOA&gt;0,UnweightedStudCnt912PY+HSCountDORtoDOA&lt;100),Calculations!O52,IF(AND(Calculations!O56&gt;0),Calculations!O63,IF(AND(Calculations!O67&gt;0),Calculations!O74,IF(UnweightedStudCnt912PY+HSCountDORtoDOA&gt;=600,Calculations!O77,0)))))</f>
        <v>600.86</v>
      </c>
    </row>
    <row r="169" spans="1:27" ht="15" customHeight="1">
      <c r="AA169" s="138"/>
    </row>
    <row r="170" spans="1:27" ht="15" customHeight="1">
      <c r="AA170" s="138"/>
    </row>
    <row r="171" spans="1:27" ht="15" customHeight="1">
      <c r="AA171" s="138"/>
    </row>
    <row r="172" spans="1:27" ht="15" customHeight="1">
      <c r="AA172" s="138"/>
    </row>
    <row r="173" spans="1:27" ht="15" customHeight="1">
      <c r="AA173" s="138"/>
    </row>
    <row r="174" spans="1:27" ht="15" customHeight="1">
      <c r="AA174" s="138"/>
    </row>
    <row r="175" spans="1:27" ht="15" customHeight="1">
      <c r="AA175" s="138"/>
    </row>
    <row r="176" spans="1:27" ht="15" customHeight="1">
      <c r="AA176" s="138"/>
    </row>
    <row r="177" spans="27:27" ht="15" customHeight="1">
      <c r="AA177" s="138"/>
    </row>
    <row r="178" spans="27:27" ht="15" customHeight="1">
      <c r="AA178" s="138"/>
    </row>
    <row r="179" spans="27:27" ht="15" customHeight="1">
      <c r="AA179" s="138"/>
    </row>
    <row r="180" spans="27:27" ht="15" customHeight="1">
      <c r="AA180" s="138"/>
    </row>
    <row r="181" spans="27:27" ht="15" customHeight="1">
      <c r="AA181" s="138"/>
    </row>
    <row r="182" spans="27:27" ht="15" customHeight="1">
      <c r="AA182" s="138"/>
    </row>
    <row r="183" spans="27:27" ht="15" customHeight="1">
      <c r="AA183" s="138"/>
    </row>
    <row r="184" spans="27:27" ht="15" customHeight="1">
      <c r="AA184" s="138"/>
    </row>
    <row r="185" spans="27:27" ht="15" customHeight="1">
      <c r="AA185" s="138"/>
    </row>
    <row r="186" spans="27:27" ht="15" customHeight="1">
      <c r="AA186" s="138"/>
    </row>
    <row r="187" spans="27:27" ht="15" customHeight="1">
      <c r="AA187" s="138"/>
    </row>
    <row r="188" spans="27:27" ht="15" customHeight="1">
      <c r="AA188" s="138"/>
    </row>
    <row r="189" spans="27:27" ht="15" customHeight="1">
      <c r="AA189" s="138"/>
    </row>
    <row r="190" spans="27:27" ht="15" customHeight="1">
      <c r="AA190" s="138"/>
    </row>
    <row r="191" spans="27:27" ht="15" customHeight="1">
      <c r="AA191" s="138"/>
    </row>
    <row r="192" spans="27:27" ht="15" customHeight="1">
      <c r="AA192" s="138"/>
    </row>
    <row r="193" spans="27:27" ht="15" customHeight="1">
      <c r="AA193" s="138"/>
    </row>
    <row r="194" spans="27:27" ht="15" customHeight="1">
      <c r="AA194" s="138"/>
    </row>
    <row r="195" spans="27:27" ht="15" customHeight="1">
      <c r="AA195" s="138"/>
    </row>
    <row r="196" spans="27:27" ht="15" customHeight="1">
      <c r="AA196" s="138"/>
    </row>
    <row r="197" spans="27:27" ht="15" customHeight="1">
      <c r="AA197" s="138"/>
    </row>
    <row r="198" spans="27:27" ht="15" customHeight="1">
      <c r="AA198" s="138"/>
    </row>
    <row r="199" spans="27:27" ht="15" customHeight="1">
      <c r="AA199" s="138"/>
    </row>
    <row r="200" spans="27:27" ht="15" customHeight="1">
      <c r="AA200" s="138"/>
    </row>
    <row r="201" spans="27:27" ht="15" customHeight="1">
      <c r="AA201" s="138"/>
    </row>
    <row r="202" spans="27:27" ht="15" customHeight="1">
      <c r="AA202" s="138"/>
    </row>
    <row r="203" spans="27:27" ht="15" customHeight="1">
      <c r="AA203" s="138"/>
    </row>
    <row r="204" spans="27:27" ht="15" customHeight="1">
      <c r="AA204" s="138"/>
    </row>
    <row r="205" spans="27:27" ht="15" customHeight="1">
      <c r="AA205" s="138"/>
    </row>
    <row r="206" spans="27:27" ht="15" customHeight="1">
      <c r="AA206" s="138"/>
    </row>
    <row r="207" spans="27:27" ht="15" customHeight="1">
      <c r="AA207" s="138"/>
    </row>
    <row r="208" spans="27:27" ht="15" customHeight="1">
      <c r="AA208" s="138"/>
    </row>
    <row r="209" spans="27:27" ht="15" customHeight="1">
      <c r="AA209" s="138"/>
    </row>
    <row r="210" spans="27:27" ht="15" customHeight="1">
      <c r="AA210" s="138"/>
    </row>
    <row r="211" spans="27:27" ht="15" customHeight="1">
      <c r="AA211" s="138"/>
    </row>
    <row r="212" spans="27:27" ht="15" customHeight="1">
      <c r="AA212" s="138"/>
    </row>
    <row r="213" spans="27:27" ht="15" customHeight="1">
      <c r="AA213" s="138"/>
    </row>
    <row r="214" spans="27:27" ht="15" customHeight="1">
      <c r="AA214" s="138"/>
    </row>
    <row r="215" spans="27:27" ht="15" customHeight="1">
      <c r="AA215" s="138"/>
    </row>
    <row r="216" spans="27:27" ht="15" customHeight="1">
      <c r="AA216" s="138"/>
    </row>
    <row r="217" spans="27:27" ht="15" customHeight="1">
      <c r="AA217" s="138"/>
    </row>
    <row r="218" spans="27:27" ht="15" customHeight="1">
      <c r="AA218" s="138"/>
    </row>
    <row r="219" spans="27:27" ht="15" customHeight="1">
      <c r="AA219" s="138"/>
    </row>
    <row r="220" spans="27:27" ht="15" customHeight="1">
      <c r="AA220" s="138"/>
    </row>
    <row r="221" spans="27:27" ht="15" customHeight="1">
      <c r="AA221" s="138"/>
    </row>
    <row r="222" spans="27:27" ht="15" customHeight="1">
      <c r="AA222" s="138"/>
    </row>
    <row r="223" spans="27:27" ht="15" customHeight="1">
      <c r="AA223" s="138"/>
    </row>
    <row r="224" spans="27:27" ht="15" customHeight="1">
      <c r="AA224" s="138"/>
    </row>
    <row r="225" spans="27:27" ht="15" customHeight="1">
      <c r="AA225" s="138"/>
    </row>
    <row r="226" spans="27:27" ht="15" customHeight="1">
      <c r="AA226" s="138"/>
    </row>
    <row r="227" spans="27:27" ht="15" customHeight="1">
      <c r="AA227" s="138"/>
    </row>
    <row r="228" spans="27:27" ht="15" customHeight="1">
      <c r="AA228" s="138"/>
    </row>
    <row r="229" spans="27:27" ht="15" customHeight="1">
      <c r="AA229" s="138"/>
    </row>
    <row r="230" spans="27:27" ht="15" customHeight="1">
      <c r="AA230" s="138"/>
    </row>
    <row r="231" spans="27:27" ht="15" customHeight="1">
      <c r="AA231" s="138"/>
    </row>
    <row r="232" spans="27:27" ht="15" customHeight="1">
      <c r="AA232" s="138"/>
    </row>
    <row r="233" spans="27:27" ht="15" customHeight="1">
      <c r="AA233" s="138"/>
    </row>
    <row r="234" spans="27:27" ht="15" customHeight="1">
      <c r="AA234" s="138"/>
    </row>
    <row r="235" spans="27:27" ht="15" customHeight="1">
      <c r="AA235" s="138"/>
    </row>
    <row r="236" spans="27:27" ht="15" customHeight="1">
      <c r="AA236" s="138"/>
    </row>
    <row r="237" spans="27:27" ht="15" customHeight="1">
      <c r="AA237" s="138"/>
    </row>
    <row r="238" spans="27:27" ht="15" customHeight="1">
      <c r="AA238" s="138"/>
    </row>
    <row r="239" spans="27:27" ht="15" customHeight="1">
      <c r="AA239" s="138"/>
    </row>
    <row r="240" spans="27:27" ht="15" customHeight="1">
      <c r="AA240" s="138"/>
    </row>
    <row r="241" spans="27:27" ht="15" customHeight="1">
      <c r="AA241" s="138"/>
    </row>
    <row r="242" spans="27:27" ht="15" customHeight="1">
      <c r="AA242" s="138"/>
    </row>
    <row r="243" spans="27:27" ht="15" customHeight="1">
      <c r="AA243" s="138"/>
    </row>
    <row r="244" spans="27:27" ht="15" customHeight="1">
      <c r="AA244" s="138"/>
    </row>
    <row r="245" spans="27:27" ht="15" customHeight="1">
      <c r="AA245" s="138"/>
    </row>
    <row r="246" spans="27:27" ht="15" customHeight="1">
      <c r="AA246" s="138"/>
    </row>
    <row r="247" spans="27:27" ht="15" customHeight="1">
      <c r="AA247" s="138"/>
    </row>
    <row r="248" spans="27:27" ht="15" customHeight="1">
      <c r="AA248" s="138"/>
    </row>
    <row r="249" spans="27:27" ht="15" customHeight="1">
      <c r="AA249" s="138"/>
    </row>
    <row r="250" spans="27:27" ht="15" customHeight="1">
      <c r="AA250" s="138"/>
    </row>
    <row r="251" spans="27:27" ht="15" customHeight="1">
      <c r="AA251" s="138"/>
    </row>
    <row r="252" spans="27:27" ht="15" customHeight="1">
      <c r="AA252" s="138"/>
    </row>
    <row r="253" spans="27:27" ht="15" customHeight="1">
      <c r="AA253" s="138"/>
    </row>
    <row r="254" spans="27:27" ht="15" customHeight="1">
      <c r="AA254" s="138"/>
    </row>
    <row r="255" spans="27:27" ht="15" customHeight="1">
      <c r="AA255" s="138"/>
    </row>
    <row r="256" spans="27:27" ht="15" customHeight="1">
      <c r="AA256" s="138"/>
    </row>
    <row r="257" spans="27:27" ht="15" customHeight="1">
      <c r="AA257" s="138"/>
    </row>
    <row r="258" spans="27:27" ht="15" customHeight="1">
      <c r="AA258" s="138"/>
    </row>
    <row r="259" spans="27:27" ht="15" customHeight="1">
      <c r="AA259" s="138"/>
    </row>
    <row r="260" spans="27:27" ht="15" customHeight="1">
      <c r="AA260" s="138"/>
    </row>
    <row r="261" spans="27:27" ht="15" customHeight="1">
      <c r="AA261" s="138"/>
    </row>
    <row r="262" spans="27:27" ht="15" customHeight="1">
      <c r="AA262" s="138"/>
    </row>
    <row r="263" spans="27:27" ht="15" customHeight="1">
      <c r="AA263" s="138"/>
    </row>
    <row r="264" spans="27:27" ht="15" customHeight="1">
      <c r="AA264" s="138"/>
    </row>
    <row r="265" spans="27:27" ht="15" customHeight="1">
      <c r="AA265" s="138"/>
    </row>
    <row r="266" spans="27:27" ht="15" customHeight="1">
      <c r="AA266" s="138"/>
    </row>
    <row r="267" spans="27:27" ht="15" customHeight="1">
      <c r="AA267" s="138"/>
    </row>
    <row r="268" spans="27:27" ht="15" customHeight="1">
      <c r="AA268" s="138"/>
    </row>
    <row r="269" spans="27:27" ht="15" customHeight="1">
      <c r="AA269" s="138"/>
    </row>
    <row r="270" spans="27:27" ht="15" customHeight="1">
      <c r="AA270" s="138"/>
    </row>
    <row r="271" spans="27:27" ht="15" customHeight="1">
      <c r="AA271" s="138"/>
    </row>
    <row r="272" spans="27:27" ht="15" customHeight="1">
      <c r="AA272" s="138"/>
    </row>
    <row r="273" spans="27:27" ht="15" customHeight="1">
      <c r="AA273" s="138"/>
    </row>
    <row r="274" spans="27:27" ht="15" customHeight="1">
      <c r="AA274" s="138"/>
    </row>
    <row r="275" spans="27:27" ht="15" customHeight="1">
      <c r="AA275" s="138"/>
    </row>
    <row r="276" spans="27:27" ht="15" customHeight="1">
      <c r="AA276" s="138"/>
    </row>
    <row r="277" spans="27:27" ht="15" customHeight="1">
      <c r="AA277" s="138"/>
    </row>
    <row r="278" spans="27:27" ht="15" customHeight="1">
      <c r="AA278" s="138"/>
    </row>
    <row r="279" spans="27:27" ht="15" customHeight="1">
      <c r="AA279" s="138"/>
    </row>
    <row r="280" spans="27:27" ht="15" customHeight="1">
      <c r="AA280" s="138"/>
    </row>
    <row r="281" spans="27:27" ht="15" customHeight="1">
      <c r="AA281" s="138"/>
    </row>
    <row r="282" spans="27:27" ht="15" customHeight="1">
      <c r="AA282" s="138"/>
    </row>
    <row r="283" spans="27:27" ht="15" customHeight="1">
      <c r="AA283" s="138"/>
    </row>
    <row r="284" spans="27:27" ht="15" customHeight="1">
      <c r="AA284" s="138"/>
    </row>
    <row r="285" spans="27:27" ht="15" customHeight="1">
      <c r="AA285" s="138"/>
    </row>
    <row r="286" spans="27:27" ht="15" customHeight="1">
      <c r="AA286" s="138"/>
    </row>
    <row r="287" spans="27:27" ht="15" customHeight="1">
      <c r="AA287" s="138"/>
    </row>
    <row r="288" spans="27:27" ht="15" customHeight="1">
      <c r="AA288" s="138"/>
    </row>
    <row r="289" spans="27:27" ht="15" customHeight="1">
      <c r="AA289" s="138"/>
    </row>
    <row r="290" spans="27:27" ht="15" customHeight="1">
      <c r="AA290" s="138"/>
    </row>
    <row r="291" spans="27:27" ht="15" customHeight="1">
      <c r="AA291" s="138"/>
    </row>
    <row r="292" spans="27:27" ht="15" customHeight="1">
      <c r="AA292" s="138"/>
    </row>
    <row r="293" spans="27:27" ht="15" customHeight="1">
      <c r="AA293" s="138"/>
    </row>
    <row r="294" spans="27:27" ht="15" customHeight="1">
      <c r="AA294" s="138"/>
    </row>
    <row r="295" spans="27:27" ht="15" customHeight="1">
      <c r="AA295" s="138"/>
    </row>
    <row r="296" spans="27:27" ht="15" customHeight="1">
      <c r="AA296" s="138"/>
    </row>
    <row r="297" spans="27:27" ht="15" customHeight="1">
      <c r="AA297" s="138"/>
    </row>
    <row r="298" spans="27:27" ht="15" customHeight="1">
      <c r="AA298" s="138"/>
    </row>
    <row r="299" spans="27:27" ht="15" customHeight="1">
      <c r="AA299" s="138"/>
    </row>
    <row r="300" spans="27:27" ht="15" customHeight="1">
      <c r="AA300" s="138"/>
    </row>
    <row r="301" spans="27:27" ht="15" customHeight="1">
      <c r="AA301" s="138"/>
    </row>
    <row r="302" spans="27:27" ht="15" customHeight="1">
      <c r="AA302" s="138"/>
    </row>
    <row r="303" spans="27:27" ht="15" customHeight="1">
      <c r="AA303" s="138"/>
    </row>
    <row r="304" spans="27:27" ht="15" customHeight="1">
      <c r="AA304" s="138"/>
    </row>
    <row r="305" spans="27:27" ht="15" customHeight="1">
      <c r="AA305" s="138"/>
    </row>
    <row r="306" spans="27:27" ht="15" customHeight="1">
      <c r="AA306" s="138"/>
    </row>
    <row r="307" spans="27:27" ht="15" customHeight="1">
      <c r="AA307" s="138"/>
    </row>
    <row r="308" spans="27:27" ht="15" customHeight="1">
      <c r="AA308" s="138"/>
    </row>
    <row r="309" spans="27:27" ht="15" customHeight="1">
      <c r="AA309" s="138"/>
    </row>
    <row r="310" spans="27:27" ht="15" customHeight="1">
      <c r="AA310" s="138"/>
    </row>
    <row r="311" spans="27:27" ht="15" customHeight="1">
      <c r="AA311" s="138"/>
    </row>
    <row r="312" spans="27:27" ht="15" customHeight="1">
      <c r="AA312" s="138"/>
    </row>
    <row r="313" spans="27:27" ht="15" customHeight="1">
      <c r="AA313" s="138"/>
    </row>
    <row r="314" spans="27:27" ht="15" customHeight="1">
      <c r="AA314" s="138"/>
    </row>
    <row r="315" spans="27:27" ht="15" customHeight="1">
      <c r="AA315" s="138"/>
    </row>
    <row r="316" spans="27:27" ht="15" customHeight="1">
      <c r="AA316" s="138"/>
    </row>
    <row r="317" spans="27:27" ht="15" customHeight="1">
      <c r="AA317" s="138"/>
    </row>
    <row r="318" spans="27:27" ht="15" customHeight="1">
      <c r="AA318" s="138"/>
    </row>
    <row r="319" spans="27:27" ht="15" customHeight="1">
      <c r="AA319" s="138"/>
    </row>
    <row r="320" spans="27:27" ht="15" customHeight="1">
      <c r="AA320" s="138"/>
    </row>
    <row r="321" spans="27:27" ht="15" customHeight="1">
      <c r="AA321" s="138"/>
    </row>
    <row r="322" spans="27:27" ht="15" customHeight="1">
      <c r="AA322" s="138"/>
    </row>
    <row r="323" spans="27:27" ht="15" customHeight="1">
      <c r="AA323" s="138"/>
    </row>
    <row r="324" spans="27:27" ht="15" customHeight="1">
      <c r="AA324" s="138"/>
    </row>
    <row r="325" spans="27:27" ht="15" customHeight="1">
      <c r="AA325" s="138"/>
    </row>
    <row r="326" spans="27:27" ht="15" customHeight="1">
      <c r="AA326" s="138"/>
    </row>
    <row r="327" spans="27:27" ht="15" customHeight="1">
      <c r="AA327" s="138"/>
    </row>
    <row r="328" spans="27:27" ht="15" customHeight="1">
      <c r="AA328" s="138"/>
    </row>
    <row r="329" spans="27:27" ht="15" customHeight="1">
      <c r="AA329" s="138"/>
    </row>
    <row r="330" spans="27:27" ht="15" customHeight="1">
      <c r="AA330" s="138"/>
    </row>
    <row r="331" spans="27:27" ht="15" customHeight="1">
      <c r="AA331" s="138"/>
    </row>
    <row r="332" spans="27:27" ht="15" customHeight="1">
      <c r="AA332" s="138"/>
    </row>
    <row r="333" spans="27:27" ht="15" customHeight="1">
      <c r="AA333" s="138"/>
    </row>
    <row r="334" spans="27:27" ht="15" customHeight="1">
      <c r="AA334" s="138"/>
    </row>
    <row r="335" spans="27:27" ht="15" customHeight="1">
      <c r="AA335" s="138"/>
    </row>
    <row r="336" spans="27:27" ht="15" customHeight="1">
      <c r="AA336" s="138"/>
    </row>
    <row r="337" spans="27:27" ht="15" customHeight="1">
      <c r="AA337" s="138"/>
    </row>
    <row r="338" spans="27:27" ht="15" customHeight="1">
      <c r="AA338" s="138"/>
    </row>
    <row r="339" spans="27:27" ht="15" customHeight="1">
      <c r="AA339" s="138"/>
    </row>
    <row r="340" spans="27:27" ht="15" customHeight="1">
      <c r="AA340" s="138"/>
    </row>
    <row r="341" spans="27:27" ht="15" customHeight="1">
      <c r="AA341" s="138"/>
    </row>
    <row r="342" spans="27:27" ht="15" customHeight="1">
      <c r="AA342" s="138"/>
    </row>
    <row r="343" spans="27:27" ht="15" customHeight="1">
      <c r="AA343" s="138"/>
    </row>
    <row r="344" spans="27:27" ht="15" customHeight="1">
      <c r="AA344" s="138"/>
    </row>
    <row r="345" spans="27:27" ht="15" customHeight="1">
      <c r="AA345" s="138"/>
    </row>
    <row r="346" spans="27:27" ht="15" customHeight="1">
      <c r="AA346" s="138"/>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66" location="DataEntryOtherInfol6" display="DataEntryOtherInfol6" xr:uid="{39266286-2C98-4D3B-9EDB-9D3113F904CD}"/>
    <hyperlink ref="A67" location="DataEntryOtherInfol7" display="District Additional Assistance (DAA) one-time supplement for FY 2025" xr:uid="{78063332-BE57-45D2-9954-4137ECE8CB6F}"/>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zoomScale="85" zoomScaleNormal="85" workbookViewId="0"/>
  </sheetViews>
  <sheetFormatPr defaultColWidth="8.88671875" defaultRowHeight="18.75"/>
  <cols>
    <col min="1" max="1" width="12" style="1215" customWidth="1"/>
    <col min="2" max="2" width="15" style="1203" customWidth="1"/>
    <col min="3" max="3" width="79" style="1215" customWidth="1"/>
    <col min="4" max="4" width="25.88671875" style="1216" customWidth="1"/>
    <col min="5" max="5" width="32.88671875" style="1181" customWidth="1"/>
    <col min="6" max="11" width="8.88671875" style="1181" customWidth="1"/>
    <col min="12" max="12" width="10.109375" style="1181" customWidth="1"/>
    <col min="13" max="13" width="8.88671875" style="1181" customWidth="1"/>
    <col min="14" max="16384" width="8.88671875" style="1181"/>
  </cols>
  <sheetData>
    <row r="1" spans="1:11">
      <c r="A1" s="1179" t="s">
        <v>684</v>
      </c>
      <c r="B1" s="1179" t="s">
        <v>685</v>
      </c>
      <c r="C1" s="1179" t="s">
        <v>686</v>
      </c>
      <c r="D1" s="1179" t="s">
        <v>687</v>
      </c>
      <c r="E1" s="1180" t="s">
        <v>688</v>
      </c>
    </row>
    <row r="2" spans="1:11" ht="267" customHeight="1">
      <c r="A2" s="1182"/>
      <c r="B2" s="1183" t="s">
        <v>689</v>
      </c>
      <c r="C2" s="1184" t="s">
        <v>690</v>
      </c>
      <c r="D2" s="1185"/>
      <c r="E2" s="1186"/>
    </row>
    <row r="3" spans="1:11" ht="24" customHeight="1">
      <c r="A3" s="1187"/>
      <c r="B3" s="1188"/>
      <c r="C3" s="1189" t="s">
        <v>691</v>
      </c>
      <c r="D3" s="1190"/>
      <c r="E3" s="1187"/>
    </row>
    <row r="4" spans="1:11" ht="138" customHeight="1">
      <c r="A4" s="1191"/>
      <c r="B4" s="1192" t="s">
        <v>689</v>
      </c>
      <c r="C4" s="1184"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193"/>
      <c r="E4" s="1191"/>
      <c r="F4" s="560"/>
      <c r="K4" s="1383" t="s">
        <v>1057</v>
      </c>
    </row>
    <row r="5" spans="1:11" ht="62.25" customHeight="1">
      <c r="A5" s="1191"/>
      <c r="B5" s="1192" t="s">
        <v>689</v>
      </c>
      <c r="C5" s="1184" t="s">
        <v>692</v>
      </c>
      <c r="D5" s="1193"/>
      <c r="E5" s="1191" t="s">
        <v>693</v>
      </c>
    </row>
    <row r="6" spans="1:11" ht="318.75" customHeight="1">
      <c r="A6" s="1191"/>
      <c r="B6" s="1192" t="s">
        <v>694</v>
      </c>
      <c r="C6" s="1184" t="s">
        <v>695</v>
      </c>
      <c r="D6" s="1194" t="s">
        <v>696</v>
      </c>
      <c r="E6" s="1191"/>
    </row>
    <row r="7" spans="1:11" ht="62.1" customHeight="1">
      <c r="A7" s="1191"/>
      <c r="B7" s="1192" t="s">
        <v>697</v>
      </c>
      <c r="C7" s="1184"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194" t="s">
        <v>696</v>
      </c>
      <c r="E7" s="1191"/>
    </row>
    <row r="8" spans="1:11" ht="144" customHeight="1">
      <c r="A8" s="1192" t="s">
        <v>698</v>
      </c>
      <c r="B8" s="1192" t="s">
        <v>699</v>
      </c>
      <c r="C8" s="1184"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193"/>
      <c r="E8" s="1191"/>
      <c r="K8" s="1383" t="s">
        <v>1066</v>
      </c>
    </row>
    <row r="9" spans="1:11" ht="231.75" customHeight="1">
      <c r="A9" s="1192" t="s">
        <v>698</v>
      </c>
      <c r="B9" s="1192" t="s">
        <v>700</v>
      </c>
      <c r="C9" s="1184" t="s">
        <v>701</v>
      </c>
      <c r="D9" s="1194" t="s">
        <v>696</v>
      </c>
      <c r="E9" s="1191"/>
    </row>
    <row r="10" spans="1:11" ht="130.5" customHeight="1">
      <c r="A10" s="1192" t="s">
        <v>702</v>
      </c>
      <c r="B10" s="1192"/>
      <c r="C10" s="1184" t="s">
        <v>703</v>
      </c>
      <c r="D10" s="1194" t="s">
        <v>696</v>
      </c>
      <c r="E10" s="1191"/>
    </row>
    <row r="11" spans="1:11" ht="76.5" customHeight="1">
      <c r="A11" s="1903">
        <v>1</v>
      </c>
      <c r="B11" s="1903" t="s">
        <v>704</v>
      </c>
      <c r="C11" s="1384"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05"/>
      <c r="E11" s="1899"/>
    </row>
    <row r="12" spans="1:11" ht="19.5" customHeight="1">
      <c r="A12" s="1904"/>
      <c r="B12" s="1904"/>
      <c r="C12" s="1195" t="s">
        <v>705</v>
      </c>
      <c r="D12" s="1906"/>
      <c r="E12" s="1900"/>
    </row>
    <row r="13" spans="1:11" ht="150" customHeight="1">
      <c r="A13" s="1192">
        <v>1</v>
      </c>
      <c r="B13" s="1192" t="s">
        <v>706</v>
      </c>
      <c r="C13" s="1184" t="s">
        <v>707</v>
      </c>
      <c r="D13" s="1194" t="s">
        <v>696</v>
      </c>
      <c r="E13" s="1191"/>
    </row>
    <row r="14" spans="1:11" ht="67.5" customHeight="1">
      <c r="A14" s="1192">
        <v>1</v>
      </c>
      <c r="B14" s="1192" t="s">
        <v>708</v>
      </c>
      <c r="C14" s="1184"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193"/>
      <c r="E14" s="1191"/>
    </row>
    <row r="15" spans="1:11" ht="162" customHeight="1">
      <c r="A15" s="1192">
        <v>1</v>
      </c>
      <c r="B15" s="1192" t="s">
        <v>709</v>
      </c>
      <c r="C15" s="1184" t="s">
        <v>710</v>
      </c>
      <c r="D15" s="1193"/>
      <c r="E15" s="1191"/>
    </row>
    <row r="16" spans="1:11" ht="141" customHeight="1">
      <c r="A16" s="1903">
        <v>1</v>
      </c>
      <c r="B16" s="1903" t="s">
        <v>711</v>
      </c>
      <c r="C16" s="1196" t="s">
        <v>712</v>
      </c>
      <c r="D16" s="1905"/>
      <c r="E16" s="1901"/>
    </row>
    <row r="17" spans="1:13" ht="21" customHeight="1">
      <c r="A17" s="1904"/>
      <c r="B17" s="1904"/>
      <c r="C17" s="1195" t="s">
        <v>713</v>
      </c>
      <c r="D17" s="1906"/>
      <c r="E17" s="1902"/>
    </row>
    <row r="18" spans="1:13" ht="162.75" customHeight="1">
      <c r="A18" s="1192">
        <v>2</v>
      </c>
      <c r="B18" s="1192" t="s">
        <v>714</v>
      </c>
      <c r="C18" s="1184" t="s">
        <v>715</v>
      </c>
      <c r="D18" s="1193"/>
      <c r="E18" s="1197"/>
    </row>
    <row r="19" spans="1:13" ht="70.5" customHeight="1">
      <c r="A19" s="1192">
        <v>2</v>
      </c>
      <c r="B19" s="1192" t="s">
        <v>716</v>
      </c>
      <c r="C19" s="1198" t="s">
        <v>717</v>
      </c>
      <c r="D19" s="1193"/>
      <c r="E19" s="1191"/>
    </row>
    <row r="20" spans="1:13" ht="66.75" customHeight="1">
      <c r="A20" s="1192">
        <v>2</v>
      </c>
      <c r="B20" s="1192" t="s">
        <v>718</v>
      </c>
      <c r="C20" s="1184" t="s">
        <v>719</v>
      </c>
      <c r="D20" s="1193"/>
      <c r="E20" s="1191"/>
    </row>
    <row r="21" spans="1:13" ht="242.25" customHeight="1">
      <c r="A21" s="1192">
        <v>2</v>
      </c>
      <c r="B21" s="1192" t="s">
        <v>720</v>
      </c>
      <c r="C21" s="1184"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194" t="s">
        <v>696</v>
      </c>
      <c r="E21" s="1191"/>
      <c r="F21" s="560"/>
      <c r="K21" s="1383"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83" t="s">
        <v>1067</v>
      </c>
    </row>
    <row r="22" spans="1:13" ht="153.75" customHeight="1">
      <c r="A22" s="1192">
        <v>3</v>
      </c>
      <c r="B22" s="1192" t="s">
        <v>689</v>
      </c>
      <c r="C22" s="1184" t="s">
        <v>721</v>
      </c>
      <c r="D22" s="1193"/>
      <c r="E22" s="1197"/>
    </row>
    <row r="23" spans="1:13" ht="48" customHeight="1">
      <c r="A23" s="1192">
        <v>3</v>
      </c>
      <c r="B23" s="1192" t="s">
        <v>704</v>
      </c>
      <c r="C23" s="1199" t="s">
        <v>722</v>
      </c>
      <c r="D23" s="1193"/>
      <c r="E23" s="1197"/>
    </row>
    <row r="24" spans="1:13" ht="92.25" customHeight="1">
      <c r="A24" s="1192">
        <v>3</v>
      </c>
      <c r="B24" s="1192" t="s">
        <v>706</v>
      </c>
      <c r="C24" s="1184"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193"/>
      <c r="E24" s="1191"/>
    </row>
    <row r="25" spans="1:13" ht="72" customHeight="1">
      <c r="A25" s="1192">
        <v>3</v>
      </c>
      <c r="B25" s="1192" t="s">
        <v>723</v>
      </c>
      <c r="C25" s="1184" t="str">
        <f>_xlfn.CONCAT("Budget Revision
Line 11 should reflect total actual CSF expenditures as reported on the district’s FY ",PriorFiscalYear," AFR.")</f>
        <v>Budget Revision
Line 11 should reflect total actual CSF expenditures as reported on the district’s FY 2024 AFR.</v>
      </c>
      <c r="D25" s="1194" t="s">
        <v>696</v>
      </c>
      <c r="E25" s="1197"/>
    </row>
    <row r="26" spans="1:13" ht="65.25" customHeight="1">
      <c r="A26" s="1192">
        <v>3</v>
      </c>
      <c r="B26" s="1192" t="s">
        <v>724</v>
      </c>
      <c r="C26" s="1184"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194" t="s">
        <v>696</v>
      </c>
      <c r="E26" s="1191"/>
    </row>
    <row r="27" spans="1:13" ht="189.75" customHeight="1">
      <c r="A27" s="1192">
        <v>3</v>
      </c>
      <c r="B27" s="1192" t="s">
        <v>725</v>
      </c>
      <c r="C27" s="1191"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193"/>
      <c r="E27" s="1191"/>
      <c r="K27" s="1383"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83"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83" t="str">
        <f>_xlfn.CONCAT(PriorFiscalYear," 100th day student count as reported in the district's FY ",PriorFiscalYear," ADM20A and ADM30 reports.")</f>
        <v>2024 100th day student count as reported in the district's FY 2024 ADM20A and ADM30 reports.</v>
      </c>
    </row>
    <row r="28" spans="1:13" ht="28.5" customHeight="1">
      <c r="A28" s="1191"/>
      <c r="B28" s="1192"/>
      <c r="C28" s="1195" t="s">
        <v>726</v>
      </c>
      <c r="D28" s="1193"/>
      <c r="E28" s="1191"/>
    </row>
    <row r="29" spans="1:13" ht="60.75" customHeight="1">
      <c r="A29" s="1192">
        <v>3</v>
      </c>
      <c r="B29" s="1192" t="s">
        <v>727</v>
      </c>
      <c r="C29" s="1184" t="s">
        <v>728</v>
      </c>
      <c r="D29" s="1193"/>
      <c r="E29" s="1191"/>
    </row>
    <row r="30" spans="1:13" ht="75.75" customHeight="1">
      <c r="A30" s="1192">
        <v>4</v>
      </c>
      <c r="B30" s="1192" t="s">
        <v>729</v>
      </c>
      <c r="C30" s="1184"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193"/>
      <c r="E30" s="1444"/>
    </row>
    <row r="31" spans="1:13" ht="223.5" customHeight="1">
      <c r="A31" s="1192">
        <v>4</v>
      </c>
      <c r="B31" s="1192" t="s">
        <v>730</v>
      </c>
      <c r="C31" s="1184"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194" t="s">
        <v>696</v>
      </c>
      <c r="E31" s="1191"/>
      <c r="K31" s="1383"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83" t="s">
        <v>1058</v>
      </c>
      <c r="M31" s="1383" t="s">
        <v>1068</v>
      </c>
    </row>
    <row r="32" spans="1:13" ht="254.25" customHeight="1">
      <c r="A32" s="1192">
        <v>5</v>
      </c>
      <c r="B32" s="1192" t="s">
        <v>731</v>
      </c>
      <c r="C32" s="1184" t="s">
        <v>732</v>
      </c>
      <c r="D32" s="1193"/>
      <c r="E32" s="1184"/>
    </row>
    <row r="33" spans="1:7" ht="184.5" customHeight="1">
      <c r="A33" s="1192">
        <v>5</v>
      </c>
      <c r="B33" s="1192" t="s">
        <v>733</v>
      </c>
      <c r="C33" s="1184" t="s">
        <v>734</v>
      </c>
      <c r="D33" s="1193"/>
      <c r="E33" s="1191"/>
    </row>
    <row r="34" spans="1:7" ht="98.25" customHeight="1">
      <c r="A34" s="1192">
        <v>6</v>
      </c>
      <c r="B34" s="1192" t="s">
        <v>1166</v>
      </c>
      <c r="C34" s="1184" t="s">
        <v>735</v>
      </c>
      <c r="D34" s="1193"/>
      <c r="E34" s="1191"/>
    </row>
    <row r="35" spans="1:7" ht="81.75" customHeight="1">
      <c r="A35" s="1192">
        <v>6</v>
      </c>
      <c r="B35" s="1192" t="s">
        <v>1165</v>
      </c>
      <c r="C35" s="1184" t="s">
        <v>1164</v>
      </c>
      <c r="D35" s="1193"/>
      <c r="E35" s="1191"/>
      <c r="G35" s="1431"/>
    </row>
    <row r="36" spans="1:7" ht="222.75" customHeight="1">
      <c r="A36" s="1192">
        <v>6</v>
      </c>
      <c r="B36" s="1192" t="s">
        <v>736</v>
      </c>
      <c r="C36" s="1184" t="s">
        <v>737</v>
      </c>
      <c r="D36" s="1193"/>
      <c r="E36" s="1191"/>
    </row>
    <row r="37" spans="1:7" ht="117" customHeight="1">
      <c r="A37" s="1192">
        <v>6</v>
      </c>
      <c r="B37" s="1192" t="s">
        <v>738</v>
      </c>
      <c r="C37" s="1184" t="s">
        <v>739</v>
      </c>
      <c r="D37" s="1193"/>
      <c r="E37" s="1444"/>
    </row>
    <row r="38" spans="1:7" ht="57" customHeight="1">
      <c r="A38" s="1192">
        <v>6</v>
      </c>
      <c r="B38" s="1192" t="s">
        <v>740</v>
      </c>
      <c r="C38" s="1184" t="s">
        <v>741</v>
      </c>
      <c r="D38" s="1193"/>
      <c r="E38" s="1191"/>
    </row>
    <row r="39" spans="1:7" ht="124.5" customHeight="1">
      <c r="A39" s="1192">
        <v>6</v>
      </c>
      <c r="B39" s="1192" t="s">
        <v>742</v>
      </c>
      <c r="C39" s="1184" t="s">
        <v>743</v>
      </c>
      <c r="D39" s="1193"/>
      <c r="E39" s="1191"/>
    </row>
    <row r="40" spans="1:7" ht="315.75" customHeight="1">
      <c r="A40" s="1192">
        <v>6</v>
      </c>
      <c r="B40" s="1192" t="s">
        <v>744</v>
      </c>
      <c r="C40" s="1184" t="s">
        <v>745</v>
      </c>
      <c r="D40" s="1193"/>
      <c r="E40" s="1191"/>
    </row>
    <row r="41" spans="1:7" ht="108" customHeight="1">
      <c r="A41" s="1192">
        <v>6</v>
      </c>
      <c r="B41" s="1192" t="s">
        <v>746</v>
      </c>
      <c r="C41" s="1184" t="s">
        <v>747</v>
      </c>
      <c r="D41" s="1193"/>
      <c r="E41" s="1191"/>
    </row>
    <row r="42" spans="1:7" ht="61.5" customHeight="1">
      <c r="A42" s="1192">
        <v>6</v>
      </c>
      <c r="B42" s="1192" t="s">
        <v>748</v>
      </c>
      <c r="C42" s="1184" t="s">
        <v>749</v>
      </c>
      <c r="D42" s="1193"/>
      <c r="E42" s="1191"/>
    </row>
    <row r="43" spans="1:7" ht="42.75" customHeight="1">
      <c r="A43" s="1192">
        <v>6</v>
      </c>
      <c r="B43" s="1192" t="s">
        <v>750</v>
      </c>
      <c r="C43" s="1184" t="s">
        <v>751</v>
      </c>
      <c r="D43" s="1193"/>
      <c r="E43" s="1191"/>
    </row>
    <row r="44" spans="1:7" ht="59.25" customHeight="1">
      <c r="A44" s="1192">
        <v>6</v>
      </c>
      <c r="B44" s="1192" t="s">
        <v>752</v>
      </c>
      <c r="C44" s="1184" t="s">
        <v>753</v>
      </c>
      <c r="D44" s="1193"/>
      <c r="E44" s="1191"/>
    </row>
    <row r="45" spans="1:7" ht="68.25" customHeight="1">
      <c r="A45" s="1192">
        <v>6</v>
      </c>
      <c r="B45" s="1192" t="s">
        <v>754</v>
      </c>
      <c r="C45" s="1184" t="s">
        <v>755</v>
      </c>
      <c r="D45" s="1193"/>
      <c r="E45" s="1191"/>
    </row>
    <row r="46" spans="1:7" ht="255.75" customHeight="1">
      <c r="A46" s="1192">
        <v>7</v>
      </c>
      <c r="B46" s="1192" t="s">
        <v>689</v>
      </c>
      <c r="C46" s="1184" t="s">
        <v>756</v>
      </c>
      <c r="D46" s="1194" t="s">
        <v>696</v>
      </c>
      <c r="E46" s="1191"/>
    </row>
    <row r="47" spans="1:7" ht="139.5" customHeight="1">
      <c r="A47" s="1192">
        <v>7</v>
      </c>
      <c r="B47" s="1192" t="s">
        <v>757</v>
      </c>
      <c r="C47" s="1184" t="s">
        <v>758</v>
      </c>
      <c r="D47" s="1194" t="s">
        <v>696</v>
      </c>
      <c r="E47" s="1191"/>
    </row>
    <row r="48" spans="1:7" ht="116.25" customHeight="1">
      <c r="A48" s="1192">
        <v>7</v>
      </c>
      <c r="B48" s="1192" t="s">
        <v>759</v>
      </c>
      <c r="C48" s="1184"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194" t="s">
        <v>696</v>
      </c>
      <c r="E48" s="1191"/>
    </row>
    <row r="49" spans="1:14" ht="63.6" customHeight="1">
      <c r="A49" s="1192">
        <v>7</v>
      </c>
      <c r="B49" s="1192" t="s">
        <v>760</v>
      </c>
      <c r="C49" s="1184" t="s">
        <v>1292</v>
      </c>
      <c r="D49" s="1193"/>
      <c r="E49" s="1197"/>
      <c r="F49" s="1200"/>
    </row>
    <row r="50" spans="1:14" ht="171" customHeight="1">
      <c r="A50" s="1192">
        <v>7</v>
      </c>
      <c r="B50" s="1192" t="s">
        <v>761</v>
      </c>
      <c r="C50" s="1385"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193"/>
      <c r="E50" s="1191"/>
      <c r="K50" s="1383"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83" t="s">
        <v>1081</v>
      </c>
    </row>
    <row r="51" spans="1:14" ht="37.5">
      <c r="A51" s="1191"/>
      <c r="B51" s="1192"/>
      <c r="C51" s="1201" t="s">
        <v>762</v>
      </c>
      <c r="D51" s="1193"/>
      <c r="E51" s="1191"/>
    </row>
    <row r="52" spans="1:14" ht="149.25" customHeight="1">
      <c r="A52" s="1192">
        <v>7</v>
      </c>
      <c r="B52" s="1192" t="s">
        <v>763</v>
      </c>
      <c r="C52" s="1184"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193"/>
      <c r="E52" s="1191"/>
      <c r="K52" s="1383"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83"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192">
        <v>7</v>
      </c>
      <c r="B53" s="1192" t="s">
        <v>764</v>
      </c>
      <c r="C53" s="1184" t="s">
        <v>765</v>
      </c>
      <c r="D53" s="1193"/>
      <c r="E53" s="1191"/>
    </row>
    <row r="54" spans="1:14" ht="215.25" customHeight="1">
      <c r="A54" s="1192">
        <v>7</v>
      </c>
      <c r="B54" s="1192" t="s">
        <v>766</v>
      </c>
      <c r="C54" s="1184"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193"/>
      <c r="E54" s="1191"/>
      <c r="K54" s="1383"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83"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83"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192">
        <v>7</v>
      </c>
      <c r="B55" s="1192" t="s">
        <v>767</v>
      </c>
      <c r="C55" s="1184"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193"/>
      <c r="E55" s="1191"/>
      <c r="K55" s="1383" t="s">
        <v>1059</v>
      </c>
      <c r="L55" s="1383" t="s">
        <v>1069</v>
      </c>
      <c r="M55" s="1383"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192">
        <v>7</v>
      </c>
      <c r="B56" s="1192" t="s">
        <v>768</v>
      </c>
      <c r="C56" s="1184" t="s">
        <v>769</v>
      </c>
      <c r="D56" s="1194" t="s">
        <v>696</v>
      </c>
      <c r="E56" s="1191"/>
    </row>
    <row r="57" spans="1:14" ht="284.25" customHeight="1">
      <c r="A57" s="1192">
        <v>7</v>
      </c>
      <c r="B57" s="1192" t="s">
        <v>704</v>
      </c>
      <c r="C57" s="1184"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194" t="s">
        <v>696</v>
      </c>
      <c r="E57" s="1191"/>
      <c r="K57" s="1383" t="s">
        <v>1083</v>
      </c>
      <c r="L57" s="1383"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83" t="s">
        <v>1082</v>
      </c>
    </row>
    <row r="58" spans="1:14" ht="28.5" customHeight="1">
      <c r="A58" s="1192"/>
      <c r="B58" s="1192"/>
      <c r="C58" s="1189" t="s">
        <v>770</v>
      </c>
      <c r="D58" s="1194"/>
      <c r="E58" s="1191"/>
    </row>
    <row r="59" spans="1:14" ht="159" customHeight="1">
      <c r="A59" s="1192">
        <v>7</v>
      </c>
      <c r="B59" s="1192" t="s">
        <v>771</v>
      </c>
      <c r="C59" s="1184" t="s">
        <v>889</v>
      </c>
      <c r="D59" s="1194" t="s">
        <v>696</v>
      </c>
      <c r="E59" s="1191"/>
    </row>
    <row r="60" spans="1:14" ht="39" customHeight="1">
      <c r="A60" s="1192">
        <v>7</v>
      </c>
      <c r="B60" s="1192" t="s">
        <v>772</v>
      </c>
      <c r="C60" s="1184" t="s">
        <v>773</v>
      </c>
      <c r="D60" s="1193"/>
      <c r="E60" s="1191"/>
    </row>
    <row r="61" spans="1:14" ht="27.75" customHeight="1">
      <c r="A61" s="1192"/>
      <c r="B61" s="1192"/>
      <c r="C61" s="1202" t="s">
        <v>774</v>
      </c>
      <c r="D61" s="1193"/>
      <c r="E61" s="1191"/>
    </row>
    <row r="62" spans="1:14" ht="195.75" customHeight="1">
      <c r="A62" s="1192">
        <v>7</v>
      </c>
      <c r="B62" s="1192" t="s">
        <v>775</v>
      </c>
      <c r="C62" s="1184"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194" t="s">
        <v>696</v>
      </c>
      <c r="E62" s="1191"/>
      <c r="K62" s="1383" t="s">
        <v>1060</v>
      </c>
      <c r="L62" s="1383"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192"/>
      <c r="B63" s="1192"/>
      <c r="C63" s="1202" t="s">
        <v>774</v>
      </c>
      <c r="D63" s="1193"/>
      <c r="E63" s="1191"/>
    </row>
    <row r="64" spans="1:14" ht="401.25" customHeight="1">
      <c r="A64" s="1192">
        <v>7</v>
      </c>
      <c r="B64" s="1192" t="s">
        <v>776</v>
      </c>
      <c r="C64" s="1184"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194" t="s">
        <v>696</v>
      </c>
      <c r="E64" s="1191"/>
      <c r="K64" s="1383" t="s">
        <v>1085</v>
      </c>
      <c r="L64" s="1383"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83"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83" t="s">
        <v>1084</v>
      </c>
    </row>
    <row r="65" spans="1:14" ht="79.5" customHeight="1">
      <c r="A65" s="1192">
        <v>7</v>
      </c>
      <c r="B65" s="1192" t="s">
        <v>777</v>
      </c>
      <c r="C65" s="1184" t="s">
        <v>778</v>
      </c>
      <c r="D65" s="1193"/>
      <c r="E65" s="1191"/>
    </row>
    <row r="66" spans="1:14" ht="315.75" customHeight="1">
      <c r="A66" s="1192">
        <v>7</v>
      </c>
      <c r="B66" s="1192" t="s">
        <v>779</v>
      </c>
      <c r="C66" s="1184"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194" t="s">
        <v>696</v>
      </c>
      <c r="E66" s="1191"/>
      <c r="K66" s="1383" t="s">
        <v>1087</v>
      </c>
      <c r="L66" s="1383"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83" t="s">
        <v>1086</v>
      </c>
      <c r="N66" s="1383"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192">
        <v>7</v>
      </c>
      <c r="B67" s="1192" t="s">
        <v>780</v>
      </c>
      <c r="C67" s="1184"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193"/>
      <c r="E67" s="1191"/>
      <c r="K67" s="1383" t="s">
        <v>1061</v>
      </c>
    </row>
    <row r="68" spans="1:14" ht="182.25" customHeight="1">
      <c r="A68" s="1192">
        <v>7</v>
      </c>
      <c r="B68" s="1192" t="s">
        <v>781</v>
      </c>
      <c r="C68" s="1184"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193"/>
      <c r="E68" s="1191"/>
      <c r="K68" s="1383"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83"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192">
        <v>7</v>
      </c>
      <c r="B69" s="1192" t="s">
        <v>782</v>
      </c>
      <c r="C69" s="1198" t="s">
        <v>783</v>
      </c>
      <c r="D69" s="1193"/>
      <c r="E69" s="1191"/>
    </row>
    <row r="70" spans="1:14" ht="121.5" customHeight="1">
      <c r="A70" s="1192">
        <v>7</v>
      </c>
      <c r="B70" s="1192" t="s">
        <v>784</v>
      </c>
      <c r="C70" s="1184"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194" t="s">
        <v>696</v>
      </c>
      <c r="E70" s="1191"/>
      <c r="K70" s="1383"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192">
        <v>7</v>
      </c>
      <c r="B71" s="1192" t="s">
        <v>785</v>
      </c>
      <c r="C71" s="1184"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193"/>
      <c r="E71" s="1191"/>
    </row>
    <row r="72" spans="1:14">
      <c r="A72" s="1192"/>
      <c r="C72" s="1195" t="s">
        <v>786</v>
      </c>
      <c r="D72" s="1193"/>
      <c r="E72" s="1191"/>
    </row>
    <row r="73" spans="1:14" ht="147" customHeight="1">
      <c r="A73" s="1192">
        <v>7</v>
      </c>
      <c r="B73" s="1192" t="s">
        <v>787</v>
      </c>
      <c r="C73" s="1184" t="s">
        <v>788</v>
      </c>
      <c r="D73" s="1204" t="s">
        <v>696</v>
      </c>
      <c r="E73" s="1191"/>
    </row>
    <row r="74" spans="1:14" ht="201.75" customHeight="1">
      <c r="A74" s="1192">
        <v>7</v>
      </c>
      <c r="B74" s="1192" t="s">
        <v>706</v>
      </c>
      <c r="C74" s="1184"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04" t="s">
        <v>696</v>
      </c>
      <c r="E74" s="1191"/>
      <c r="K74" s="1383" t="s">
        <v>1062</v>
      </c>
      <c r="L74" s="1383"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192">
        <v>7</v>
      </c>
      <c r="B75" s="1192" t="s">
        <v>729</v>
      </c>
      <c r="C75" s="1184"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194" t="s">
        <v>696</v>
      </c>
      <c r="E75" s="1191"/>
      <c r="K75" s="1383" t="s">
        <v>1065</v>
      </c>
      <c r="L75" s="1383" t="s">
        <v>1064</v>
      </c>
      <c r="M75" s="1383" t="s">
        <v>1063</v>
      </c>
    </row>
    <row r="76" spans="1:14" ht="30" customHeight="1">
      <c r="A76" s="1192"/>
      <c r="B76" s="1192"/>
      <c r="C76" s="1189" t="s">
        <v>726</v>
      </c>
      <c r="D76" s="1193"/>
      <c r="E76" s="1191"/>
    </row>
    <row r="77" spans="1:14" ht="26.25" customHeight="1">
      <c r="A77" s="1192"/>
      <c r="B77" s="1192"/>
      <c r="C77" s="1195" t="s">
        <v>789</v>
      </c>
      <c r="D77" s="1194" t="s">
        <v>696</v>
      </c>
      <c r="E77" s="1191"/>
    </row>
    <row r="78" spans="1:14" ht="120.75" customHeight="1">
      <c r="A78" s="1192">
        <v>8</v>
      </c>
      <c r="B78" s="1192" t="s">
        <v>790</v>
      </c>
      <c r="C78" s="1184"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194" t="s">
        <v>696</v>
      </c>
      <c r="E78" s="1191"/>
      <c r="K78" s="1383" t="s">
        <v>1070</v>
      </c>
    </row>
    <row r="79" spans="1:14" ht="21.6" customHeight="1">
      <c r="A79" s="1192"/>
      <c r="B79" s="1192"/>
      <c r="C79" s="1195" t="s">
        <v>791</v>
      </c>
      <c r="D79" s="1194"/>
      <c r="E79" s="1191"/>
    </row>
    <row r="80" spans="1:14" ht="86.25" customHeight="1">
      <c r="A80" s="1192">
        <v>8</v>
      </c>
      <c r="B80" s="1192" t="s">
        <v>792</v>
      </c>
      <c r="C80" s="1184"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194" t="s">
        <v>696</v>
      </c>
      <c r="E80" s="1191"/>
      <c r="K80" s="1383" t="s">
        <v>1088</v>
      </c>
    </row>
    <row r="81" spans="1:12" ht="22.7" customHeight="1">
      <c r="A81" s="1192"/>
      <c r="B81" s="1192"/>
      <c r="C81" s="1195" t="s">
        <v>791</v>
      </c>
      <c r="D81" s="1194"/>
      <c r="E81" s="1191"/>
    </row>
    <row r="82" spans="1:12" ht="93" customHeight="1">
      <c r="A82" s="1192">
        <v>8</v>
      </c>
      <c r="B82" s="1192" t="s">
        <v>775</v>
      </c>
      <c r="C82" s="1184"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194" t="s">
        <v>696</v>
      </c>
      <c r="E82" s="1191"/>
      <c r="K82" s="1383"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192">
        <v>8</v>
      </c>
      <c r="B83" s="1192" t="s">
        <v>793</v>
      </c>
      <c r="C83" s="1184"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194" t="s">
        <v>696</v>
      </c>
      <c r="E83" s="1191"/>
    </row>
    <row r="84" spans="1:12" ht="132" customHeight="1">
      <c r="A84" s="1192">
        <v>8</v>
      </c>
      <c r="B84" s="1192" t="s">
        <v>706</v>
      </c>
      <c r="C84" s="1184" t="s">
        <v>794</v>
      </c>
      <c r="D84" s="1194" t="s">
        <v>696</v>
      </c>
      <c r="E84" s="1191"/>
    </row>
    <row r="85" spans="1:12">
      <c r="A85" s="1192"/>
      <c r="B85" s="1192"/>
      <c r="C85" s="1195" t="s">
        <v>791</v>
      </c>
      <c r="D85" s="1194"/>
      <c r="E85" s="1191"/>
    </row>
    <row r="86" spans="1:12" ht="125.25" customHeight="1">
      <c r="A86" s="1192">
        <v>8</v>
      </c>
      <c r="B86" s="1192" t="s">
        <v>729</v>
      </c>
      <c r="C86" s="1184" t="s">
        <v>795</v>
      </c>
      <c r="D86" s="1193"/>
      <c r="E86" s="1191"/>
    </row>
    <row r="87" spans="1:12">
      <c r="A87" s="1192"/>
      <c r="B87" s="1192"/>
      <c r="C87" s="1195" t="s">
        <v>791</v>
      </c>
      <c r="D87" s="1193"/>
      <c r="E87" s="1191"/>
    </row>
    <row r="88" spans="1:12" ht="81.75" customHeight="1">
      <c r="A88" s="1192">
        <v>8</v>
      </c>
      <c r="B88" s="1192" t="s">
        <v>796</v>
      </c>
      <c r="C88" s="1184"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194" t="s">
        <v>696</v>
      </c>
      <c r="E88" s="1191"/>
    </row>
    <row r="89" spans="1:12" ht="305.25" customHeight="1">
      <c r="A89" s="1192" t="s">
        <v>797</v>
      </c>
      <c r="B89" s="1192" t="s">
        <v>798</v>
      </c>
      <c r="C89" s="1184" t="s">
        <v>799</v>
      </c>
      <c r="D89" s="1193"/>
      <c r="E89" s="1191"/>
    </row>
    <row r="90" spans="1:12" ht="152.25" customHeight="1">
      <c r="A90" s="1192" t="s">
        <v>800</v>
      </c>
      <c r="B90" s="1192" t="s">
        <v>801</v>
      </c>
      <c r="C90" s="1184"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193"/>
      <c r="E90" s="1191"/>
      <c r="K90" s="1383" t="s">
        <v>1071</v>
      </c>
      <c r="L90" s="1383"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192" t="s">
        <v>800</v>
      </c>
      <c r="B91" s="1192" t="s">
        <v>801</v>
      </c>
      <c r="C91" s="1184"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193"/>
      <c r="E91" s="1191"/>
      <c r="K91" s="1383" t="s">
        <v>1072</v>
      </c>
      <c r="L91" s="1383"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192" t="s">
        <v>800</v>
      </c>
      <c r="B92" s="1192" t="s">
        <v>801</v>
      </c>
      <c r="C92" s="1184" t="s">
        <v>802</v>
      </c>
      <c r="D92" s="1193"/>
      <c r="E92" s="1191"/>
    </row>
    <row r="93" spans="1:12" ht="126" customHeight="1">
      <c r="A93" s="1192" t="s">
        <v>800</v>
      </c>
      <c r="B93" s="1192" t="s">
        <v>801</v>
      </c>
      <c r="C93" s="1184" t="s">
        <v>803</v>
      </c>
      <c r="D93" s="1193"/>
      <c r="E93" s="1191"/>
    </row>
    <row r="94" spans="1:12" ht="82.5" customHeight="1">
      <c r="A94" s="1192" t="s">
        <v>804</v>
      </c>
      <c r="B94" s="1192" t="s">
        <v>805</v>
      </c>
      <c r="C94" s="1184"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193"/>
      <c r="E94" s="1191"/>
    </row>
    <row r="95" spans="1:12" ht="104.25" customHeight="1">
      <c r="A95" s="1192" t="s">
        <v>806</v>
      </c>
      <c r="B95" s="1192" t="s">
        <v>689</v>
      </c>
      <c r="C95" s="1184" t="s">
        <v>807</v>
      </c>
      <c r="D95" s="1193"/>
      <c r="E95" s="1191"/>
    </row>
    <row r="96" spans="1:12" ht="262.5" customHeight="1">
      <c r="A96" s="1192" t="s">
        <v>806</v>
      </c>
      <c r="B96" s="1192" t="s">
        <v>808</v>
      </c>
      <c r="C96" s="1184"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193"/>
      <c r="E96" s="1191"/>
      <c r="K96" s="1383" t="s">
        <v>1073</v>
      </c>
      <c r="L96" s="1383" t="str">
        <f>_xlfn.CONCAT(Cover!E3," expenditure budget forms and A.R.S. Section 15-905.01 for further requirements.")</f>
        <v>2025 expenditure budget forms and A.R.S. Section 15-905.01 for further requirements.</v>
      </c>
    </row>
    <row r="97" spans="1:11" ht="68.25" customHeight="1">
      <c r="A97" s="1192" t="s">
        <v>806</v>
      </c>
      <c r="B97" s="1192" t="s">
        <v>808</v>
      </c>
      <c r="C97" s="1184" t="s">
        <v>809</v>
      </c>
      <c r="D97" s="1193"/>
      <c r="E97" s="1191"/>
    </row>
    <row r="98" spans="1:11" ht="114" customHeight="1">
      <c r="A98" s="1192" t="s">
        <v>806</v>
      </c>
      <c r="B98" s="1192" t="s">
        <v>757</v>
      </c>
      <c r="C98" s="1184"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193"/>
      <c r="E98" s="1191"/>
      <c r="K98" s="1383"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83" t="s">
        <v>806</v>
      </c>
      <c r="B99" s="1183" t="s">
        <v>790</v>
      </c>
      <c r="C99" s="1184" t="s">
        <v>810</v>
      </c>
      <c r="D99" s="1205"/>
      <c r="E99" s="1191"/>
    </row>
    <row r="100" spans="1:11" ht="56.25">
      <c r="A100" s="1192" t="s">
        <v>806</v>
      </c>
      <c r="B100" s="1192" t="s">
        <v>811</v>
      </c>
      <c r="C100" s="1191" t="str">
        <f>_xlfn.CONCAT("Use actual expenditures to date plus estimated amounts for the remainder of FY ",PriorFiscalYear,".")</f>
        <v>Use actual expenditures to date plus estimated amounts for the remainder of FY 2024.</v>
      </c>
      <c r="D100" s="1193"/>
      <c r="E100" s="1191"/>
    </row>
    <row r="101" spans="1:11" ht="120.6" customHeight="1">
      <c r="A101" s="1446" t="s">
        <v>806</v>
      </c>
      <c r="B101" s="1446" t="s">
        <v>897</v>
      </c>
      <c r="C101" s="1445" t="s">
        <v>1185</v>
      </c>
      <c r="D101" s="1193"/>
      <c r="E101" s="1239" t="s">
        <v>1182</v>
      </c>
    </row>
    <row r="102" spans="1:11" ht="99.6" customHeight="1">
      <c r="A102" s="1446" t="s">
        <v>1138</v>
      </c>
      <c r="B102" s="1446" t="s">
        <v>689</v>
      </c>
      <c r="C102" s="1453" t="s">
        <v>1287</v>
      </c>
      <c r="D102" s="1193"/>
      <c r="E102" s="1239" t="s">
        <v>1184</v>
      </c>
    </row>
    <row r="103" spans="1:11" ht="89.45" customHeight="1">
      <c r="A103" s="1446" t="s">
        <v>1138</v>
      </c>
      <c r="B103" s="1446" t="s">
        <v>1139</v>
      </c>
      <c r="C103" s="1453" t="s">
        <v>1183</v>
      </c>
      <c r="D103" s="1193"/>
      <c r="E103" s="1239" t="s">
        <v>1184</v>
      </c>
    </row>
    <row r="104" spans="1:11" ht="67.5" customHeight="1">
      <c r="A104" s="1446" t="s">
        <v>1138</v>
      </c>
      <c r="B104" s="1446" t="s">
        <v>1140</v>
      </c>
      <c r="C104" s="1453" t="s">
        <v>1141</v>
      </c>
      <c r="D104" s="1193"/>
      <c r="E104" s="1239" t="s">
        <v>1184</v>
      </c>
    </row>
    <row r="105" spans="1:11" ht="72" customHeight="1">
      <c r="A105" s="1446" t="s">
        <v>1138</v>
      </c>
      <c r="B105" s="1446" t="s">
        <v>1142</v>
      </c>
      <c r="C105" s="1453" t="s">
        <v>1143</v>
      </c>
      <c r="D105" s="1193"/>
      <c r="E105" s="1239" t="s">
        <v>1184</v>
      </c>
    </row>
    <row r="106" spans="1:11" ht="67.5" customHeight="1">
      <c r="A106" s="1446" t="s">
        <v>1138</v>
      </c>
      <c r="B106" s="1446" t="s">
        <v>1144</v>
      </c>
      <c r="C106" s="1453" t="s">
        <v>1273</v>
      </c>
      <c r="D106" s="1193"/>
      <c r="E106" s="1239" t="s">
        <v>1184</v>
      </c>
    </row>
    <row r="107" spans="1:11" ht="69" customHeight="1">
      <c r="A107" s="1446" t="s">
        <v>1138</v>
      </c>
      <c r="B107" s="1446" t="s">
        <v>1145</v>
      </c>
      <c r="C107" s="1453" t="s">
        <v>1274</v>
      </c>
      <c r="D107" s="1193"/>
      <c r="E107" s="1239" t="s">
        <v>1184</v>
      </c>
    </row>
    <row r="108" spans="1:11" ht="67.5" customHeight="1">
      <c r="A108" s="1446" t="s">
        <v>1138</v>
      </c>
      <c r="B108" s="1446" t="s">
        <v>1146</v>
      </c>
      <c r="C108" s="1453" t="s">
        <v>1275</v>
      </c>
      <c r="D108" s="1193"/>
      <c r="E108" s="1239" t="s">
        <v>1184</v>
      </c>
    </row>
    <row r="109" spans="1:11" ht="67.5" customHeight="1">
      <c r="A109" s="1446" t="s">
        <v>1138</v>
      </c>
      <c r="B109" s="1446" t="s">
        <v>1147</v>
      </c>
      <c r="C109" s="1453" t="s">
        <v>1148</v>
      </c>
      <c r="D109" s="1193"/>
      <c r="E109" s="1239" t="s">
        <v>1184</v>
      </c>
    </row>
    <row r="110" spans="1:11" ht="66" customHeight="1">
      <c r="A110" s="1446" t="s">
        <v>1138</v>
      </c>
      <c r="B110" s="1446" t="s">
        <v>1149</v>
      </c>
      <c r="C110" s="1453" t="s">
        <v>1150</v>
      </c>
      <c r="D110" s="1193"/>
      <c r="E110" s="1239" t="s">
        <v>1184</v>
      </c>
    </row>
    <row r="111" spans="1:11" ht="105.95" customHeight="1">
      <c r="A111" s="1446" t="s">
        <v>1138</v>
      </c>
      <c r="B111" s="1446" t="s">
        <v>1151</v>
      </c>
      <c r="C111" s="1453" t="s">
        <v>1276</v>
      </c>
      <c r="D111" s="1193"/>
      <c r="E111" s="1239" t="s">
        <v>1184</v>
      </c>
    </row>
    <row r="112" spans="1:11" ht="161.1" customHeight="1">
      <c r="A112" s="1446" t="s">
        <v>1138</v>
      </c>
      <c r="B112" s="1446" t="s">
        <v>1152</v>
      </c>
      <c r="C112" s="1453" t="s">
        <v>1283</v>
      </c>
      <c r="D112" s="1193"/>
      <c r="E112" s="1239" t="s">
        <v>1184</v>
      </c>
    </row>
    <row r="113" spans="1:13" ht="126.95" customHeight="1">
      <c r="A113" s="1446" t="s">
        <v>1138</v>
      </c>
      <c r="B113" s="1446" t="s">
        <v>1153</v>
      </c>
      <c r="C113" s="1453" t="s">
        <v>1277</v>
      </c>
      <c r="D113" s="1193"/>
      <c r="E113" s="1239" t="s">
        <v>1184</v>
      </c>
    </row>
    <row r="114" spans="1:13" ht="67.5" customHeight="1">
      <c r="A114" s="1446" t="s">
        <v>1138</v>
      </c>
      <c r="B114" s="1446" t="s">
        <v>1154</v>
      </c>
      <c r="C114" s="1453" t="s">
        <v>1278</v>
      </c>
      <c r="D114" s="1193"/>
      <c r="E114" s="1239" t="s">
        <v>1184</v>
      </c>
    </row>
    <row r="115" spans="1:13" ht="109.5" customHeight="1">
      <c r="A115" s="1446" t="s">
        <v>1138</v>
      </c>
      <c r="B115" s="1446" t="s">
        <v>1155</v>
      </c>
      <c r="C115" s="1453" t="s">
        <v>1284</v>
      </c>
      <c r="D115" s="1193"/>
      <c r="E115" s="1239" t="s">
        <v>1184</v>
      </c>
    </row>
    <row r="116" spans="1:13" ht="141.6" customHeight="1">
      <c r="A116" s="1446" t="s">
        <v>1138</v>
      </c>
      <c r="B116" s="1446" t="s">
        <v>1156</v>
      </c>
      <c r="C116" s="1453" t="s">
        <v>1279</v>
      </c>
      <c r="D116" s="1193"/>
      <c r="E116" s="1239" t="s">
        <v>1184</v>
      </c>
    </row>
    <row r="117" spans="1:13" ht="125.1" customHeight="1">
      <c r="A117" s="1446" t="s">
        <v>1138</v>
      </c>
      <c r="B117" s="1446" t="s">
        <v>1157</v>
      </c>
      <c r="C117" s="1453" t="s">
        <v>1285</v>
      </c>
      <c r="D117" s="1193"/>
      <c r="E117" s="1239" t="s">
        <v>1184</v>
      </c>
    </row>
    <row r="118" spans="1:13" ht="91.5" customHeight="1">
      <c r="A118" s="1446" t="s">
        <v>1138</v>
      </c>
      <c r="B118" s="1446" t="s">
        <v>1158</v>
      </c>
      <c r="C118" s="1453" t="s">
        <v>1286</v>
      </c>
      <c r="D118" s="1193"/>
      <c r="E118" s="1239" t="s">
        <v>1184</v>
      </c>
    </row>
    <row r="119" spans="1:13" ht="84" customHeight="1">
      <c r="A119" s="1192" t="s">
        <v>812</v>
      </c>
      <c r="B119" s="1192" t="s">
        <v>689</v>
      </c>
      <c r="C119" s="1206" t="s">
        <v>813</v>
      </c>
      <c r="D119" s="1193"/>
      <c r="E119" s="1191"/>
    </row>
    <row r="120" spans="1:13" ht="97.35" customHeight="1">
      <c r="A120" s="1192" t="s">
        <v>812</v>
      </c>
      <c r="B120" s="1192" t="s">
        <v>689</v>
      </c>
      <c r="C120" s="1206" t="s">
        <v>814</v>
      </c>
      <c r="D120" s="1193"/>
      <c r="E120" s="1191"/>
    </row>
    <row r="121" spans="1:13" ht="110.25" customHeight="1">
      <c r="A121" s="1191" t="s">
        <v>812</v>
      </c>
      <c r="B121" s="1192" t="s">
        <v>815</v>
      </c>
      <c r="C121" s="1207"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08"/>
      <c r="E121" s="1191"/>
      <c r="F121" s="1200"/>
      <c r="K121" s="1383" t="s">
        <v>1074</v>
      </c>
    </row>
    <row r="122" spans="1:13" ht="297.75" customHeight="1">
      <c r="A122" s="1191" t="s">
        <v>812</v>
      </c>
      <c r="B122" s="1192" t="s">
        <v>816</v>
      </c>
      <c r="C122" s="1207"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09" t="s">
        <v>696</v>
      </c>
      <c r="E122" s="1191"/>
      <c r="K122" s="1383" t="s">
        <v>1089</v>
      </c>
      <c r="L122" s="1383"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191" t="s">
        <v>812</v>
      </c>
      <c r="B123" s="1192" t="s">
        <v>817</v>
      </c>
      <c r="C123" s="1389"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09" t="s">
        <v>696</v>
      </c>
      <c r="E123" s="1452"/>
      <c r="K123" s="1383"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83" t="s">
        <v>1075</v>
      </c>
      <c r="M123" s="1383"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191" t="s">
        <v>812</v>
      </c>
      <c r="B124" s="1192" t="s">
        <v>818</v>
      </c>
      <c r="C124" s="1207"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09" t="s">
        <v>696</v>
      </c>
      <c r="E124" s="1191"/>
      <c r="K124" s="1383" t="s">
        <v>1076</v>
      </c>
    </row>
    <row r="125" spans="1:13" ht="408" customHeight="1">
      <c r="A125" s="1182" t="s">
        <v>812</v>
      </c>
      <c r="B125" s="1183" t="s">
        <v>819</v>
      </c>
      <c r="C125" s="1207" t="s">
        <v>820</v>
      </c>
      <c r="D125" s="1185"/>
      <c r="E125" s="1191"/>
    </row>
    <row r="126" spans="1:13" ht="22.5" customHeight="1">
      <c r="A126" s="1182"/>
      <c r="B126" s="1183"/>
      <c r="C126" s="1210" t="s">
        <v>713</v>
      </c>
      <c r="D126" s="1185"/>
      <c r="E126" s="1191"/>
    </row>
    <row r="127" spans="1:13" ht="59.25" customHeight="1">
      <c r="A127" s="1191" t="s">
        <v>812</v>
      </c>
      <c r="B127" s="1192" t="s">
        <v>821</v>
      </c>
      <c r="C127" s="1211" t="s">
        <v>822</v>
      </c>
      <c r="D127" s="1185"/>
      <c r="E127" s="1191"/>
    </row>
    <row r="128" spans="1:13" ht="59.25" customHeight="1">
      <c r="A128" s="1191" t="s">
        <v>812</v>
      </c>
      <c r="B128" s="1192" t="s">
        <v>823</v>
      </c>
      <c r="C128" s="1211" t="s">
        <v>824</v>
      </c>
      <c r="D128" s="1185"/>
      <c r="E128" s="1191"/>
    </row>
    <row r="129" spans="1:12" ht="60.75" customHeight="1">
      <c r="A129" s="1191" t="s">
        <v>812</v>
      </c>
      <c r="B129" s="1192" t="s">
        <v>825</v>
      </c>
      <c r="C129" s="1207" t="s">
        <v>826</v>
      </c>
      <c r="D129" s="1193"/>
      <c r="E129" s="1191"/>
    </row>
    <row r="130" spans="1:12" ht="63.75" customHeight="1">
      <c r="A130" s="1191" t="s">
        <v>812</v>
      </c>
      <c r="B130" s="1192" t="s">
        <v>827</v>
      </c>
      <c r="C130" s="1207" t="s">
        <v>828</v>
      </c>
      <c r="D130" s="1193"/>
      <c r="E130" s="1191"/>
    </row>
    <row r="131" spans="1:12" ht="58.5" customHeight="1">
      <c r="A131" s="1191" t="s">
        <v>812</v>
      </c>
      <c r="B131" s="1192" t="s">
        <v>829</v>
      </c>
      <c r="C131" s="1207" t="s">
        <v>830</v>
      </c>
      <c r="D131" s="1193"/>
      <c r="E131" s="1191"/>
    </row>
    <row r="132" spans="1:12" ht="63" customHeight="1">
      <c r="A132" s="1191" t="s">
        <v>812</v>
      </c>
      <c r="B132" s="1192" t="s">
        <v>831</v>
      </c>
      <c r="C132" s="1207" t="s">
        <v>832</v>
      </c>
      <c r="D132" s="1193"/>
      <c r="E132" s="1191"/>
    </row>
    <row r="133" spans="1:12" ht="61.5" customHeight="1">
      <c r="A133" s="1191" t="s">
        <v>812</v>
      </c>
      <c r="B133" s="1192" t="s">
        <v>833</v>
      </c>
      <c r="C133" s="1207" t="s">
        <v>834</v>
      </c>
      <c r="D133" s="1193"/>
      <c r="E133" s="1191"/>
    </row>
    <row r="134" spans="1:12" ht="59.25" customHeight="1">
      <c r="A134" s="1191" t="s">
        <v>812</v>
      </c>
      <c r="B134" s="1192" t="s">
        <v>835</v>
      </c>
      <c r="C134" s="1207" t="s">
        <v>836</v>
      </c>
      <c r="D134" s="1193"/>
      <c r="E134" s="1191"/>
    </row>
    <row r="135" spans="1:12" ht="63" customHeight="1">
      <c r="A135" s="1191" t="s">
        <v>812</v>
      </c>
      <c r="B135" s="1192" t="s">
        <v>837</v>
      </c>
      <c r="C135" s="1207" t="s">
        <v>838</v>
      </c>
      <c r="D135" s="1193"/>
      <c r="E135" s="1191"/>
    </row>
    <row r="136" spans="1:12" ht="58.5" customHeight="1">
      <c r="A136" s="1191" t="s">
        <v>812</v>
      </c>
      <c r="B136" s="1192" t="s">
        <v>839</v>
      </c>
      <c r="C136" s="1207" t="s">
        <v>840</v>
      </c>
      <c r="D136" s="1193"/>
      <c r="E136" s="1191"/>
    </row>
    <row r="137" spans="1:12" ht="59.25" customHeight="1">
      <c r="A137" s="1191" t="s">
        <v>812</v>
      </c>
      <c r="B137" s="1192" t="s">
        <v>841</v>
      </c>
      <c r="C137" s="1207" t="s">
        <v>842</v>
      </c>
      <c r="D137" s="1193"/>
      <c r="E137" s="1191"/>
    </row>
    <row r="138" spans="1:12" ht="63.75" customHeight="1">
      <c r="A138" s="1191" t="s">
        <v>812</v>
      </c>
      <c r="B138" s="1192" t="s">
        <v>843</v>
      </c>
      <c r="C138" s="1207" t="s">
        <v>844</v>
      </c>
      <c r="D138" s="1193"/>
      <c r="E138" s="1191"/>
    </row>
    <row r="139" spans="1:12" ht="232.35" customHeight="1">
      <c r="A139" s="1191" t="s">
        <v>812</v>
      </c>
      <c r="B139" s="1192" t="s">
        <v>845</v>
      </c>
      <c r="C139" s="1498" t="s">
        <v>1272</v>
      </c>
      <c r="D139" s="1209" t="s">
        <v>696</v>
      </c>
      <c r="E139" s="1197"/>
    </row>
    <row r="140" spans="1:12" ht="27" customHeight="1">
      <c r="A140" s="1191"/>
      <c r="B140" s="1192"/>
      <c r="C140" s="1490" t="s">
        <v>1093</v>
      </c>
      <c r="D140" s="1193"/>
      <c r="E140" s="1197"/>
    </row>
    <row r="141" spans="1:12" ht="104.25" customHeight="1">
      <c r="A141" s="1191" t="s">
        <v>812</v>
      </c>
      <c r="B141" s="1450" t="s">
        <v>1271</v>
      </c>
      <c r="C141" s="1207"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193"/>
      <c r="E141" s="1191"/>
    </row>
    <row r="142" spans="1:12" ht="103.5" customHeight="1">
      <c r="A142" s="1191" t="s">
        <v>812</v>
      </c>
      <c r="B142" s="1192" t="s">
        <v>846</v>
      </c>
      <c r="C142" s="1207" t="s">
        <v>847</v>
      </c>
      <c r="D142" s="1193"/>
      <c r="E142" s="1191"/>
    </row>
    <row r="143" spans="1:12" ht="161.25" customHeight="1">
      <c r="A143" s="1191" t="s">
        <v>812</v>
      </c>
      <c r="B143" s="1192" t="s">
        <v>848</v>
      </c>
      <c r="C143" s="1191"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193"/>
      <c r="E143" s="1191"/>
      <c r="K143" s="1383"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83" t="s">
        <v>1186</v>
      </c>
    </row>
    <row r="144" spans="1:12" ht="18.75" customHeight="1">
      <c r="A144" s="1191"/>
      <c r="B144" s="1192"/>
      <c r="C144" s="1212" t="s">
        <v>849</v>
      </c>
      <c r="D144" s="1193"/>
      <c r="E144" s="1191"/>
    </row>
    <row r="145" spans="1:12" ht="66.75" customHeight="1">
      <c r="A145" s="1191" t="s">
        <v>812</v>
      </c>
      <c r="B145" s="1192" t="s">
        <v>850</v>
      </c>
      <c r="C145" s="1191"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193"/>
      <c r="E145" s="1191"/>
    </row>
    <row r="146" spans="1:12" ht="61.5" customHeight="1">
      <c r="A146" s="1191" t="s">
        <v>812</v>
      </c>
      <c r="B146" s="1192" t="s">
        <v>851</v>
      </c>
      <c r="C146" s="1191"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193"/>
      <c r="E146" s="1191"/>
    </row>
    <row r="147" spans="1:12">
      <c r="A147" s="1191"/>
      <c r="B147" s="1192"/>
      <c r="C147" s="1213" t="s">
        <v>852</v>
      </c>
      <c r="D147" s="1193"/>
      <c r="E147" s="1191"/>
    </row>
    <row r="148" spans="1:12" ht="409.5">
      <c r="A148" s="1191" t="s">
        <v>812</v>
      </c>
      <c r="B148" s="1192" t="s">
        <v>853</v>
      </c>
      <c r="C148" s="1390"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193"/>
      <c r="E148" s="1191"/>
      <c r="K148" s="1383" t="str">
        <f>_xlfn.CONCAT("FY ",TwoYearsPrior," audit expenditures from all funds on line 6. Amount entered should agree to the district's FY ",TwoYearsPrior)</f>
        <v>FY 2023 audit expenditures from all funds on line 6. Amount entered should agree to the district's FY 2023</v>
      </c>
      <c r="L148" s="1383" t="s">
        <v>1090</v>
      </c>
    </row>
    <row r="149" spans="1:12" ht="409.5">
      <c r="A149" s="1191" t="s">
        <v>812</v>
      </c>
      <c r="B149" s="1192" t="s">
        <v>854</v>
      </c>
      <c r="C149" s="1191"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193"/>
      <c r="E149" s="1191"/>
      <c r="K149" s="1383" t="s">
        <v>1091</v>
      </c>
    </row>
    <row r="150" spans="1:12" ht="150">
      <c r="A150" s="1191" t="s">
        <v>812</v>
      </c>
      <c r="B150" s="1192" t="s">
        <v>855</v>
      </c>
      <c r="C150" s="1191" t="s">
        <v>856</v>
      </c>
      <c r="D150" s="1193"/>
      <c r="E150" s="1191"/>
    </row>
    <row r="151" spans="1:12" ht="252">
      <c r="A151" s="1191" t="s">
        <v>812</v>
      </c>
      <c r="B151" s="1192" t="s">
        <v>857</v>
      </c>
      <c r="C151" s="1191"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193"/>
      <c r="E151" s="1191"/>
      <c r="K151" s="1383"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7.5">
      <c r="A152" s="1191" t="s">
        <v>812</v>
      </c>
      <c r="B152" s="1192" t="s">
        <v>858</v>
      </c>
      <c r="C152" s="1191" t="s">
        <v>859</v>
      </c>
      <c r="D152" s="1193"/>
      <c r="E152" s="1191"/>
    </row>
    <row r="153" spans="1:12" ht="262.5">
      <c r="A153" s="1191" t="s">
        <v>812</v>
      </c>
      <c r="B153" s="1192" t="s">
        <v>860</v>
      </c>
      <c r="C153" s="1191" t="s">
        <v>861</v>
      </c>
      <c r="D153" s="1193"/>
      <c r="E153" s="1191"/>
    </row>
    <row r="154" spans="1:12" ht="112.5">
      <c r="A154" s="1191" t="s">
        <v>812</v>
      </c>
      <c r="B154" s="1192" t="s">
        <v>862</v>
      </c>
      <c r="C154" s="1207" t="s">
        <v>863</v>
      </c>
      <c r="D154" s="1209" t="s">
        <v>696</v>
      </c>
      <c r="E154" s="1191"/>
    </row>
    <row r="155" spans="1:12" ht="150">
      <c r="A155" s="1191" t="s">
        <v>812</v>
      </c>
      <c r="B155" s="1192" t="s">
        <v>864</v>
      </c>
      <c r="C155" s="1191" t="s">
        <v>865</v>
      </c>
      <c r="D155" s="1209" t="s">
        <v>696</v>
      </c>
      <c r="E155" s="1197"/>
    </row>
    <row r="156" spans="1:12" ht="56.25">
      <c r="A156" s="1240" t="s">
        <v>812</v>
      </c>
      <c r="B156" s="1241" t="s">
        <v>866</v>
      </c>
      <c r="C156" s="1240" t="s">
        <v>867</v>
      </c>
      <c r="D156" s="1193"/>
      <c r="E156" s="1191"/>
    </row>
    <row r="157" spans="1:12" ht="187.5">
      <c r="A157" s="1445" t="s">
        <v>812</v>
      </c>
      <c r="B157" s="1446" t="s">
        <v>898</v>
      </c>
      <c r="C157" s="1447" t="s">
        <v>1187</v>
      </c>
      <c r="D157" s="1238" t="s">
        <v>696</v>
      </c>
      <c r="E157" s="1239" t="s">
        <v>1180</v>
      </c>
    </row>
    <row r="158" spans="1:12" ht="22.5" customHeight="1">
      <c r="A158" s="1192"/>
      <c r="B158" s="1192"/>
      <c r="C158" s="1195" t="s">
        <v>791</v>
      </c>
      <c r="D158" s="1193"/>
      <c r="E158" s="1191"/>
    </row>
    <row r="159" spans="1:12" ht="191.1" customHeight="1">
      <c r="A159" s="1445" t="s">
        <v>812</v>
      </c>
      <c r="B159" s="1446" t="s">
        <v>899</v>
      </c>
      <c r="C159" s="1447" t="s">
        <v>1188</v>
      </c>
      <c r="D159" s="1238" t="s">
        <v>696</v>
      </c>
      <c r="E159" s="1239" t="s">
        <v>1181</v>
      </c>
    </row>
    <row r="160" spans="1:12">
      <c r="A160" s="1192"/>
      <c r="B160" s="1192"/>
      <c r="C160" s="1195" t="s">
        <v>791</v>
      </c>
      <c r="D160" s="1193"/>
      <c r="E160" s="1191"/>
    </row>
    <row r="161" spans="1:12" ht="297.60000000000002" customHeight="1">
      <c r="A161" s="1445" t="s">
        <v>812</v>
      </c>
      <c r="B161" s="1446" t="s">
        <v>900</v>
      </c>
      <c r="C161" s="1508" t="s">
        <v>1300</v>
      </c>
      <c r="D161" s="1194" t="s">
        <v>696</v>
      </c>
      <c r="E161" s="1509" t="s">
        <v>1301</v>
      </c>
    </row>
    <row r="162" spans="1:12" ht="266.45" customHeight="1">
      <c r="A162" s="1445" t="s">
        <v>812</v>
      </c>
      <c r="B162" s="1446" t="s">
        <v>901</v>
      </c>
      <c r="C162" s="1508" t="s">
        <v>1302</v>
      </c>
      <c r="D162" s="1194" t="s">
        <v>696</v>
      </c>
      <c r="E162" s="1509" t="s">
        <v>1303</v>
      </c>
    </row>
    <row r="163" spans="1:12" ht="81" customHeight="1">
      <c r="A163" s="1191" t="s">
        <v>812</v>
      </c>
      <c r="B163" s="1450" t="s">
        <v>869</v>
      </c>
      <c r="C163" s="1191" t="s">
        <v>868</v>
      </c>
      <c r="D163" s="1283"/>
      <c r="E163" s="1191"/>
    </row>
    <row r="164" spans="1:12" s="1242" customFormat="1" ht="81" customHeight="1">
      <c r="A164" s="1240" t="s">
        <v>812</v>
      </c>
      <c r="B164" s="1241" t="s">
        <v>1171</v>
      </c>
      <c r="C164" s="1240" t="s">
        <v>1173</v>
      </c>
      <c r="D164" s="1238" t="s">
        <v>696</v>
      </c>
      <c r="E164" s="1240"/>
    </row>
    <row r="165" spans="1:12" ht="136.5" customHeight="1">
      <c r="A165" s="1191" t="s">
        <v>812</v>
      </c>
      <c r="B165" s="1192" t="s">
        <v>1174</v>
      </c>
      <c r="C165" s="1191"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194" t="s">
        <v>696</v>
      </c>
      <c r="E165" s="1191"/>
      <c r="K165" s="1383"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191" t="s">
        <v>812</v>
      </c>
      <c r="B166" s="1450" t="s">
        <v>1172</v>
      </c>
      <c r="C166" s="1191"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193"/>
      <c r="E166" s="1191"/>
      <c r="K166" s="1383"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83"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191" t="s">
        <v>812</v>
      </c>
      <c r="B167" s="1192" t="s">
        <v>1175</v>
      </c>
      <c r="C167" s="1191"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193"/>
      <c r="E167" s="1191"/>
      <c r="K167" s="1383" t="s">
        <v>1077</v>
      </c>
      <c r="L167" s="1383"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191" t="s">
        <v>812</v>
      </c>
      <c r="B168" s="1192" t="s">
        <v>872</v>
      </c>
      <c r="C168" s="1191" t="s">
        <v>870</v>
      </c>
      <c r="D168" s="1193"/>
      <c r="E168" s="1191"/>
    </row>
    <row r="169" spans="1:12" ht="66.75" customHeight="1">
      <c r="A169" s="1191" t="s">
        <v>812</v>
      </c>
      <c r="B169" s="1192" t="s">
        <v>1176</v>
      </c>
      <c r="C169" s="1191" t="s">
        <v>871</v>
      </c>
      <c r="D169" s="1193"/>
      <c r="E169" s="1191"/>
    </row>
    <row r="170" spans="1:12" ht="176.25" customHeight="1">
      <c r="A170" s="1191" t="s">
        <v>812</v>
      </c>
      <c r="B170" s="1192" t="s">
        <v>1177</v>
      </c>
      <c r="C170" s="1191"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193"/>
      <c r="E170" s="1191"/>
      <c r="K170" s="1383" t="s">
        <v>1078</v>
      </c>
      <c r="L170" s="1383"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191" t="s">
        <v>812</v>
      </c>
      <c r="B171" s="1192" t="s">
        <v>1178</v>
      </c>
      <c r="C171" s="1191" t="s">
        <v>873</v>
      </c>
      <c r="D171" s="1193"/>
      <c r="E171" s="1191"/>
    </row>
    <row r="172" spans="1:12">
      <c r="A172" s="1191"/>
      <c r="B172" s="1192"/>
      <c r="C172" s="1214" t="s">
        <v>791</v>
      </c>
      <c r="D172" s="1193"/>
      <c r="E172" s="1191"/>
    </row>
    <row r="173" spans="1:12" ht="100.5" customHeight="1">
      <c r="A173" s="1191" t="s">
        <v>812</v>
      </c>
      <c r="B173" s="1192" t="s">
        <v>874</v>
      </c>
      <c r="C173" s="1191" t="s">
        <v>875</v>
      </c>
      <c r="D173" s="1193"/>
      <c r="E173" s="1191"/>
    </row>
    <row r="174" spans="1:12" ht="170.25" customHeight="1">
      <c r="A174" s="1191" t="s">
        <v>812</v>
      </c>
      <c r="B174" s="1192" t="s">
        <v>876</v>
      </c>
      <c r="C174" s="1191" t="s">
        <v>877</v>
      </c>
      <c r="D174" s="1193"/>
      <c r="E174" s="1191"/>
    </row>
    <row r="175" spans="1:12" ht="163.5" customHeight="1">
      <c r="A175" s="1191" t="s">
        <v>878</v>
      </c>
      <c r="B175" s="1192" t="s">
        <v>689</v>
      </c>
      <c r="C175" s="1191" t="s">
        <v>879</v>
      </c>
      <c r="D175" s="1193"/>
      <c r="E175" s="1191"/>
    </row>
    <row r="176" spans="1:12" ht="103.5" customHeight="1">
      <c r="A176" s="1191" t="s">
        <v>880</v>
      </c>
      <c r="B176" s="1192" t="s">
        <v>689</v>
      </c>
      <c r="C176" s="1191" t="s">
        <v>881</v>
      </c>
      <c r="D176" s="1191"/>
      <c r="E176" s="1191"/>
    </row>
    <row r="177" spans="1:5" ht="42.75" customHeight="1">
      <c r="A177" s="1191" t="s">
        <v>880</v>
      </c>
      <c r="B177" s="1192" t="s">
        <v>882</v>
      </c>
      <c r="C177" s="1191" t="s">
        <v>883</v>
      </c>
      <c r="D177" s="1193"/>
      <c r="E177" s="1191"/>
    </row>
    <row r="178" spans="1:5" ht="245.25" customHeight="1">
      <c r="A178" s="1191" t="s">
        <v>880</v>
      </c>
      <c r="B178" s="1192" t="s">
        <v>884</v>
      </c>
      <c r="C178" s="1191" t="s">
        <v>885</v>
      </c>
      <c r="D178" s="1193"/>
      <c r="E178" s="1191"/>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2"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B4F38B-0799-4886-B61C-8DBB46B47F73}">
  <ds:schemaRefs>
    <ds:schemaRef ds:uri="ffcdc2e4-c8f2-4bf7-ab1d-ea300bde3fd8"/>
    <ds:schemaRef ds:uri="http://purl.org/dc/terms/"/>
    <ds:schemaRef ds:uri="http://schemas.microsoft.com/office/2006/metadata/properties"/>
    <ds:schemaRef ds:uri="http://schemas.microsoft.com/office/2006/documentManagement/types"/>
    <ds:schemaRef ds:uri="http://purl.org/dc/dcmitype/"/>
    <ds:schemaRef ds:uri="30e8ffde-18ad-4221-a68d-976eb256fe4f"/>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Brian Moore</cp:lastModifiedBy>
  <cp:lastPrinted>2024-07-10T22:14:32Z</cp:lastPrinted>
  <dcterms:created xsi:type="dcterms:W3CDTF">1998-03-24T14:01:19Z</dcterms:created>
  <dcterms:modified xsi:type="dcterms:W3CDTF">2024-07-10T22:15:46Z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